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16-SRPE\56-MAEC\Programmation 2023-2027\2025\Notices\"/>
    </mc:Choice>
  </mc:AlternateContent>
  <bookViews>
    <workbookView xWindow="0" yWindow="0" windowWidth="28800" windowHeight="11880" tabRatio="981" firstSheet="15" activeTab="43"/>
  </bookViews>
  <sheets>
    <sheet name="SOMMAIRE" sheetId="25" r:id="rId1"/>
    <sheet name="Instruction technique" sheetId="91" r:id="rId2"/>
    <sheet name="Contacts" sheetId="75" r:id="rId3"/>
    <sheet name="SYNTHESE" sheetId="72" r:id="rId4"/>
    <sheet name="AMVS" sheetId="6" r:id="rId5"/>
    <sheet name="BAHO" sheetId="1" r:id="rId6"/>
    <sheet name="BRES" sheetId="53" r:id="rId7"/>
    <sheet name="BREE" sheetId="92" r:id="rId8"/>
    <sheet name="BRET" sheetId="17" r:id="rId9"/>
    <sheet name="BSPB" sheetId="43" r:id="rId10"/>
    <sheet name="BSPH" sheetId="81" r:id="rId11"/>
    <sheet name="BVNI" sheetId="13" r:id="rId12"/>
    <sheet name="CABE" sheetId="74" r:id="rId13"/>
    <sheet name="CCLO" sheetId="85" r:id="rId14"/>
    <sheet name="CCPB" sheetId="19" r:id="rId15"/>
    <sheet name="CCPE" sheetId="94" r:id="rId16"/>
    <sheet name="CCPC" sheetId="21" r:id="rId17"/>
    <sheet name="CCPV" sheetId="22" r:id="rId18"/>
    <sheet name="CMOB" sheetId="44" r:id="rId19"/>
    <sheet name="CMOH" sheetId="70" r:id="rId20"/>
    <sheet name="CMOR" sheetId="95" r:id="rId21"/>
    <sheet name="HVOI" sheetId="36" r:id="rId22"/>
    <sheet name="HVSO" sheetId="4" r:id="rId23"/>
    <sheet name="LAON" sheetId="38" r:id="rId24"/>
    <sheet name="MASO" sheetId="34" r:id="rId25"/>
    <sheet name="MVOI" sheetId="35" r:id="rId26"/>
    <sheet name="MVSB" sheetId="31" r:id="rId27"/>
    <sheet name="MVSH" sheetId="83" r:id="rId28"/>
    <sheet name="NPCB" sheetId="76" r:id="rId29"/>
    <sheet name="NPCE" sheetId="10" r:id="rId30"/>
    <sheet name="NPCR" sheetId="58" r:id="rId31"/>
    <sheet name="OPFB" sheetId="87" r:id="rId32"/>
    <sheet name="OPFE" sheetId="47" r:id="rId33"/>
    <sheet name="OURQ" sheetId="96" r:id="rId34"/>
    <sheet name="PAVB" sheetId="41" r:id="rId35"/>
    <sheet name="PELB" sheetId="33" r:id="rId36"/>
    <sheet name="PELN" sheetId="78" r:id="rId37"/>
    <sheet name="PELP" sheetId="79" r:id="rId38"/>
    <sheet name="PELR" sheetId="90" r:id="rId39"/>
    <sheet name="PETB" sheetId="40" r:id="rId40"/>
    <sheet name="PETE" sheetId="88" r:id="rId41"/>
    <sheet name="PETP" sheetId="100" r:id="rId42"/>
    <sheet name="PETR" sheetId="89" r:id="rId43"/>
    <sheet name="PMPH" sheetId="71" r:id="rId44"/>
    <sheet name="PORT" sheetId="26" r:id="rId45"/>
    <sheet name="PSEB" sheetId="48" r:id="rId46"/>
    <sheet name="PSEE" sheetId="49" r:id="rId47"/>
    <sheet name="PSVN" sheetId="39" r:id="rId48"/>
    <sheet name="PSVP" sheetId="97" r:id="rId49"/>
    <sheet name="SABL" sheetId="51" r:id="rId50"/>
    <sheet name="SASO" sheetId="3" r:id="rId51"/>
    <sheet name="SESV" sheetId="86" r:id="rId52"/>
    <sheet name="STJU" sheetId="24" r:id="rId53"/>
    <sheet name="TBIN" sheetId="99" r:id="rId54"/>
    <sheet name="TBIO" sheetId="8" r:id="rId55"/>
    <sheet name="UESA" sheetId="55" r:id="rId56"/>
    <sheet name="VAUT" sheetId="2" r:id="rId57"/>
    <sheet name="VSEL" sheetId="5" r:id="rId58"/>
    <sheet name="Paramétrage" sheetId="57" r:id="rId59"/>
    <sheet name="Feuil1" sheetId="98" r:id="rId60"/>
  </sheets>
  <definedNames>
    <definedName name="_xlnm._FilterDatabase" localSheetId="2" hidden="1">Contacts!$A$1:$F$70</definedName>
    <definedName name="_xlnm.Print_Area" localSheetId="2">Contacts!$A$46:$F$70</definedName>
    <definedName name="_xlnm.Print_Area" localSheetId="3">SYNTHESE!$A$2:$A$41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8" i="91" l="1"/>
  <c r="I16" i="91"/>
  <c r="AS46" i="72" l="1"/>
  <c r="BI46" i="72" l="1"/>
  <c r="BH46" i="72"/>
  <c r="BG46" i="72"/>
  <c r="BF46" i="72"/>
  <c r="BD46" i="72"/>
  <c r="BC46" i="72"/>
  <c r="BB46" i="72"/>
  <c r="BA46" i="72"/>
  <c r="AZ46" i="72"/>
  <c r="AY46" i="72"/>
  <c r="AX46" i="72"/>
  <c r="AW46" i="72"/>
  <c r="AV46" i="72"/>
  <c r="AU46" i="72"/>
  <c r="AT46" i="72"/>
  <c r="AR46" i="72"/>
  <c r="AQ46" i="72"/>
  <c r="AP46" i="72"/>
  <c r="AO46" i="72"/>
  <c r="AN46" i="72"/>
  <c r="AM46" i="72"/>
  <c r="AL46" i="72"/>
  <c r="AK46" i="72"/>
  <c r="AJ46" i="72"/>
  <c r="AI46" i="72"/>
  <c r="AH46" i="72"/>
  <c r="AG46" i="72"/>
  <c r="AF46" i="72"/>
  <c r="AE46" i="72"/>
  <c r="AD46" i="72"/>
  <c r="AC46" i="72"/>
  <c r="AB46" i="72"/>
  <c r="AA46" i="72"/>
  <c r="Z46" i="72"/>
  <c r="Y46" i="72"/>
  <c r="X46" i="72"/>
  <c r="W46" i="72"/>
  <c r="V46" i="72"/>
  <c r="U46" i="72"/>
  <c r="T46" i="72"/>
  <c r="S46" i="72"/>
  <c r="R46" i="72"/>
  <c r="Q46" i="72"/>
  <c r="P46" i="72"/>
  <c r="O46" i="72"/>
  <c r="N46" i="72"/>
  <c r="M46" i="72"/>
  <c r="L46" i="72"/>
  <c r="K46" i="72"/>
  <c r="J46" i="72"/>
  <c r="I46" i="72"/>
  <c r="H46" i="72"/>
  <c r="W52" i="100" l="1"/>
  <c r="R52" i="100"/>
  <c r="M52" i="100"/>
  <c r="W51" i="100"/>
  <c r="R51" i="100"/>
  <c r="M51" i="100"/>
  <c r="M56" i="100"/>
  <c r="E69" i="5" l="1"/>
  <c r="D69" i="5"/>
  <c r="M57" i="5"/>
  <c r="M56" i="5"/>
  <c r="W51" i="5"/>
  <c r="R51" i="5"/>
  <c r="M51" i="5"/>
  <c r="W48" i="5"/>
  <c r="R48" i="5"/>
  <c r="M48" i="5"/>
  <c r="W47" i="5"/>
  <c r="R47" i="5"/>
  <c r="M47" i="5"/>
  <c r="W46" i="5"/>
  <c r="R46" i="5"/>
  <c r="M46" i="5"/>
  <c r="W44" i="5"/>
  <c r="R44" i="5"/>
  <c r="M44" i="5"/>
  <c r="W43" i="5"/>
  <c r="R43" i="5"/>
  <c r="M43" i="5"/>
  <c r="W41" i="5"/>
  <c r="R41" i="5"/>
  <c r="M41" i="5"/>
  <c r="W40" i="5"/>
  <c r="R40" i="5"/>
  <c r="M40" i="5"/>
  <c r="D70" i="2"/>
  <c r="E69" i="2"/>
  <c r="D69" i="2"/>
  <c r="M56" i="2"/>
  <c r="M53" i="2"/>
  <c r="M51" i="2"/>
  <c r="M48" i="2"/>
  <c r="M47" i="2"/>
  <c r="M46" i="2"/>
  <c r="M44" i="2"/>
  <c r="M43" i="2"/>
  <c r="M41" i="2"/>
  <c r="M40" i="2"/>
  <c r="W55" i="55"/>
  <c r="V55" i="55"/>
  <c r="U55" i="55"/>
  <c r="T55" i="55"/>
  <c r="R55" i="55"/>
  <c r="Q55" i="55"/>
  <c r="P55" i="55"/>
  <c r="O55" i="55"/>
  <c r="M55" i="55"/>
  <c r="L55" i="55"/>
  <c r="K55" i="55"/>
  <c r="J55" i="55"/>
  <c r="W50" i="55"/>
  <c r="R50" i="55"/>
  <c r="M50" i="55"/>
  <c r="W49" i="55"/>
  <c r="R49" i="55"/>
  <c r="M49" i="55"/>
  <c r="W43" i="55"/>
  <c r="R43" i="55"/>
  <c r="M43" i="55"/>
  <c r="W41" i="55"/>
  <c r="R41" i="55"/>
  <c r="M41" i="55"/>
  <c r="W40" i="55"/>
  <c r="R40" i="55"/>
  <c r="M40" i="55"/>
  <c r="W39" i="55"/>
  <c r="R39" i="55"/>
  <c r="M39" i="55"/>
  <c r="W38" i="55"/>
  <c r="R38" i="55"/>
  <c r="M38" i="55"/>
  <c r="W17" i="55"/>
  <c r="R17" i="55"/>
  <c r="M17" i="55"/>
  <c r="M56" i="8"/>
  <c r="W47" i="8"/>
  <c r="R47" i="8"/>
  <c r="M47" i="8"/>
  <c r="L47" i="8"/>
  <c r="W46" i="8"/>
  <c r="V46" i="8"/>
  <c r="R46" i="8"/>
  <c r="Q46" i="8"/>
  <c r="M46" i="8"/>
  <c r="W45" i="8"/>
  <c r="R45" i="8"/>
  <c r="M45" i="8"/>
  <c r="W43" i="8"/>
  <c r="V43" i="8"/>
  <c r="R43" i="8"/>
  <c r="Q43" i="8"/>
  <c r="M43" i="8"/>
  <c r="L43" i="8"/>
  <c r="J43" i="8"/>
  <c r="W42" i="8"/>
  <c r="R42" i="8"/>
  <c r="M42" i="8"/>
  <c r="W39" i="8"/>
  <c r="R39" i="8"/>
  <c r="M39" i="8"/>
  <c r="W38" i="8"/>
  <c r="R38" i="8"/>
  <c r="M38" i="8"/>
  <c r="L38" i="8"/>
  <c r="W37" i="8"/>
  <c r="R37" i="8"/>
  <c r="M37" i="8"/>
  <c r="R20" i="8"/>
  <c r="M20" i="8"/>
  <c r="W18" i="8"/>
  <c r="R18" i="8"/>
  <c r="M18" i="8"/>
  <c r="M56" i="24"/>
  <c r="W55" i="24"/>
  <c r="R55" i="24"/>
  <c r="M55" i="24"/>
  <c r="M57" i="86"/>
  <c r="D70" i="3"/>
  <c r="E69" i="3"/>
  <c r="D69" i="3"/>
  <c r="W55" i="3"/>
  <c r="R55" i="3"/>
  <c r="M55" i="3"/>
  <c r="W51" i="3"/>
  <c r="R51" i="3"/>
  <c r="M51" i="3"/>
  <c r="W48" i="3"/>
  <c r="R48" i="3"/>
  <c r="M48" i="3"/>
  <c r="W47" i="3"/>
  <c r="R47" i="3"/>
  <c r="M47" i="3"/>
  <c r="W46" i="3"/>
  <c r="R46" i="3"/>
  <c r="M46" i="3"/>
  <c r="W39" i="3"/>
  <c r="R39" i="3"/>
  <c r="M39" i="3"/>
  <c r="W38" i="3"/>
  <c r="R38" i="3"/>
  <c r="M38" i="3"/>
  <c r="W26" i="3"/>
  <c r="R26" i="3"/>
  <c r="M26" i="3"/>
  <c r="W22" i="3"/>
  <c r="R22" i="3"/>
  <c r="M22" i="3"/>
  <c r="W20" i="3"/>
  <c r="R20" i="3"/>
  <c r="M20" i="3"/>
  <c r="L20" i="3"/>
  <c r="W19" i="3"/>
  <c r="R19" i="3"/>
  <c r="M19" i="3"/>
  <c r="M56" i="39"/>
  <c r="D73" i="49"/>
  <c r="M56" i="49"/>
  <c r="V20" i="49"/>
  <c r="Q20" i="49"/>
  <c r="L20" i="49"/>
  <c r="D72" i="48"/>
  <c r="M56" i="48"/>
  <c r="M56" i="26"/>
  <c r="W47" i="26"/>
  <c r="R47" i="26"/>
  <c r="M47" i="26"/>
  <c r="W46" i="26"/>
  <c r="R46" i="26"/>
  <c r="M46" i="26"/>
  <c r="W45" i="26"/>
  <c r="R45" i="26"/>
  <c r="M45" i="26"/>
  <c r="W43" i="26"/>
  <c r="R43" i="26"/>
  <c r="M43" i="26"/>
  <c r="W39" i="26"/>
  <c r="R39" i="26"/>
  <c r="M39" i="26"/>
  <c r="W38" i="26"/>
  <c r="R38" i="26"/>
  <c r="M38" i="26"/>
  <c r="W37" i="26"/>
  <c r="R37" i="26"/>
  <c r="M37" i="26"/>
  <c r="W17" i="26"/>
  <c r="R17" i="26"/>
  <c r="M17" i="26"/>
  <c r="W16" i="26"/>
  <c r="R16" i="26"/>
  <c r="M16" i="26"/>
  <c r="M55" i="71"/>
  <c r="M56" i="89"/>
  <c r="M56" i="88"/>
  <c r="W52" i="88"/>
  <c r="R52" i="88"/>
  <c r="M52" i="88"/>
  <c r="W51" i="88"/>
  <c r="R51" i="88"/>
  <c r="M51" i="88"/>
  <c r="W47" i="88"/>
  <c r="R47" i="88"/>
  <c r="M47" i="88"/>
  <c r="W46" i="88"/>
  <c r="R46" i="88"/>
  <c r="M46" i="88"/>
  <c r="W45" i="88"/>
  <c r="R45" i="88"/>
  <c r="M45" i="88"/>
  <c r="W43" i="88"/>
  <c r="R43" i="88"/>
  <c r="M43" i="88"/>
  <c r="W39" i="88"/>
  <c r="R39" i="88"/>
  <c r="M39" i="88"/>
  <c r="W38" i="88"/>
  <c r="R38" i="88"/>
  <c r="M38" i="88"/>
  <c r="W17" i="88"/>
  <c r="R17" i="88"/>
  <c r="M17" i="88"/>
  <c r="W16" i="88"/>
  <c r="R16" i="88"/>
  <c r="M16" i="88"/>
  <c r="M56" i="40"/>
  <c r="M59" i="90"/>
  <c r="W52" i="90"/>
  <c r="R52" i="90"/>
  <c r="M52" i="90"/>
  <c r="W51" i="90"/>
  <c r="R51" i="90"/>
  <c r="M51" i="90"/>
  <c r="W50" i="90"/>
  <c r="R50" i="90"/>
  <c r="M50" i="90"/>
  <c r="W49" i="90"/>
  <c r="R49" i="90"/>
  <c r="M49" i="90"/>
  <c r="W47" i="90"/>
  <c r="R47" i="90"/>
  <c r="M47" i="90"/>
  <c r="W44" i="90"/>
  <c r="R44" i="90"/>
  <c r="M44" i="90"/>
  <c r="W43" i="90"/>
  <c r="R43" i="90"/>
  <c r="M43" i="90"/>
  <c r="M57" i="79"/>
  <c r="W52" i="79"/>
  <c r="R52" i="79"/>
  <c r="M52" i="79"/>
  <c r="W51" i="79"/>
  <c r="R51" i="79"/>
  <c r="M51" i="79"/>
  <c r="W50" i="79"/>
  <c r="R50" i="79"/>
  <c r="M50" i="79"/>
  <c r="W49" i="79"/>
  <c r="R49" i="79"/>
  <c r="M49" i="79"/>
  <c r="W47" i="79"/>
  <c r="R47" i="79"/>
  <c r="M47" i="79"/>
  <c r="W45" i="79"/>
  <c r="R45" i="79"/>
  <c r="M45" i="79"/>
  <c r="W44" i="79"/>
  <c r="R44" i="79"/>
  <c r="M44" i="79"/>
  <c r="W43" i="79"/>
  <c r="R43" i="79"/>
  <c r="M43" i="79"/>
  <c r="M57" i="78"/>
  <c r="W52" i="78"/>
  <c r="R52" i="78"/>
  <c r="M52" i="78"/>
  <c r="W51" i="78"/>
  <c r="R51" i="78"/>
  <c r="M51" i="78"/>
  <c r="W50" i="78"/>
  <c r="R50" i="78"/>
  <c r="M50" i="78"/>
  <c r="W49" i="78"/>
  <c r="R49" i="78"/>
  <c r="M49" i="78"/>
  <c r="W47" i="78"/>
  <c r="R47" i="78"/>
  <c r="M47" i="78"/>
  <c r="W45" i="78"/>
  <c r="R45" i="78"/>
  <c r="M45" i="78"/>
  <c r="W44" i="78"/>
  <c r="R44" i="78"/>
  <c r="M44" i="78"/>
  <c r="W43" i="78"/>
  <c r="R43" i="78"/>
  <c r="M43" i="78"/>
  <c r="D72" i="33"/>
  <c r="D68" i="33"/>
  <c r="D64" i="33"/>
  <c r="D63" i="33"/>
  <c r="M57" i="33"/>
  <c r="W52" i="33"/>
  <c r="R52" i="33"/>
  <c r="M52" i="33"/>
  <c r="W51" i="33"/>
  <c r="R51" i="33"/>
  <c r="M51" i="33"/>
  <c r="W50" i="33"/>
  <c r="R50" i="33"/>
  <c r="M50" i="33"/>
  <c r="W49" i="33"/>
  <c r="R49" i="33"/>
  <c r="M49" i="33"/>
  <c r="W47" i="33"/>
  <c r="R47" i="33"/>
  <c r="M47" i="33"/>
  <c r="W45" i="33"/>
  <c r="R45" i="33"/>
  <c r="M45" i="33"/>
  <c r="W44" i="33"/>
  <c r="R44" i="33"/>
  <c r="M44" i="33"/>
  <c r="W43" i="33"/>
  <c r="R43" i="33"/>
  <c r="M43" i="33"/>
  <c r="D72" i="41"/>
  <c r="M56" i="41"/>
  <c r="W52" i="41"/>
  <c r="R52" i="41"/>
  <c r="M52" i="41"/>
  <c r="W51" i="41"/>
  <c r="R51" i="41"/>
  <c r="M51" i="41"/>
  <c r="W48" i="41"/>
  <c r="R48" i="41"/>
  <c r="M48" i="41"/>
  <c r="W47" i="41"/>
  <c r="R47" i="41"/>
  <c r="M47" i="41"/>
  <c r="W46" i="41"/>
  <c r="R46" i="41"/>
  <c r="M46" i="41"/>
  <c r="W41" i="41"/>
  <c r="R41" i="41"/>
  <c r="M41" i="41"/>
  <c r="W40" i="41"/>
  <c r="R40" i="41"/>
  <c r="M40" i="41"/>
  <c r="W39" i="41"/>
  <c r="R39" i="41"/>
  <c r="M39" i="41"/>
  <c r="W38" i="41"/>
  <c r="R38" i="41"/>
  <c r="M38" i="41"/>
  <c r="W37" i="41"/>
  <c r="R37" i="41"/>
  <c r="M37" i="41"/>
  <c r="L25" i="47"/>
  <c r="K27" i="87"/>
  <c r="M56" i="58"/>
  <c r="W44" i="58"/>
  <c r="R44" i="58"/>
  <c r="M44" i="58"/>
  <c r="W39" i="58"/>
  <c r="R39" i="58"/>
  <c r="M39" i="58"/>
  <c r="W38" i="58"/>
  <c r="R38" i="58"/>
  <c r="M38" i="58"/>
  <c r="W37" i="58"/>
  <c r="R37" i="58"/>
  <c r="M37" i="58"/>
  <c r="W36" i="58"/>
  <c r="R36" i="58"/>
  <c r="M36" i="58"/>
  <c r="W35" i="58"/>
  <c r="R35" i="58"/>
  <c r="M35" i="58"/>
  <c r="W32" i="58"/>
  <c r="R32" i="58"/>
  <c r="M32" i="58"/>
  <c r="W31" i="58"/>
  <c r="R31" i="58"/>
  <c r="M31" i="58"/>
  <c r="W30" i="58"/>
  <c r="R30" i="58"/>
  <c r="M30" i="58"/>
  <c r="M57" i="10"/>
  <c r="W48" i="10"/>
  <c r="R48" i="10"/>
  <c r="M48" i="10"/>
  <c r="W47" i="10"/>
  <c r="R47" i="10"/>
  <c r="M47" i="10"/>
  <c r="W46" i="10"/>
  <c r="R46" i="10"/>
  <c r="M46" i="10"/>
  <c r="W42" i="10"/>
  <c r="R42" i="10"/>
  <c r="M42" i="10"/>
  <c r="W40" i="10"/>
  <c r="R40" i="10"/>
  <c r="M40" i="10"/>
  <c r="W39" i="10"/>
  <c r="R39" i="10"/>
  <c r="M39" i="10"/>
  <c r="W38" i="10"/>
  <c r="R38" i="10"/>
  <c r="M38" i="10"/>
  <c r="W37" i="10"/>
  <c r="R37" i="10"/>
  <c r="M37" i="10"/>
  <c r="W20" i="10"/>
  <c r="R20" i="10"/>
  <c r="M20" i="10"/>
  <c r="W19" i="10"/>
  <c r="R19" i="10"/>
  <c r="M19" i="10"/>
  <c r="M57" i="76"/>
  <c r="D72" i="35"/>
  <c r="D68" i="35"/>
  <c r="D64" i="35"/>
  <c r="M58" i="35"/>
  <c r="W53" i="35"/>
  <c r="R53" i="35"/>
  <c r="M53" i="35"/>
  <c r="W52" i="35"/>
  <c r="R52" i="35"/>
  <c r="M52" i="35"/>
  <c r="W49" i="35"/>
  <c r="R49" i="35"/>
  <c r="M49" i="35"/>
  <c r="W48" i="35"/>
  <c r="R48" i="35"/>
  <c r="M48" i="35"/>
  <c r="W47" i="35"/>
  <c r="R47" i="35"/>
  <c r="M47" i="35"/>
  <c r="W46" i="35"/>
  <c r="R46" i="35"/>
  <c r="M46" i="35"/>
  <c r="W44" i="35"/>
  <c r="R44" i="35"/>
  <c r="M44" i="35"/>
  <c r="W42" i="35"/>
  <c r="R42" i="35"/>
  <c r="M42" i="35"/>
  <c r="W41" i="35"/>
  <c r="R41" i="35"/>
  <c r="M41" i="35"/>
  <c r="W40" i="35"/>
  <c r="R40" i="35"/>
  <c r="M40" i="35"/>
  <c r="W39" i="35"/>
  <c r="R39" i="35"/>
  <c r="M39" i="35"/>
  <c r="D72" i="34"/>
  <c r="M57" i="34"/>
  <c r="W49" i="34"/>
  <c r="R49" i="34"/>
  <c r="M49" i="34"/>
  <c r="W48" i="34"/>
  <c r="R48" i="34"/>
  <c r="M48" i="34"/>
  <c r="M47" i="34"/>
  <c r="W46" i="34"/>
  <c r="M46" i="34"/>
  <c r="M45" i="34"/>
  <c r="W44" i="34"/>
  <c r="R44" i="34"/>
  <c r="M44" i="34"/>
  <c r="M43" i="34"/>
  <c r="W42" i="34"/>
  <c r="R42" i="34"/>
  <c r="M42" i="34"/>
  <c r="M41" i="34"/>
  <c r="G68" i="38"/>
  <c r="M57" i="38"/>
  <c r="W51" i="38"/>
  <c r="R51" i="38"/>
  <c r="M51" i="38"/>
  <c r="W47" i="38"/>
  <c r="R47" i="38"/>
  <c r="M47" i="38"/>
  <c r="W46" i="38"/>
  <c r="R46" i="38"/>
  <c r="M46" i="38"/>
  <c r="W45" i="38"/>
  <c r="R45" i="38"/>
  <c r="M45" i="38"/>
  <c r="W43" i="38"/>
  <c r="R43" i="38"/>
  <c r="M43" i="38"/>
  <c r="W39" i="38"/>
  <c r="R39" i="38"/>
  <c r="M39" i="38"/>
  <c r="W38" i="38"/>
  <c r="R38" i="38"/>
  <c r="M38" i="38"/>
  <c r="W37" i="38"/>
  <c r="R37" i="38"/>
  <c r="M37" i="38"/>
  <c r="W17" i="38"/>
  <c r="R17" i="38"/>
  <c r="M17" i="38"/>
  <c r="W16" i="38"/>
  <c r="R16" i="38"/>
  <c r="M16" i="38"/>
  <c r="D70" i="4"/>
  <c r="E69" i="4"/>
  <c r="D69" i="4"/>
  <c r="M56" i="4"/>
  <c r="W51" i="4"/>
  <c r="R51" i="4"/>
  <c r="M51" i="4"/>
  <c r="W48" i="4"/>
  <c r="R48" i="4"/>
  <c r="M48" i="4"/>
  <c r="W47" i="4"/>
  <c r="R47" i="4"/>
  <c r="M47" i="4"/>
  <c r="W46" i="4"/>
  <c r="R46" i="4"/>
  <c r="M46" i="4"/>
  <c r="W44" i="4"/>
  <c r="R44" i="4"/>
  <c r="M44" i="4"/>
  <c r="W43" i="4"/>
  <c r="R43" i="4"/>
  <c r="M43" i="4"/>
  <c r="W41" i="4"/>
  <c r="R41" i="4"/>
  <c r="M41" i="4"/>
  <c r="W40" i="4"/>
  <c r="R40" i="4"/>
  <c r="M40" i="4"/>
  <c r="D72" i="36"/>
  <c r="D64" i="36"/>
  <c r="D63" i="36"/>
  <c r="W53" i="36"/>
  <c r="R53" i="36"/>
  <c r="M53" i="36"/>
  <c r="W52" i="36"/>
  <c r="R52" i="36"/>
  <c r="M52" i="36"/>
  <c r="W49" i="36"/>
  <c r="R49" i="36"/>
  <c r="M49" i="36"/>
  <c r="W48" i="36"/>
  <c r="R48" i="36"/>
  <c r="M48" i="36"/>
  <c r="W47" i="36"/>
  <c r="R47" i="36"/>
  <c r="M47" i="36"/>
  <c r="W46" i="36"/>
  <c r="R46" i="36"/>
  <c r="M46" i="36"/>
  <c r="W44" i="36"/>
  <c r="R44" i="36"/>
  <c r="M44" i="36"/>
  <c r="W42" i="36"/>
  <c r="R42" i="36"/>
  <c r="M42" i="36"/>
  <c r="W41" i="36"/>
  <c r="R41" i="36"/>
  <c r="M41" i="36"/>
  <c r="W40" i="36"/>
  <c r="R40" i="36"/>
  <c r="M40" i="36"/>
  <c r="W39" i="36"/>
  <c r="R39" i="36"/>
  <c r="M39" i="36"/>
  <c r="D81" i="70"/>
  <c r="P56" i="70"/>
  <c r="D79" i="44"/>
  <c r="M55" i="44"/>
  <c r="J55" i="44"/>
  <c r="W51" i="44"/>
  <c r="R51" i="44"/>
  <c r="M51" i="44"/>
  <c r="W50" i="44"/>
  <c r="R50" i="44"/>
  <c r="M50" i="44"/>
  <c r="W44" i="44"/>
  <c r="R44" i="44"/>
  <c r="M44" i="44"/>
  <c r="W39" i="44"/>
  <c r="R39" i="44"/>
  <c r="M39" i="44"/>
  <c r="W38" i="44"/>
  <c r="R38" i="44"/>
  <c r="M38" i="44"/>
  <c r="W35" i="44"/>
  <c r="R35" i="44"/>
  <c r="M35" i="44"/>
  <c r="M56" i="22"/>
  <c r="M56" i="21"/>
  <c r="W48" i="21"/>
  <c r="R47" i="21"/>
  <c r="M46" i="21"/>
  <c r="R44" i="21"/>
  <c r="M44" i="21"/>
  <c r="W39" i="21"/>
  <c r="W38" i="21"/>
  <c r="R38" i="21"/>
  <c r="R37" i="21"/>
  <c r="M37" i="21"/>
  <c r="W20" i="21"/>
  <c r="R20" i="21"/>
  <c r="M20" i="21"/>
  <c r="W19" i="21"/>
  <c r="M19" i="21"/>
  <c r="G63" i="19"/>
  <c r="M56" i="19"/>
  <c r="W52" i="19"/>
  <c r="R52" i="19"/>
  <c r="M52" i="19"/>
  <c r="W51" i="19"/>
  <c r="R51" i="19"/>
  <c r="M51" i="19"/>
  <c r="M47" i="19"/>
  <c r="R46" i="19"/>
  <c r="M46" i="19"/>
  <c r="W43" i="19"/>
  <c r="R43" i="19"/>
  <c r="M43" i="19"/>
  <c r="W42" i="19"/>
  <c r="R42" i="19"/>
  <c r="W39" i="19"/>
  <c r="R39" i="19"/>
  <c r="M39" i="19"/>
  <c r="W38" i="19"/>
  <c r="R38" i="19"/>
  <c r="M38" i="19"/>
  <c r="R20" i="19"/>
  <c r="M20" i="19"/>
  <c r="R18" i="19"/>
  <c r="M18" i="19"/>
  <c r="M56" i="81"/>
  <c r="W52" i="81"/>
  <c r="R52" i="81"/>
  <c r="M52" i="81"/>
  <c r="W48" i="81"/>
  <c r="R48" i="81"/>
  <c r="M48" i="81"/>
  <c r="W47" i="81"/>
  <c r="R47" i="81"/>
  <c r="M47" i="81"/>
  <c r="W46" i="81"/>
  <c r="R46" i="81"/>
  <c r="M46" i="81"/>
  <c r="W41" i="81"/>
  <c r="R41" i="81"/>
  <c r="M41" i="81"/>
  <c r="W40" i="81"/>
  <c r="R40" i="81"/>
  <c r="M40" i="81"/>
  <c r="W38" i="81"/>
  <c r="R38" i="81"/>
  <c r="M38" i="81"/>
  <c r="W37" i="81"/>
  <c r="R37" i="81"/>
  <c r="M37" i="81"/>
  <c r="W34" i="81"/>
  <c r="R34" i="81"/>
  <c r="M34" i="81"/>
  <c r="W20" i="81"/>
  <c r="R20" i="81"/>
  <c r="M20" i="81"/>
  <c r="M56" i="43"/>
  <c r="W52" i="43"/>
  <c r="R52" i="43"/>
  <c r="M52" i="43"/>
  <c r="W48" i="43"/>
  <c r="R48" i="43"/>
  <c r="M48" i="43"/>
  <c r="W47" i="43"/>
  <c r="R47" i="43"/>
  <c r="M47" i="43"/>
  <c r="W46" i="43"/>
  <c r="R46" i="43"/>
  <c r="M46" i="43"/>
  <c r="W41" i="43"/>
  <c r="R41" i="43"/>
  <c r="M41" i="43"/>
  <c r="W40" i="43"/>
  <c r="R40" i="43"/>
  <c r="M40" i="43"/>
  <c r="W38" i="43"/>
  <c r="R38" i="43"/>
  <c r="M38" i="43"/>
  <c r="W37" i="43"/>
  <c r="R37" i="43"/>
  <c r="M37" i="43"/>
  <c r="W34" i="43"/>
  <c r="R34" i="43"/>
  <c r="M34" i="43"/>
  <c r="W20" i="43"/>
  <c r="R20" i="43"/>
  <c r="M20" i="43"/>
  <c r="M57" i="17"/>
  <c r="M57" i="92"/>
  <c r="D72" i="53"/>
  <c r="M57" i="53"/>
  <c r="M56" i="1"/>
  <c r="E96" i="25"/>
  <c r="E95" i="25"/>
  <c r="J94" i="25"/>
  <c r="E94" i="25"/>
  <c r="E93" i="25"/>
  <c r="E92" i="25"/>
  <c r="E99" i="25" l="1"/>
</calcChain>
</file>

<file path=xl/comments1.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10.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11.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9"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12.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9"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13.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39"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14.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39"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15.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6"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39"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1"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16.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6"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39"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1"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17.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6"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39"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1"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18.xml><?xml version="1.0" encoding="utf-8"?>
<comments xmlns="http://schemas.openxmlformats.org/spreadsheetml/2006/main">
  <authors>
    <author/>
  </authors>
  <commentList>
    <comment ref="F16"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9"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2"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4"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8"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1"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4"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6"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8"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9"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1"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2"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4"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5"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6"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9"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2"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19.xml><?xml version="1.0" encoding="utf-8"?>
<comments xmlns="http://schemas.openxmlformats.org/spreadsheetml/2006/main">
  <authors>
    <author/>
    <author>Juliette ASPAR</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1"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1" shapeId="0">
      <text>
        <r>
          <rPr>
            <sz val="9"/>
            <color indexed="81"/>
            <rFont val="Tahoma"/>
            <family val="2"/>
          </rPr>
          <t xml:space="preserve">Paramètres ESP2, ESP3, ESP4
</t>
        </r>
        <r>
          <rPr>
            <b/>
            <sz val="9"/>
            <color indexed="81"/>
            <rFont val="Tahoma"/>
            <family val="2"/>
          </rPr>
          <t>Dates :</t>
        </r>
        <r>
          <rPr>
            <sz val="9"/>
            <color indexed="81"/>
            <rFont val="Tahoma"/>
            <family val="2"/>
          </rPr>
          <t xml:space="preserve">  [Si pertinent] Respecter une période d'interdiction de pâturage allant du xx/xx au xx/xx. 
</t>
        </r>
        <r>
          <rPr>
            <b/>
            <sz val="9"/>
            <color indexed="81"/>
            <rFont val="Tahoma"/>
            <family val="2"/>
          </rPr>
          <t xml:space="preserve">Travail du sol : </t>
        </r>
        <r>
          <rPr>
            <sz val="9"/>
            <color indexed="81"/>
            <rFont val="Tahoma"/>
            <family val="2"/>
          </rPr>
          <t xml:space="preserve">Préciser si un renouvellement par travail superficiel du sol est autorisé au cours de l'engagement. 
</t>
        </r>
        <r>
          <rPr>
            <b/>
            <sz val="9"/>
            <color indexed="81"/>
            <rFont val="Tahoma"/>
            <family val="2"/>
          </rPr>
          <t>X :</t>
        </r>
        <r>
          <rPr>
            <sz val="9"/>
            <color indexed="81"/>
            <rFont val="Tahoma"/>
            <family val="2"/>
          </rPr>
          <t xml:space="preserve"> Mettre en défens au moins X % [0 ≤ X ≤ 10] des surfaces engagées conformément au plan de localisation. 
</t>
        </r>
        <r>
          <rPr>
            <b/>
            <sz val="9"/>
            <color indexed="81"/>
            <rFont val="Tahoma"/>
            <family val="2"/>
          </rPr>
          <t>Y :</t>
        </r>
        <r>
          <rPr>
            <sz val="9"/>
            <color indexed="81"/>
            <rFont val="Tahoma"/>
            <family val="2"/>
          </rPr>
          <t xml:space="preserve"> Respecter la limitation de la fertilisation azotée à Y kg N par ha et par an chaque année au cours des 5 ans (hors apports par pâturage) ou « respecter l’absence totale d’apport de fertilisants azotés minéraux et organiques (hors apports par pâturage) ».
</t>
        </r>
        <r>
          <rPr>
            <b/>
            <sz val="9"/>
            <color indexed="81"/>
            <rFont val="Tahoma"/>
            <family val="2"/>
          </rPr>
          <t xml:space="preserve">Z, Z' : </t>
        </r>
        <r>
          <rPr>
            <sz val="9"/>
            <color indexed="81"/>
            <rFont val="Tahoma"/>
            <family val="2"/>
          </rPr>
          <t xml:space="preserve"> [Si pertinent] Choisir l’une des obligations ou la combinaison des deux obligations ci-après : « Respecter la limitation de fertilisation P à Z kg P par ha et par an et de fertilisation K à Z’ kg K par ha et par an, chaque année au cours des 5 ans » ou « Respecter l’absence d'apports magnésiens et de chaux. »..  </t>
        </r>
      </text>
    </comment>
    <comment ref="F47" authorId="1" shapeId="0">
      <text>
        <r>
          <rPr>
            <sz val="9"/>
            <color indexed="81"/>
            <rFont val="Tahoma"/>
            <family val="2"/>
          </rPr>
          <t xml:space="preserve">Paramètres ESP2, ESP3, ESP4
</t>
        </r>
        <r>
          <rPr>
            <b/>
            <sz val="9"/>
            <color indexed="81"/>
            <rFont val="Tahoma"/>
            <family val="2"/>
          </rPr>
          <t>Dates :</t>
        </r>
        <r>
          <rPr>
            <sz val="9"/>
            <color indexed="81"/>
            <rFont val="Tahoma"/>
            <family val="2"/>
          </rPr>
          <t xml:space="preserve">  [Si pertinent] Respecter une période d'interdiction de pâturage allant du xx/xx au xx/xx. 
</t>
        </r>
        <r>
          <rPr>
            <b/>
            <sz val="9"/>
            <color indexed="81"/>
            <rFont val="Tahoma"/>
            <family val="2"/>
          </rPr>
          <t xml:space="preserve">Travail du sol : </t>
        </r>
        <r>
          <rPr>
            <sz val="9"/>
            <color indexed="81"/>
            <rFont val="Tahoma"/>
            <family val="2"/>
          </rPr>
          <t xml:space="preserve">Préciser si un renouvellement par travail superficiel du sol est autorisé au cours de l'engagement. 
</t>
        </r>
        <r>
          <rPr>
            <b/>
            <sz val="9"/>
            <color indexed="81"/>
            <rFont val="Tahoma"/>
            <family val="2"/>
          </rPr>
          <t>X :</t>
        </r>
        <r>
          <rPr>
            <sz val="9"/>
            <color indexed="81"/>
            <rFont val="Tahoma"/>
            <family val="2"/>
          </rPr>
          <t xml:space="preserve"> Mettre en défens au moins X % [0 ≤ X ≤ 10] des surfaces engagées conformément au plan de localisation. 
</t>
        </r>
        <r>
          <rPr>
            <b/>
            <sz val="9"/>
            <color indexed="81"/>
            <rFont val="Tahoma"/>
            <family val="2"/>
          </rPr>
          <t>Y :</t>
        </r>
        <r>
          <rPr>
            <sz val="9"/>
            <color indexed="81"/>
            <rFont val="Tahoma"/>
            <family val="2"/>
          </rPr>
          <t xml:space="preserve"> Respecter la limitation de la fertilisation azotée à Y kg N par ha et par an chaque année au cours des 5 ans (hors apports par pâturage) ou « respecter l’absence totale d’apport de fertilisants azotés minéraux et organiques (hors apports par pâturage) ».
</t>
        </r>
        <r>
          <rPr>
            <b/>
            <sz val="9"/>
            <color indexed="81"/>
            <rFont val="Tahoma"/>
            <family val="2"/>
          </rPr>
          <t xml:space="preserve">Z, Z' : </t>
        </r>
        <r>
          <rPr>
            <sz val="9"/>
            <color indexed="81"/>
            <rFont val="Tahoma"/>
            <family val="2"/>
          </rPr>
          <t xml:space="preserve"> [Si pertinent] Choisir l’une des obligations ou la combinaison des deux obligations ci-après : « Respecter la limitation de fertilisation P à Z kg P par ha et par an et de fertilisation K à Z’ kg K par ha et par an, chaque année au cours des 5 ans » ou « Respecter l’absence d'apports magnésiens et de chaux. »..  </t>
        </r>
      </text>
    </comment>
    <comment ref="F48" authorId="1" shapeId="0">
      <text>
        <r>
          <rPr>
            <sz val="9"/>
            <color indexed="81"/>
            <rFont val="Tahoma"/>
            <family val="2"/>
          </rPr>
          <t xml:space="preserve">Paramètres ESP2, ESP3, ESP4
</t>
        </r>
        <r>
          <rPr>
            <b/>
            <sz val="9"/>
            <color indexed="81"/>
            <rFont val="Tahoma"/>
            <family val="2"/>
          </rPr>
          <t>Dates :</t>
        </r>
        <r>
          <rPr>
            <sz val="9"/>
            <color indexed="81"/>
            <rFont val="Tahoma"/>
            <family val="2"/>
          </rPr>
          <t xml:space="preserve">  [Si pertinent] Respecter une période d'interdiction de pâturage allant du xx/xx au xx/xx. 
</t>
        </r>
        <r>
          <rPr>
            <b/>
            <sz val="9"/>
            <color indexed="81"/>
            <rFont val="Tahoma"/>
            <family val="2"/>
          </rPr>
          <t xml:space="preserve">Travail du sol : </t>
        </r>
        <r>
          <rPr>
            <sz val="9"/>
            <color indexed="81"/>
            <rFont val="Tahoma"/>
            <family val="2"/>
          </rPr>
          <t xml:space="preserve">Préciser si un renouvellement par travail superficiel du sol est autorisé au cours de l'engagement. 
</t>
        </r>
        <r>
          <rPr>
            <b/>
            <sz val="9"/>
            <color indexed="81"/>
            <rFont val="Tahoma"/>
            <family val="2"/>
          </rPr>
          <t>X :</t>
        </r>
        <r>
          <rPr>
            <sz val="9"/>
            <color indexed="81"/>
            <rFont val="Tahoma"/>
            <family val="2"/>
          </rPr>
          <t xml:space="preserve"> Mettre en défens au moins X % [0 ≤ X ≤ 10] des surfaces engagées conformément au plan de localisation. 
</t>
        </r>
        <r>
          <rPr>
            <b/>
            <sz val="9"/>
            <color indexed="81"/>
            <rFont val="Tahoma"/>
            <family val="2"/>
          </rPr>
          <t>Y :</t>
        </r>
        <r>
          <rPr>
            <sz val="9"/>
            <color indexed="81"/>
            <rFont val="Tahoma"/>
            <family val="2"/>
          </rPr>
          <t xml:space="preserve"> Respecter la limitation de la fertilisation azotée à Y kg N par ha et par an chaque année au cours des 5 ans (hors apports par pâturage) ou « respecter l’absence totale d’apport de fertilisants azotés minéraux et organiques (hors apports par pâturage) ».
</t>
        </r>
        <r>
          <rPr>
            <b/>
            <sz val="9"/>
            <color indexed="81"/>
            <rFont val="Tahoma"/>
            <family val="2"/>
          </rPr>
          <t xml:space="preserve">Z, Z' : </t>
        </r>
        <r>
          <rPr>
            <sz val="9"/>
            <color indexed="81"/>
            <rFont val="Tahoma"/>
            <family val="2"/>
          </rPr>
          <t xml:space="preserve"> [Si pertinent] Choisir l’une des obligations ou la combinaison des deux obligations ci-après : « Respecter la limitation de fertilisation P à Z kg P par ha et par an et de fertilisation K à Z’ kg K par ha et par an, chaque année au cours des 5 ans » ou « Respecter l’absence d'apports magnésiens et de chaux. »..  </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2.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20.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21.xml><?xml version="1.0" encoding="utf-8"?>
<comments xmlns="http://schemas.openxmlformats.org/spreadsheetml/2006/main">
  <authors>
    <author/>
  </authors>
  <commentList>
    <comment ref="F16"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9"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2"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4"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8"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1"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4"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6"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8"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9"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40"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41"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2"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4"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5"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6"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9"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2"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22.xml><?xml version="1.0" encoding="utf-8"?>
<comments xmlns="http://schemas.openxmlformats.org/spreadsheetml/2006/main">
  <authors>
    <author/>
  </authors>
  <commentList>
    <comment ref="F16"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9"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2"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4"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8"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1"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4"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6"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8"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9"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1"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2"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4"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5"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6"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9"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2"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23.xml><?xml version="1.0" encoding="utf-8"?>
<comments xmlns="http://schemas.openxmlformats.org/spreadsheetml/2006/main">
  <authors>
    <author/>
  </authors>
  <commentList>
    <comment ref="F17"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0"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3"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5"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8"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9"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2"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5"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7"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9"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40"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2"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5"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6"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7"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9"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0"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3"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24.xml><?xml version="1.0" encoding="utf-8"?>
<comments xmlns="http://schemas.openxmlformats.org/spreadsheetml/2006/main">
  <authors>
    <author/>
  </authors>
  <commentList>
    <comment ref="F18"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4"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9"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30"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6"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8"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40"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41"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3"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6"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7"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8"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9"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0"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4"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25.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9"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26.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9"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27.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28.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29.xml><?xml version="1.0" encoding="utf-8"?>
<comments xmlns="http://schemas.openxmlformats.org/spreadsheetml/2006/main">
  <authors>
    <author/>
  </authors>
  <commentList>
    <comment ref="F16"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9"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2"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4"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8"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1"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4"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6"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8"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9"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1"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4"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5"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6"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9"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2"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3.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30.xml><?xml version="1.0" encoding="utf-8"?>
<comments xmlns="http://schemas.openxmlformats.org/spreadsheetml/2006/main">
  <authors>
    <author/>
  </authors>
  <commentList>
    <comment ref="F16"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9"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2"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4"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8"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1"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4"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6"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8"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9"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1"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4"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5"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6"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9"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2"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31.xml><?xml version="1.0" encoding="utf-8"?>
<comments xmlns="http://schemas.openxmlformats.org/spreadsheetml/2006/main">
  <authors>
    <author/>
  </authors>
  <commentList>
    <comment ref="F16"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9"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2"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4"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8"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1"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4"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6"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8"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9"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1"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4"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5"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6"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9"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2"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32.xml><?xml version="1.0" encoding="utf-8"?>
<comments xmlns="http://schemas.openxmlformats.org/spreadsheetml/2006/main">
  <authors>
    <author/>
  </authors>
  <commentList>
    <comment ref="F16"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9"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2"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4"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8"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1"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4"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6"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8"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9"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1"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4"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5"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6"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9"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2"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33.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34.xml><?xml version="1.0" encoding="utf-8"?>
<comments xmlns="http://schemas.openxmlformats.org/spreadsheetml/2006/main">
  <authors>
    <author/>
  </authors>
  <commentLis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35.xml><?xml version="1.0" encoding="utf-8"?>
<comments xmlns="http://schemas.openxmlformats.org/spreadsheetml/2006/main">
  <authors>
    <author/>
  </authors>
  <commentLis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36.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37.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38.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39.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9"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0"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39"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4.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40.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9"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0"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39"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41.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42.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43.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39"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List>
</comments>
</file>

<file path=xl/comments44.xml><?xml version="1.0" encoding="utf-8"?>
<comments xmlns="http://schemas.openxmlformats.org/spreadsheetml/2006/main">
  <authors>
    <author/>
    <author>Juliette ASPAR</author>
    <author>Melanie Leclaire</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1" shapeId="0">
      <text>
        <r>
          <rPr>
            <sz val="9"/>
            <color indexed="81"/>
            <rFont val="Tahoma"/>
            <family val="2"/>
          </rPr>
          <t xml:space="preserve">Paramètres ESP2, ESP3, ESP4
</t>
        </r>
        <r>
          <rPr>
            <b/>
            <sz val="9"/>
            <color indexed="81"/>
            <rFont val="Tahoma"/>
            <family val="2"/>
          </rPr>
          <t>Dates :</t>
        </r>
        <r>
          <rPr>
            <sz val="9"/>
            <color indexed="81"/>
            <rFont val="Tahoma"/>
            <family val="2"/>
          </rPr>
          <t xml:space="preserve">  [Si pertinent] Respecter une période d'interdiction de pâturage allant du xx/xx au xx/xx. 
</t>
        </r>
        <r>
          <rPr>
            <b/>
            <sz val="9"/>
            <color indexed="81"/>
            <rFont val="Tahoma"/>
            <family val="2"/>
          </rPr>
          <t xml:space="preserve">Travail du sol : </t>
        </r>
        <r>
          <rPr>
            <sz val="9"/>
            <color indexed="81"/>
            <rFont val="Tahoma"/>
            <family val="2"/>
          </rPr>
          <t xml:space="preserve">Préciser si un renouvellement par travail superficiel du sol est autorisé au cours de l'engagement. 
</t>
        </r>
        <r>
          <rPr>
            <b/>
            <sz val="9"/>
            <color indexed="81"/>
            <rFont val="Tahoma"/>
            <family val="2"/>
          </rPr>
          <t>X :</t>
        </r>
        <r>
          <rPr>
            <sz val="9"/>
            <color indexed="81"/>
            <rFont val="Tahoma"/>
            <family val="2"/>
          </rPr>
          <t xml:space="preserve"> Mettre en défens au moins X % [0 ≤ X ≤ 10] des surfaces engagées conformément au plan de localisation. 
</t>
        </r>
        <r>
          <rPr>
            <b/>
            <sz val="9"/>
            <color indexed="81"/>
            <rFont val="Tahoma"/>
            <family val="2"/>
          </rPr>
          <t>Y :</t>
        </r>
        <r>
          <rPr>
            <sz val="9"/>
            <color indexed="81"/>
            <rFont val="Tahoma"/>
            <family val="2"/>
          </rPr>
          <t xml:space="preserve"> Respecter la limitation de la fertilisation azotée à Y kg N par ha et par an chaque année au cours des 5 ans (hors apports par pâturage) ou « respecter l’absence totale d’apport de fertilisants azotés minéraux et organiques (hors apports par pâturage) ».
</t>
        </r>
        <r>
          <rPr>
            <b/>
            <sz val="9"/>
            <color indexed="81"/>
            <rFont val="Tahoma"/>
            <family val="2"/>
          </rPr>
          <t xml:space="preserve">Z, Z' : </t>
        </r>
        <r>
          <rPr>
            <sz val="9"/>
            <color indexed="81"/>
            <rFont val="Tahoma"/>
            <family val="2"/>
          </rPr>
          <t xml:space="preserve"> [Si pertinent] Choisir l’une des obligations ou la combinaison des deux obligations ci-après : « Respecter la limitation de fertilisation P à Z kg P par ha et par an et de fertilisation K à Z’ kg K par ha et par an, chaque année au cours des 5 ans » ou « Respecter l’absence d'apports magnésiens et de chaux. »..  </t>
        </r>
      </text>
    </comment>
    <comment ref="F47" authorId="1" shapeId="0">
      <text>
        <r>
          <rPr>
            <sz val="9"/>
            <color indexed="81"/>
            <rFont val="Tahoma"/>
            <family val="2"/>
          </rPr>
          <t xml:space="preserve">Paramètres ESP2, ESP3, ESP4
</t>
        </r>
        <r>
          <rPr>
            <b/>
            <sz val="9"/>
            <color indexed="81"/>
            <rFont val="Tahoma"/>
            <family val="2"/>
          </rPr>
          <t>Dates :</t>
        </r>
        <r>
          <rPr>
            <sz val="9"/>
            <color indexed="81"/>
            <rFont val="Tahoma"/>
            <family val="2"/>
          </rPr>
          <t xml:space="preserve">  [Si pertinent] Respecter une période d'interdiction de pâturage allant du xx/xx au xx/xx. 
</t>
        </r>
        <r>
          <rPr>
            <b/>
            <sz val="9"/>
            <color indexed="81"/>
            <rFont val="Tahoma"/>
            <family val="2"/>
          </rPr>
          <t xml:space="preserve">Travail du sol : </t>
        </r>
        <r>
          <rPr>
            <sz val="9"/>
            <color indexed="81"/>
            <rFont val="Tahoma"/>
            <family val="2"/>
          </rPr>
          <t xml:space="preserve">Préciser si un renouvellement par travail superficiel du sol est autorisé au cours de l'engagement. 
</t>
        </r>
        <r>
          <rPr>
            <b/>
            <sz val="9"/>
            <color indexed="81"/>
            <rFont val="Tahoma"/>
            <family val="2"/>
          </rPr>
          <t>X :</t>
        </r>
        <r>
          <rPr>
            <sz val="9"/>
            <color indexed="81"/>
            <rFont val="Tahoma"/>
            <family val="2"/>
          </rPr>
          <t xml:space="preserve"> Mettre en défens au moins X % [0 ≤ X ≤ 10] des surfaces engagées conformément au plan de localisation. 
</t>
        </r>
        <r>
          <rPr>
            <b/>
            <sz val="9"/>
            <color indexed="81"/>
            <rFont val="Tahoma"/>
            <family val="2"/>
          </rPr>
          <t>Y :</t>
        </r>
        <r>
          <rPr>
            <sz val="9"/>
            <color indexed="81"/>
            <rFont val="Tahoma"/>
            <family val="2"/>
          </rPr>
          <t xml:space="preserve"> Respecter la limitation de la fertilisation azotée à Y kg N par ha et par an chaque année au cours des 5 ans (hors apports par pâturage) ou « respecter l’absence totale d’apport de fertilisants azotés minéraux et organiques (hors apports par pâturage) ».
</t>
        </r>
        <r>
          <rPr>
            <b/>
            <sz val="9"/>
            <color indexed="81"/>
            <rFont val="Tahoma"/>
            <family val="2"/>
          </rPr>
          <t xml:space="preserve">Z, Z' : </t>
        </r>
        <r>
          <rPr>
            <sz val="9"/>
            <color indexed="81"/>
            <rFont val="Tahoma"/>
            <family val="2"/>
          </rPr>
          <t xml:space="preserve"> [Si pertinent] Choisir l’une des obligations ou la combinaison des deux obligations ci-après : « Respecter la limitation de fertilisation P à Z kg P par ha et par an et de fertilisation K à Z’ kg K par ha et par an, chaque année au cours des 5 ans » ou « Respecter l’absence d'apports magnésiens et de chaux. »..  </t>
        </r>
      </text>
    </comment>
    <comment ref="F48" authorId="1" shapeId="0">
      <text>
        <r>
          <rPr>
            <sz val="9"/>
            <color indexed="81"/>
            <rFont val="Tahoma"/>
            <family val="2"/>
          </rPr>
          <t xml:space="preserve">Paramètres ESP2, ESP3, ESP4
</t>
        </r>
        <r>
          <rPr>
            <b/>
            <sz val="9"/>
            <color indexed="81"/>
            <rFont val="Tahoma"/>
            <family val="2"/>
          </rPr>
          <t>Dates :</t>
        </r>
        <r>
          <rPr>
            <sz val="9"/>
            <color indexed="81"/>
            <rFont val="Tahoma"/>
            <family val="2"/>
          </rPr>
          <t xml:space="preserve">  [Si pertinent] Respecter une période d'interdiction de pâturage allant du xx/xx au xx/xx. 
</t>
        </r>
        <r>
          <rPr>
            <b/>
            <sz val="9"/>
            <color indexed="81"/>
            <rFont val="Tahoma"/>
            <family val="2"/>
          </rPr>
          <t xml:space="preserve">Travail du sol : </t>
        </r>
        <r>
          <rPr>
            <sz val="9"/>
            <color indexed="81"/>
            <rFont val="Tahoma"/>
            <family val="2"/>
          </rPr>
          <t xml:space="preserve">Préciser si un renouvellement par travail superficiel du sol est autorisé au cours de l'engagement. 
</t>
        </r>
        <r>
          <rPr>
            <b/>
            <sz val="9"/>
            <color indexed="81"/>
            <rFont val="Tahoma"/>
            <family val="2"/>
          </rPr>
          <t>X :</t>
        </r>
        <r>
          <rPr>
            <sz val="9"/>
            <color indexed="81"/>
            <rFont val="Tahoma"/>
            <family val="2"/>
          </rPr>
          <t xml:space="preserve"> Mettre en défens au moins X % [0 ≤ X ≤ 10] des surfaces engagées conformément au plan de localisation. 
</t>
        </r>
        <r>
          <rPr>
            <b/>
            <sz val="9"/>
            <color indexed="81"/>
            <rFont val="Tahoma"/>
            <family val="2"/>
          </rPr>
          <t>Y :</t>
        </r>
        <r>
          <rPr>
            <sz val="9"/>
            <color indexed="81"/>
            <rFont val="Tahoma"/>
            <family val="2"/>
          </rPr>
          <t xml:space="preserve"> Respecter la limitation de la fertilisation azotée à Y kg N par ha et par an chaque année au cours des 5 ans (hors apports par pâturage) ou « respecter l’absence totale d’apport de fertilisants azotés minéraux et organiques (hors apports par pâturage) ».
</t>
        </r>
        <r>
          <rPr>
            <b/>
            <sz val="9"/>
            <color indexed="81"/>
            <rFont val="Tahoma"/>
            <family val="2"/>
          </rPr>
          <t xml:space="preserve">Z, Z' : </t>
        </r>
        <r>
          <rPr>
            <sz val="9"/>
            <color indexed="81"/>
            <rFont val="Tahoma"/>
            <family val="2"/>
          </rPr>
          <t xml:space="preserve"> [Si pertinent] Choisir l’une des obligations ou la combinaison des deux obligations ci-après : « Respecter la limitation de fertilisation P à Z kg P par ha et par an et de fertilisation K à Z’ kg K par ha et par an, chaque année au cours des 5 ans » ou « Respecter l’absence d'apports magnésiens et de chaux. »..  </t>
        </r>
      </text>
    </comment>
    <comment ref="F51" authorId="0" shapeId="0">
      <text>
        <r>
          <rPr>
            <sz val="11"/>
            <color theme="1"/>
            <rFont val="Calibri"/>
            <family val="2"/>
            <scheme val="minor"/>
          </rPr>
          <t>======
ID#AAABPR2J0jI
IAE1     (2024-06-07 12:21:00)
Préciser si la mesure concerne l'entretien de :
haies ; arbres ; ripisylves ; bosquets.</t>
        </r>
      </text>
    </comment>
    <comment ref="M51" authorId="2" shapeId="0">
      <text>
        <r>
          <rPr>
            <b/>
            <sz val="9"/>
            <color indexed="81"/>
            <rFont val="Tahoma"/>
            <family val="2"/>
          </rPr>
          <t>Melanie Leclaire:</t>
        </r>
        <r>
          <rPr>
            <sz val="9"/>
            <color indexed="81"/>
            <rFont val="Tahoma"/>
            <family val="2"/>
          </rPr>
          <t xml:space="preserve">
pb sur montant IAE1 ?</t>
        </r>
      </text>
    </comment>
    <comment ref="R51" authorId="2" shapeId="0">
      <text>
        <r>
          <rPr>
            <b/>
            <sz val="9"/>
            <color indexed="81"/>
            <rFont val="Tahoma"/>
            <family val="2"/>
          </rPr>
          <t>Melanie Leclaire:</t>
        </r>
        <r>
          <rPr>
            <sz val="9"/>
            <color indexed="81"/>
            <rFont val="Tahoma"/>
            <family val="2"/>
          </rPr>
          <t xml:space="preserve">
pb sur montant IAE1 ?</t>
        </r>
      </text>
    </comment>
    <comment ref="W51" authorId="2" shapeId="0">
      <text>
        <r>
          <rPr>
            <b/>
            <sz val="9"/>
            <color indexed="81"/>
            <rFont val="Tahoma"/>
            <family val="2"/>
          </rPr>
          <t>Melanie Leclaire:</t>
        </r>
        <r>
          <rPr>
            <sz val="9"/>
            <color indexed="81"/>
            <rFont val="Tahoma"/>
            <family val="2"/>
          </rPr>
          <t xml:space="preserve">
pb sur montant IAE1 ?</t>
        </r>
      </text>
    </comment>
  </commentList>
</comments>
</file>

<file path=xl/comments45.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46.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47.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48.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49.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5.xml><?xml version="1.0" encoding="utf-8"?>
<comments xmlns="http://schemas.openxmlformats.org/spreadsheetml/2006/main">
  <authors>
    <author/>
  </authors>
  <commentList>
    <comment ref="F15"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18"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50.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1"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51.xml><?xml version="1.0" encoding="utf-8"?>
<comments xmlns="http://schemas.openxmlformats.org/spreadsheetml/2006/main">
  <authors>
    <author/>
    <author>Juliette ASPAR</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1"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1" shapeId="0">
      <text>
        <r>
          <rPr>
            <sz val="9"/>
            <color indexed="81"/>
            <rFont val="Tahoma"/>
            <family val="2"/>
          </rPr>
          <t xml:space="preserve">Paramètres ESP2, ESP3, ESP4
</t>
        </r>
        <r>
          <rPr>
            <b/>
            <sz val="9"/>
            <color indexed="81"/>
            <rFont val="Tahoma"/>
            <family val="2"/>
          </rPr>
          <t>Dates :</t>
        </r>
        <r>
          <rPr>
            <sz val="9"/>
            <color indexed="81"/>
            <rFont val="Tahoma"/>
            <family val="2"/>
          </rPr>
          <t xml:space="preserve">  [Si pertinent] Respecter une période d'interdiction de pâturage allant du xx/xx au xx/xx. 
</t>
        </r>
        <r>
          <rPr>
            <b/>
            <sz val="9"/>
            <color indexed="81"/>
            <rFont val="Tahoma"/>
            <family val="2"/>
          </rPr>
          <t xml:space="preserve">Travail du sol : </t>
        </r>
        <r>
          <rPr>
            <sz val="9"/>
            <color indexed="81"/>
            <rFont val="Tahoma"/>
            <family val="2"/>
          </rPr>
          <t xml:space="preserve">Préciser si un renouvellement par travail superficiel du sol est autorisé au cours de l'engagement. 
</t>
        </r>
        <r>
          <rPr>
            <b/>
            <sz val="9"/>
            <color indexed="81"/>
            <rFont val="Tahoma"/>
            <family val="2"/>
          </rPr>
          <t>X :</t>
        </r>
        <r>
          <rPr>
            <sz val="9"/>
            <color indexed="81"/>
            <rFont val="Tahoma"/>
            <family val="2"/>
          </rPr>
          <t xml:space="preserve"> Mettre en défens au moins X % [0 ≤ X ≤ 10] des surfaces engagées conformément au plan de localisation. 
</t>
        </r>
        <r>
          <rPr>
            <b/>
            <sz val="9"/>
            <color indexed="81"/>
            <rFont val="Tahoma"/>
            <family val="2"/>
          </rPr>
          <t>Y :</t>
        </r>
        <r>
          <rPr>
            <sz val="9"/>
            <color indexed="81"/>
            <rFont val="Tahoma"/>
            <family val="2"/>
          </rPr>
          <t xml:space="preserve"> Respecter la limitation de la fertilisation azotée à Y kg N par ha et par an chaque année au cours des 5 ans (hors apports par pâturage) ou « respecter l’absence totale d’apport de fertilisants azotés minéraux et organiques (hors apports par pâturage) ».
</t>
        </r>
        <r>
          <rPr>
            <b/>
            <sz val="9"/>
            <color indexed="81"/>
            <rFont val="Tahoma"/>
            <family val="2"/>
          </rPr>
          <t xml:space="preserve">Z, Z' : </t>
        </r>
        <r>
          <rPr>
            <sz val="9"/>
            <color indexed="81"/>
            <rFont val="Tahoma"/>
            <family val="2"/>
          </rPr>
          <t xml:space="preserve"> [Si pertinent] Choisir l’une des obligations ou la combinaison des deux obligations ci-après : « Respecter la limitation de fertilisation P à Z kg P par ha et par an et de fertilisation K à Z’ kg K par ha et par an, chaque année au cours des 5 ans » ou « Respecter l’absence d'apports magnésiens et de chaux. »..  </t>
        </r>
      </text>
    </comment>
    <comment ref="F47" authorId="1" shapeId="0">
      <text>
        <r>
          <rPr>
            <sz val="9"/>
            <color indexed="81"/>
            <rFont val="Tahoma"/>
            <family val="2"/>
          </rPr>
          <t xml:space="preserve">Paramètres ESP2, ESP3, ESP4
</t>
        </r>
        <r>
          <rPr>
            <b/>
            <sz val="9"/>
            <color indexed="81"/>
            <rFont val="Tahoma"/>
            <family val="2"/>
          </rPr>
          <t>Dates :</t>
        </r>
        <r>
          <rPr>
            <sz val="9"/>
            <color indexed="81"/>
            <rFont val="Tahoma"/>
            <family val="2"/>
          </rPr>
          <t xml:space="preserve">  [Si pertinent] Respecter une période d'interdiction de pâturage allant du xx/xx au xx/xx. 
</t>
        </r>
        <r>
          <rPr>
            <b/>
            <sz val="9"/>
            <color indexed="81"/>
            <rFont val="Tahoma"/>
            <family val="2"/>
          </rPr>
          <t xml:space="preserve">Travail du sol : </t>
        </r>
        <r>
          <rPr>
            <sz val="9"/>
            <color indexed="81"/>
            <rFont val="Tahoma"/>
            <family val="2"/>
          </rPr>
          <t xml:space="preserve">Préciser si un renouvellement par travail superficiel du sol est autorisé au cours de l'engagement. 
</t>
        </r>
        <r>
          <rPr>
            <b/>
            <sz val="9"/>
            <color indexed="81"/>
            <rFont val="Tahoma"/>
            <family val="2"/>
          </rPr>
          <t>X :</t>
        </r>
        <r>
          <rPr>
            <sz val="9"/>
            <color indexed="81"/>
            <rFont val="Tahoma"/>
            <family val="2"/>
          </rPr>
          <t xml:space="preserve"> Mettre en défens au moins X % [0 ≤ X ≤ 10] des surfaces engagées conformément au plan de localisation. 
</t>
        </r>
        <r>
          <rPr>
            <b/>
            <sz val="9"/>
            <color indexed="81"/>
            <rFont val="Tahoma"/>
            <family val="2"/>
          </rPr>
          <t>Y :</t>
        </r>
        <r>
          <rPr>
            <sz val="9"/>
            <color indexed="81"/>
            <rFont val="Tahoma"/>
            <family val="2"/>
          </rPr>
          <t xml:space="preserve"> Respecter la limitation de la fertilisation azotée à Y kg N par ha et par an chaque année au cours des 5 ans (hors apports par pâturage) ou « respecter l’absence totale d’apport de fertilisants azotés minéraux et organiques (hors apports par pâturage) ».
</t>
        </r>
        <r>
          <rPr>
            <b/>
            <sz val="9"/>
            <color indexed="81"/>
            <rFont val="Tahoma"/>
            <family val="2"/>
          </rPr>
          <t xml:space="preserve">Z, Z' : </t>
        </r>
        <r>
          <rPr>
            <sz val="9"/>
            <color indexed="81"/>
            <rFont val="Tahoma"/>
            <family val="2"/>
          </rPr>
          <t xml:space="preserve"> [Si pertinent] Choisir l’une des obligations ou la combinaison des deux obligations ci-après : « Respecter la limitation de fertilisation P à Z kg P par ha et par an et de fertilisation K à Z’ kg K par ha et par an, chaque année au cours des 5 ans » ou « Respecter l’absence d'apports magnésiens et de chaux. »..  </t>
        </r>
      </text>
    </comment>
    <comment ref="F48" authorId="1" shapeId="0">
      <text>
        <r>
          <rPr>
            <sz val="9"/>
            <color indexed="81"/>
            <rFont val="Tahoma"/>
            <family val="2"/>
          </rPr>
          <t xml:space="preserve">Paramètres ESP2, ESP3, ESP4
</t>
        </r>
        <r>
          <rPr>
            <b/>
            <sz val="9"/>
            <color indexed="81"/>
            <rFont val="Tahoma"/>
            <family val="2"/>
          </rPr>
          <t>Dates :</t>
        </r>
        <r>
          <rPr>
            <sz val="9"/>
            <color indexed="81"/>
            <rFont val="Tahoma"/>
            <family val="2"/>
          </rPr>
          <t xml:space="preserve">  [Si pertinent] Respecter une période d'interdiction de pâturage allant du xx/xx au xx/xx. 
</t>
        </r>
        <r>
          <rPr>
            <b/>
            <sz val="9"/>
            <color indexed="81"/>
            <rFont val="Tahoma"/>
            <family val="2"/>
          </rPr>
          <t xml:space="preserve">Travail du sol : </t>
        </r>
        <r>
          <rPr>
            <sz val="9"/>
            <color indexed="81"/>
            <rFont val="Tahoma"/>
            <family val="2"/>
          </rPr>
          <t xml:space="preserve">Préciser si un renouvellement par travail superficiel du sol est autorisé au cours de l'engagement. 
</t>
        </r>
        <r>
          <rPr>
            <b/>
            <sz val="9"/>
            <color indexed="81"/>
            <rFont val="Tahoma"/>
            <family val="2"/>
          </rPr>
          <t>X :</t>
        </r>
        <r>
          <rPr>
            <sz val="9"/>
            <color indexed="81"/>
            <rFont val="Tahoma"/>
            <family val="2"/>
          </rPr>
          <t xml:space="preserve"> Mettre en défens au moins X % [0 ≤ X ≤ 10] des surfaces engagées conformément au plan de localisation. 
</t>
        </r>
        <r>
          <rPr>
            <b/>
            <sz val="9"/>
            <color indexed="81"/>
            <rFont val="Tahoma"/>
            <family val="2"/>
          </rPr>
          <t>Y :</t>
        </r>
        <r>
          <rPr>
            <sz val="9"/>
            <color indexed="81"/>
            <rFont val="Tahoma"/>
            <family val="2"/>
          </rPr>
          <t xml:space="preserve"> Respecter la limitation de la fertilisation azotée à Y kg N par ha et par an chaque année au cours des 5 ans (hors apports par pâturage) ou « respecter l’absence totale d’apport de fertilisants azotés minéraux et organiques (hors apports par pâturage) ».
</t>
        </r>
        <r>
          <rPr>
            <b/>
            <sz val="9"/>
            <color indexed="81"/>
            <rFont val="Tahoma"/>
            <family val="2"/>
          </rPr>
          <t xml:space="preserve">Z, Z' : </t>
        </r>
        <r>
          <rPr>
            <sz val="9"/>
            <color indexed="81"/>
            <rFont val="Tahoma"/>
            <family val="2"/>
          </rPr>
          <t xml:space="preserve"> [Si pertinent] Choisir l’une des obligations ou la combinaison des deux obligations ci-après : « Respecter la limitation de fertilisation P à Z kg P par ha et par an et de fertilisation K à Z’ kg K par ha et par an, chaque année au cours des 5 ans » ou « Respecter l’absence d'apports magnésiens et de chaux. »..  </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6.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7.xml><?xml version="1.0" encoding="utf-8"?>
<comments xmlns="http://schemas.openxmlformats.org/spreadsheetml/2006/main">
  <authors>
    <author/>
  </authors>
  <commentList>
    <comment ref="F15" authorId="0" shapeId="0">
      <text>
        <r>
          <rPr>
            <sz val="11"/>
            <color theme="1"/>
            <rFont val="Calibri"/>
            <family val="2"/>
            <scheme val="minor"/>
          </rPr>
          <t>======
ID#AAABPR2J0jM
Paramètres PHY1, PHY2, PHY3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18" authorId="0" shapeId="0">
      <text>
        <r>
          <rPr>
            <sz val="11"/>
            <color theme="1"/>
            <rFont val="Calibri"/>
            <family val="2"/>
            <scheme val="minor"/>
          </rPr>
          <t>======
ID#AAABPR2J0i8
Paramètres PHY4, PHY5, PHY6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21" authorId="0" shapeId="0">
      <text>
        <r>
          <rPr>
            <sz val="11"/>
            <color theme="1"/>
            <rFont val="Calibri"/>
            <family val="2"/>
            <scheme val="minor"/>
          </rPr>
          <t>======
ID#AAABPR2J0iY
Paramètres FER1, FER2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3" authorId="0" shapeId="0">
      <text>
        <r>
          <rPr>
            <sz val="11"/>
            <color theme="1"/>
            <rFont val="Calibri"/>
            <family val="2"/>
            <scheme val="minor"/>
          </rPr>
          <t>======
ID#AAABPR2J0i0
Paramètres FER3, FER4, FER5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6" authorId="0" shapeId="0">
      <text>
        <r>
          <rPr>
            <sz val="11"/>
            <color theme="1"/>
            <rFont val="Calibri"/>
            <family val="2"/>
            <scheme val="minor"/>
          </rPr>
          <t>======
ID#AAABPR2J0io
Paramètres FER6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
REH : A partir de la deuxième année d’engagement, atteindre en moyenne sur l’exploitation un reliquat entrée hiver inférieur ou égal à REH = kg/ha. Par défaut, la DRAAF a fixé un seuil à 100 kg/ha. L'opérateur reste libre de modifier ce seuil.</t>
        </r>
      </text>
    </comment>
    <comment ref="F27" authorId="0" shapeId="0">
      <text>
        <r>
          <rPr>
            <sz val="11"/>
            <color theme="1"/>
            <rFont val="Calibri"/>
            <family val="2"/>
            <scheme val="minor"/>
          </rPr>
          <t>======
ID#AAABPR2J0is
Paramètres COV1, COV2, COV3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0" authorId="0" shapeId="0">
      <text>
        <r>
          <rPr>
            <sz val="11"/>
            <color theme="1"/>
            <rFont val="Calibri"/>
            <family val="2"/>
            <scheme val="minor"/>
          </rPr>
          <t>======
ID#AAABPR2J0i4
Paramètres COV4, COV5, COV6     (2024-06-07 12:21:00)
X : Avoir chaque année au moins X% [10≤X≤40] des terres arables de l’exploitation en cultures à bas niveau d'impact OU en cultures de légumineuses. 
Y : Avoir chaque année au moins Y% [0≤Y&lt;X] (non obligatoire) des terres arables de l’exploitation en prairies temporaires.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3" authorId="0" shapeId="0">
      <text>
        <r>
          <rPr>
            <sz val="11"/>
            <color theme="1"/>
            <rFont val="Calibri"/>
            <family val="2"/>
            <scheme val="minor"/>
          </rPr>
          <t>======
ID#AAABPR2J0ig
Paramètres VIT1, VIT2, VIT3     (2024-06-07 12:21:00)
- Réalisation au minimum d'un traitement soufre en dehors de la période de floraison
- Utilisation d'au minimum 1 des dispositifs de lutte biologique suivant au cours de la campagne : cuivre, huiles essentielles, extraits végétaux, confusion sexuelle, bactéries ou autres produits homologués AB</t>
        </r>
      </text>
    </comment>
    <comment ref="F35" authorId="0" shapeId="0">
      <text>
        <r>
          <rPr>
            <sz val="11"/>
            <color theme="1"/>
            <rFont val="Calibri"/>
            <family val="2"/>
            <scheme val="minor"/>
          </rPr>
          <t>======
ID#AAABPR2J0jE
Paramètres SDC1, SDC2     (2024-06-07 12:21:00)
X : % minimal de légumineuses parmis les terres arables de l'exploitation  
V : A partir de la deuxième année d'engagement, avoir au minimum V% [V≥1] des terres arables de l’exploitation en jachères mellifères 1%
W : A partir de la quatrième année d'engagement, avoir au minimum W% [W≥0,2] des terres arables de l’exploitation en haies. 
Dates :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F37" authorId="0" shapeId="0">
      <text>
        <r>
          <rPr>
            <sz val="11"/>
            <color theme="1"/>
            <rFont val="Calibri"/>
            <family val="2"/>
            <scheme val="minor"/>
          </rPr>
          <t>======
ID#AAABPRwhb3s
Paramètres HBV1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t>
        </r>
      </text>
    </comment>
    <comment ref="F38" authorId="0" shapeId="0">
      <text>
        <r>
          <rPr>
            <sz val="11"/>
            <color theme="1"/>
            <rFont val="Calibri"/>
            <family val="2"/>
            <scheme val="minor"/>
          </rPr>
          <t>======
ID#AAABPR2J0jA
Paramètres HBV2, HBV3     (2024-06-07 12:21:00)
W : Respecter un chargement moyen annuel maximal de W UGB/hectare de surface fourragère de l'exploitation.
X  : Respecter une part minimale de X% de surface en herbe dans la SAU de l'exploitation.
Y : Respecter une part maximale Y% de surface en maïs avec la précision « Récolte ensilage » dans la surface fourragère de l'exploitation.
Z : Respecter une part minimale de Z% [Z&gt;0] de surfaces en prairies permanentes dans la SAU de l’exploitation.</t>
        </r>
      </text>
    </comment>
    <comment ref="F40" authorId="0" shapeId="0">
      <text>
        <r>
          <rPr>
            <sz val="11"/>
            <color theme="1"/>
            <rFont val="Calibri"/>
            <family val="2"/>
            <scheme val="minor"/>
          </rPr>
          <t>======
ID#AAABPR2J0iU
Paramètres MHU1 et MHU 2     (2024-06-07 12:21:00)
X : taux de chargement maximal moyen annuel à la parcelle ( X ≤ 1,4 UGB/ha/an ).
Y : taux de chargement minimal moyen annuel sur les surfaces en herbe à l'échelle de l'exploitation (0,05 UGB/ha/an ≤ Y ≤ 0,2 UGB/ha/an)
W : limitation de la fertilisation azotée à W kg N/ha au cours des 5 ans
(hors apports par pâturage) ou absence totale d’apport de fertilisants azotés minéraux et organiques (hors apports par pâturage).
Z : taux de chargement maximal instantané de Z UGB/ha à la parcelle, en période hivernale allant du xx/xx au xx/xx, sur les parcelles engagées.</t>
        </r>
      </text>
    </comment>
    <comment ref="F43" authorId="0" shapeId="0">
      <text>
        <r>
          <rPr>
            <sz val="11"/>
            <color theme="1"/>
            <rFont val="Calibri"/>
            <family val="2"/>
            <scheme val="minor"/>
          </rPr>
          <t>======
ID#AAABPR2J0iw
Paramètres CIFF     (2024-06-07 12:21:00)
Date max implantation : Implantation du couvert au plus tard le xx/xx de la première année d'engagement. 
Listes couverts  : préciser la liste des couverts autorisés sur le territoire
X, Y, Z : Respecter une largeur minimale de X mètres et maximale de Y mètres et/ou une surface minimale de Z ha du couvert d'intérêt. 
Dates sans intervention méca : Ne pas réaliser d'intervention mécanique entre le yy/yy et le yy/yy.
Modalités d’entretien [Si pertinent] : préciser les modalités d’entretien si retenu pour la mesure.</t>
        </r>
      </text>
    </comment>
    <comment ref="F44" authorId="0" shapeId="0">
      <text>
        <r>
          <rPr>
            <sz val="11"/>
            <color theme="1"/>
            <rFont val="Calibri"/>
            <family val="2"/>
            <scheme val="minor"/>
          </rPr>
          <t>======
ID#AAABPR2J0jQ
Paramètres CPRA     (2024-06-07 12:21:00)
X et Y : respecter une largeur minimale de X mètres et/ou une taille minimale de Y ha du couvert herbacé.</t>
        </r>
      </text>
    </comment>
    <comment ref="F45" authorId="0" shapeId="0">
      <text>
        <r>
          <rPr>
            <sz val="11"/>
            <color theme="1"/>
            <rFont val="Calibri"/>
            <family val="2"/>
            <scheme val="minor"/>
          </rPr>
          <t>======
ID#AAABPRwhb3w
Auteur    (2024-06-07 12:21:00)
Paramètres ESP1
Dates :  [Si pertinent] Respecter une période d'interdiction de pâturage allant du xx/xx au xx/xx. 
Travail du sol : Préciser si un renouvellement par travail superficiel du sol est autorisé au cours de l'engagement.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6" authorId="0" shapeId="0">
      <text>
        <r>
          <rPr>
            <sz val="11"/>
            <color theme="1"/>
            <rFont val="Calibri"/>
            <family val="2"/>
            <scheme val="minor"/>
          </rPr>
          <t>======
ID#AAABPR2J0ik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7" authorId="0" shapeId="0">
      <text>
        <r>
          <rPr>
            <sz val="11"/>
            <color theme="1"/>
            <rFont val="Calibri"/>
            <family val="2"/>
            <scheme val="minor"/>
          </rPr>
          <t>======
ID#AAABPRwhb30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48" authorId="0" shapeId="0">
      <text>
        <r>
          <rPr>
            <sz val="11"/>
            <color theme="1"/>
            <rFont val="Calibri"/>
            <family val="2"/>
            <scheme val="minor"/>
          </rPr>
          <t>======
ID#AAABPR2J0ic
Auteur    (2024-06-07 12:21:00)
Paramètres ESP2, ESP3, ESP4
Dates :  [Si pertinent] Respecter une période d'interdiction de pâturage allant du xx/xx au xx/xx. 
Travail du sol : Préciser si un renouvellement par travail superficiel du sol est autorisé au cours de l'engagement. 
X : Mettre en défens au moins X % [0 ≤ X ≤ 10] des surfaces engagées conformément au plan de localisation. 
Y : Respecter la limitation de la fertilisation azotée à Y kg N par ha et par an chaque année au cours des 5 ans (hors apports par pâturage).
Z, Z' :  [Si pertinent] Choisir l’une des obligations ou la combinaison des deux obligations ci-après : « Respecter la limitation de fertilisation P à Z kg P par ha et par an et de fertilisation K à Z’ kg K par ha et par an, chaque année au cours des 5 ans.</t>
        </r>
      </text>
    </comment>
    <comment ref="F51" authorId="0" shapeId="0">
      <text>
        <r>
          <rPr>
            <sz val="11"/>
            <color theme="1"/>
            <rFont val="Calibri"/>
            <family val="2"/>
            <scheme val="minor"/>
          </rPr>
          <t>======
ID#AAABPR2J0jI
IAE1     (2024-06-07 12:21:00)
Préciser si la mesure concerne l'entretien de :
haies ; arbres ; ripisylves ; bosquets.</t>
        </r>
      </text>
    </comment>
  </commentList>
</comments>
</file>

<file path=xl/comments8.xml><?xml version="1.0" encoding="utf-8"?>
<comments xmlns="http://schemas.openxmlformats.org/spreadsheetml/2006/main">
  <authors>
    <author>Juliette ASPAR</author>
  </authors>
  <commentList>
    <comment ref="E13" authorId="0" shapeId="0">
      <text>
        <r>
          <rPr>
            <sz val="9"/>
            <color indexed="81"/>
            <rFont val="Tahoma"/>
            <family val="2"/>
          </rPr>
          <t>P</t>
        </r>
        <r>
          <rPr>
            <u/>
            <sz val="9"/>
            <color indexed="81"/>
            <rFont val="Tahoma"/>
            <family val="2"/>
          </rPr>
          <t xml:space="preserve">aramètres PHY2, PHY3, PHY5, PHY6: </t>
        </r>
        <r>
          <rPr>
            <sz val="9"/>
            <color indexed="81"/>
            <rFont val="Tahoma"/>
            <family val="2"/>
          </rPr>
          <t xml:space="preserve">
</t>
        </r>
        <r>
          <rPr>
            <b/>
            <sz val="9"/>
            <color indexed="81"/>
            <rFont val="Tahoma"/>
            <family val="2"/>
          </rPr>
          <t>X :</t>
        </r>
        <r>
          <rPr>
            <sz val="9"/>
            <color indexed="81"/>
            <rFont val="Tahoma"/>
            <family val="2"/>
          </rPr>
          <t xml:space="preserve"> Avoir chaque année au moins X% [10≤X≤40] des terres arables de l’exploitation en cultures à bas niveau d'impact OU en cultures de légumineuses. 
</t>
        </r>
        <r>
          <rPr>
            <b/>
            <sz val="9"/>
            <color indexed="81"/>
            <rFont val="Tahoma"/>
            <family val="2"/>
          </rPr>
          <t xml:space="preserve">Y : </t>
        </r>
        <r>
          <rPr>
            <sz val="9"/>
            <color indexed="81"/>
            <rFont val="Tahoma"/>
            <family val="2"/>
          </rPr>
          <t xml:space="preserve">Avoir chaque année au moins Y% [0≤Y&lt;X] (non obligatoire) des terres arables de l’exploitation en prairies temporaires. 
</t>
        </r>
        <r>
          <rPr>
            <b/>
            <sz val="9"/>
            <color indexed="81"/>
            <rFont val="Tahoma"/>
            <family val="2"/>
          </rPr>
          <t>V :</t>
        </r>
        <r>
          <rPr>
            <sz val="9"/>
            <color indexed="81"/>
            <rFont val="Tahoma"/>
            <family val="2"/>
          </rPr>
          <t xml:space="preserve"> A partir de la deuxième année d'engagement, avoir au minimum V% [V≥1] des terres arables de l’exploitation en jachères mellifères 1%
</t>
        </r>
        <r>
          <rPr>
            <b/>
            <sz val="9"/>
            <color indexed="81"/>
            <rFont val="Tahoma"/>
            <family val="2"/>
          </rPr>
          <t xml:space="preserve">W : </t>
        </r>
        <r>
          <rPr>
            <sz val="9"/>
            <color indexed="81"/>
            <rFont val="Tahoma"/>
            <family val="2"/>
          </rPr>
          <t xml:space="preserve">A partir de la quatrième année d'engagement, avoir au minimum W% [W≥0,2] des terres arables de l’exploitation en haies. 
</t>
        </r>
        <r>
          <rPr>
            <b/>
            <sz val="9"/>
            <color indexed="81"/>
            <rFont val="Tahoma"/>
            <family val="2"/>
          </rPr>
          <t>Dates :</t>
        </r>
        <r>
          <rPr>
            <sz val="9"/>
            <color indexed="81"/>
            <rFont val="Tahoma"/>
            <family val="2"/>
          </rPr>
          <t xml:space="preserve">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E18" authorId="0" shapeId="0">
      <text>
        <r>
          <rPr>
            <u/>
            <sz val="9"/>
            <color indexed="81"/>
            <rFont val="Tahoma"/>
            <family val="2"/>
          </rPr>
          <t xml:space="preserve">Paramètres CPRA : </t>
        </r>
        <r>
          <rPr>
            <sz val="9"/>
            <color indexed="81"/>
            <rFont val="Tahoma"/>
            <family val="2"/>
          </rPr>
          <t xml:space="preserve">
</t>
        </r>
        <r>
          <rPr>
            <b/>
            <sz val="9"/>
            <color indexed="81"/>
            <rFont val="Tahoma"/>
            <family val="2"/>
          </rPr>
          <t>X, Y :</t>
        </r>
        <r>
          <rPr>
            <sz val="9"/>
            <color indexed="81"/>
            <rFont val="Tahoma"/>
            <family val="2"/>
          </rPr>
          <t xml:space="preserve"> Respecter une largeur minimale de X mètres et/ou une taille minimale de Y ha du couvert herbacé. 
</t>
        </r>
        <r>
          <rPr>
            <b/>
            <sz val="9"/>
            <color indexed="81"/>
            <rFont val="Tahoma"/>
            <family val="2"/>
          </rPr>
          <t>Liste couverts :</t>
        </r>
        <r>
          <rPr>
            <sz val="9"/>
            <color indexed="81"/>
            <rFont val="Tahoma"/>
            <family val="2"/>
          </rPr>
          <t xml:space="preserve"> Préciser la liste des couverts autorisés sur le territoire. 
</t>
        </r>
        <r>
          <rPr>
            <b/>
            <sz val="9"/>
            <color indexed="81"/>
            <rFont val="Tahoma"/>
            <family val="2"/>
          </rPr>
          <t xml:space="preserve">Travail du sol : </t>
        </r>
        <r>
          <rPr>
            <sz val="9"/>
            <color indexed="81"/>
            <rFont val="Tahoma"/>
            <family val="2"/>
          </rPr>
          <t xml:space="preserve"> Préciser si un renouvellement par travail superficiel du sol est autorisé au cours de l'engagement.</t>
        </r>
      </text>
    </comment>
    <comment ref="E20" authorId="0" shapeId="0">
      <text>
        <r>
          <rPr>
            <sz val="9"/>
            <color indexed="81"/>
            <rFont val="Tahoma"/>
            <family val="2"/>
          </rPr>
          <t>P</t>
        </r>
        <r>
          <rPr>
            <u/>
            <sz val="9"/>
            <color indexed="81"/>
            <rFont val="Tahoma"/>
            <family val="2"/>
          </rPr>
          <t xml:space="preserve">aramètres SDC1 : </t>
        </r>
        <r>
          <rPr>
            <sz val="9"/>
            <color indexed="81"/>
            <rFont val="Tahoma"/>
            <family val="2"/>
          </rPr>
          <t xml:space="preserve">
</t>
        </r>
        <r>
          <rPr>
            <b/>
            <sz val="9"/>
            <color indexed="81"/>
            <rFont val="Tahoma"/>
            <family val="2"/>
          </rPr>
          <t>X :</t>
        </r>
        <r>
          <rPr>
            <sz val="9"/>
            <color indexed="81"/>
            <rFont val="Tahoma"/>
            <family val="2"/>
          </rPr>
          <t xml:space="preserve"> Avoir chaque année X% de légumineuses sur l’ensemble des terres arables de l’exploitation.</t>
        </r>
        <r>
          <rPr>
            <sz val="9"/>
            <color indexed="81"/>
            <rFont val="Tahoma"/>
            <family val="2"/>
          </rPr>
          <t xml:space="preserve">
</t>
        </r>
        <r>
          <rPr>
            <b/>
            <sz val="9"/>
            <color indexed="81"/>
            <rFont val="Tahoma"/>
            <family val="2"/>
          </rPr>
          <t>V :</t>
        </r>
        <r>
          <rPr>
            <sz val="9"/>
            <color indexed="81"/>
            <rFont val="Tahoma"/>
            <family val="2"/>
          </rPr>
          <t xml:space="preserve"> A partir de la deuxième année d'engagement, avoir au minimum V% [V≥1] des terres arables de l’exploitation en jachères mellifères.
</t>
        </r>
        <r>
          <rPr>
            <b/>
            <sz val="9"/>
            <color indexed="81"/>
            <rFont val="Tahoma"/>
            <family val="2"/>
          </rPr>
          <t xml:space="preserve">W : </t>
        </r>
        <r>
          <rPr>
            <sz val="9"/>
            <color indexed="81"/>
            <rFont val="Tahoma"/>
            <family val="2"/>
          </rPr>
          <t xml:space="preserve">A partir de la quatrième année d'engagement, avoir au minimum W% [W≥0,2] des terres arables de l’exploitation en haies. 
</t>
        </r>
        <r>
          <rPr>
            <b/>
            <sz val="9"/>
            <color indexed="81"/>
            <rFont val="Tahoma"/>
            <family val="2"/>
          </rPr>
          <t>Dates :</t>
        </r>
        <r>
          <rPr>
            <sz val="9"/>
            <color indexed="81"/>
            <rFont val="Tahoma"/>
            <family val="2"/>
          </rPr>
          <t xml:space="preserve">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E22" authorId="0" shapeId="0">
      <text>
        <r>
          <rPr>
            <u/>
            <sz val="9"/>
            <color indexed="81"/>
            <rFont val="Tahoma"/>
            <family val="2"/>
          </rPr>
          <t xml:space="preserve">Paramètres HBV1 : </t>
        </r>
        <r>
          <rPr>
            <sz val="9"/>
            <color indexed="81"/>
            <rFont val="Tahoma"/>
            <family val="2"/>
          </rPr>
          <t xml:space="preserve">
</t>
        </r>
        <r>
          <rPr>
            <b/>
            <sz val="9"/>
            <color indexed="81"/>
            <rFont val="Tahoma"/>
            <family val="2"/>
          </rPr>
          <t>W :</t>
        </r>
        <r>
          <rPr>
            <sz val="9"/>
            <color indexed="81"/>
            <rFont val="Tahoma"/>
            <family val="2"/>
          </rPr>
          <t xml:space="preserve"> Respecter un chargement moyen annuel maximal de W UGB/hectare de surface fourragère de l'exploitation.
</t>
        </r>
        <r>
          <rPr>
            <b/>
            <sz val="9"/>
            <color indexed="81"/>
            <rFont val="Tahoma"/>
            <family val="2"/>
          </rPr>
          <t>X  :</t>
        </r>
        <r>
          <rPr>
            <sz val="9"/>
            <color indexed="81"/>
            <rFont val="Tahoma"/>
            <family val="2"/>
          </rPr>
          <t xml:space="preserve"> Respecter une part minimale de X% de surface en herbe dans la SAU de l'exploitation.
</t>
        </r>
        <r>
          <rPr>
            <b/>
            <sz val="9"/>
            <color indexed="81"/>
            <rFont val="Tahoma"/>
            <family val="2"/>
          </rPr>
          <t>Y :</t>
        </r>
        <r>
          <rPr>
            <sz val="9"/>
            <color indexed="81"/>
            <rFont val="Tahoma"/>
            <family val="2"/>
          </rPr>
          <t xml:space="preserve"> Respecter une part maximale Y% de surface en maïs avec la précision « Récolte ensilage » dans la surface fourragère de l'exploitation.</t>
        </r>
      </text>
    </comment>
    <comment ref="E23" authorId="0" shapeId="0">
      <text>
        <r>
          <rPr>
            <u/>
            <sz val="9"/>
            <color indexed="81"/>
            <rFont val="Tahoma"/>
            <family val="2"/>
          </rPr>
          <t xml:space="preserve">Paramètres HBV2, HBV3 : </t>
        </r>
        <r>
          <rPr>
            <sz val="9"/>
            <color indexed="81"/>
            <rFont val="Tahoma"/>
            <family val="2"/>
          </rPr>
          <t xml:space="preserve">
</t>
        </r>
        <r>
          <rPr>
            <b/>
            <sz val="9"/>
            <color indexed="81"/>
            <rFont val="Tahoma"/>
            <family val="2"/>
          </rPr>
          <t>W :</t>
        </r>
        <r>
          <rPr>
            <sz val="9"/>
            <color indexed="81"/>
            <rFont val="Tahoma"/>
            <family val="2"/>
          </rPr>
          <t xml:space="preserve"> Respecter un chargement moyen annuel maximal de W UGB/hectare de surface fourragère de l'exploitation.
</t>
        </r>
        <r>
          <rPr>
            <b/>
            <sz val="9"/>
            <color indexed="81"/>
            <rFont val="Tahoma"/>
            <family val="2"/>
          </rPr>
          <t>X  :</t>
        </r>
        <r>
          <rPr>
            <sz val="9"/>
            <color indexed="81"/>
            <rFont val="Tahoma"/>
            <family val="2"/>
          </rPr>
          <t xml:space="preserve"> Respecter une part minimale de X% de surface en herbe dans la SAU de l'exploitation.
</t>
        </r>
        <r>
          <rPr>
            <b/>
            <sz val="9"/>
            <color indexed="81"/>
            <rFont val="Tahoma"/>
            <family val="2"/>
          </rPr>
          <t>Y :</t>
        </r>
        <r>
          <rPr>
            <sz val="9"/>
            <color indexed="81"/>
            <rFont val="Tahoma"/>
            <family val="2"/>
          </rPr>
          <t xml:space="preserve"> Respecter une part maximale Y% de surface en maïs avec la précision « Récolte ensilage » dans la surface fourragère de l'exploitation.
</t>
        </r>
        <r>
          <rPr>
            <b/>
            <sz val="9"/>
            <color indexed="81"/>
            <rFont val="Tahoma"/>
            <family val="2"/>
          </rPr>
          <t>Z :</t>
        </r>
        <r>
          <rPr>
            <sz val="9"/>
            <color indexed="81"/>
            <rFont val="Tahoma"/>
            <family val="2"/>
          </rPr>
          <t xml:space="preserve"> Respecter une part minimale de Z% [Z&gt;0] de surfaces en prairies permanentes dans la SAU de l’exploitation. </t>
        </r>
      </text>
    </comment>
  </commentList>
</comments>
</file>

<file path=xl/comments9.xml><?xml version="1.0" encoding="utf-8"?>
<comments xmlns="http://schemas.openxmlformats.org/spreadsheetml/2006/main">
  <authors>
    <author>Juliette ASPAR</author>
    <author>Auteur</author>
  </authors>
  <commentList>
    <comment ref="E18" authorId="0" shapeId="0">
      <text>
        <r>
          <rPr>
            <sz val="9"/>
            <color indexed="81"/>
            <rFont val="Tahoma"/>
            <family val="2"/>
          </rPr>
          <t>P</t>
        </r>
        <r>
          <rPr>
            <u/>
            <sz val="9"/>
            <color indexed="81"/>
            <rFont val="Tahoma"/>
            <family val="2"/>
          </rPr>
          <t xml:space="preserve">aramètres PHY2, PHY3, PHY5, PHY6 : </t>
        </r>
        <r>
          <rPr>
            <sz val="9"/>
            <color indexed="81"/>
            <rFont val="Tahoma"/>
            <family val="2"/>
          </rPr>
          <t xml:space="preserve">
</t>
        </r>
        <r>
          <rPr>
            <b/>
            <sz val="9"/>
            <color indexed="81"/>
            <rFont val="Tahoma"/>
            <family val="2"/>
          </rPr>
          <t>X :</t>
        </r>
        <r>
          <rPr>
            <sz val="9"/>
            <color indexed="81"/>
            <rFont val="Tahoma"/>
            <family val="2"/>
          </rPr>
          <t xml:space="preserve"> Avoir chaque année au moins X% [10≤X≤40] des terres arables de l’exploitation en cultures à bas niveau d'impact OU en cultures de légumineuses. 
</t>
        </r>
        <r>
          <rPr>
            <b/>
            <sz val="9"/>
            <color indexed="81"/>
            <rFont val="Tahoma"/>
            <family val="2"/>
          </rPr>
          <t xml:space="preserve">Y : </t>
        </r>
        <r>
          <rPr>
            <sz val="9"/>
            <color indexed="81"/>
            <rFont val="Tahoma"/>
            <family val="2"/>
          </rPr>
          <t xml:space="preserve">Avoir chaque année au moins Y% [0≤Y&lt;X] (non obligatoire) des terres arables de l’exploitation en prairies temporaires. 
</t>
        </r>
        <r>
          <rPr>
            <b/>
            <sz val="9"/>
            <color indexed="81"/>
            <rFont val="Tahoma"/>
            <family val="2"/>
          </rPr>
          <t>V :</t>
        </r>
        <r>
          <rPr>
            <sz val="9"/>
            <color indexed="81"/>
            <rFont val="Tahoma"/>
            <family val="2"/>
          </rPr>
          <t xml:space="preserve"> A partir de la deuxième année d'engagement, avoir au minimum V% [V≥1] des terres arables de l’exploitation en jachères mellifères 1%
</t>
        </r>
        <r>
          <rPr>
            <b/>
            <sz val="9"/>
            <color indexed="81"/>
            <rFont val="Tahoma"/>
            <family val="2"/>
          </rPr>
          <t xml:space="preserve">W : </t>
        </r>
        <r>
          <rPr>
            <sz val="9"/>
            <color indexed="81"/>
            <rFont val="Tahoma"/>
            <family val="2"/>
          </rPr>
          <t xml:space="preserve">A partir de la quatrième année d'engagement, avoir au minimum W% [W≥0,2] des terres arables de l’exploitation en haies. 
</t>
        </r>
        <r>
          <rPr>
            <b/>
            <sz val="9"/>
            <color indexed="81"/>
            <rFont val="Tahoma"/>
            <family val="2"/>
          </rPr>
          <t>Dates :</t>
        </r>
        <r>
          <rPr>
            <sz val="9"/>
            <color indexed="81"/>
            <rFont val="Tahoma"/>
            <family val="2"/>
          </rPr>
          <t xml:space="preserve">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E20" authorId="0" shapeId="0">
      <text>
        <r>
          <rPr>
            <sz val="9"/>
            <color indexed="81"/>
            <rFont val="Tahoma"/>
            <family val="2"/>
          </rPr>
          <t>P</t>
        </r>
        <r>
          <rPr>
            <u/>
            <sz val="9"/>
            <color indexed="81"/>
            <rFont val="Tahoma"/>
            <family val="2"/>
          </rPr>
          <t xml:space="preserve">aramètres PHY2, PHY3, PHY5, PHY6 : </t>
        </r>
        <r>
          <rPr>
            <sz val="9"/>
            <color indexed="81"/>
            <rFont val="Tahoma"/>
            <family val="2"/>
          </rPr>
          <t xml:space="preserve">
</t>
        </r>
        <r>
          <rPr>
            <b/>
            <sz val="9"/>
            <color indexed="81"/>
            <rFont val="Tahoma"/>
            <family val="2"/>
          </rPr>
          <t>X :</t>
        </r>
        <r>
          <rPr>
            <sz val="9"/>
            <color indexed="81"/>
            <rFont val="Tahoma"/>
            <family val="2"/>
          </rPr>
          <t xml:space="preserve"> Avoir chaque année au moins X% [10≤X≤40] des terres arables de l’exploitation en cultures à bas niveau d'impact OU en cultures de légumineuses. 
</t>
        </r>
        <r>
          <rPr>
            <b/>
            <sz val="9"/>
            <color indexed="81"/>
            <rFont val="Tahoma"/>
            <family val="2"/>
          </rPr>
          <t xml:space="preserve">Y : </t>
        </r>
        <r>
          <rPr>
            <sz val="9"/>
            <color indexed="81"/>
            <rFont val="Tahoma"/>
            <family val="2"/>
          </rPr>
          <t xml:space="preserve">Avoir chaque année au moins Y% [0≤Y&lt;X] (non obligatoire) des terres arables de l’exploitation en prairies temporaires. 
</t>
        </r>
        <r>
          <rPr>
            <b/>
            <sz val="9"/>
            <color indexed="81"/>
            <rFont val="Tahoma"/>
            <family val="2"/>
          </rPr>
          <t>V :</t>
        </r>
        <r>
          <rPr>
            <sz val="9"/>
            <color indexed="81"/>
            <rFont val="Tahoma"/>
            <family val="2"/>
          </rPr>
          <t xml:space="preserve"> A partir de la deuxième année d'engagement, avoir au minimum V% [V≥1] des terres arables de l’exploitation en jachères mellifères 1%
</t>
        </r>
        <r>
          <rPr>
            <b/>
            <sz val="9"/>
            <color indexed="81"/>
            <rFont val="Tahoma"/>
            <family val="2"/>
          </rPr>
          <t xml:space="preserve">W : </t>
        </r>
        <r>
          <rPr>
            <sz val="9"/>
            <color indexed="81"/>
            <rFont val="Tahoma"/>
            <family val="2"/>
          </rPr>
          <t xml:space="preserve">A partir de la quatrième année d'engagement, avoir au minimum W% [W≥0,2] des terres arables de l’exploitation en haies. 
</t>
        </r>
        <r>
          <rPr>
            <b/>
            <sz val="9"/>
            <color indexed="81"/>
            <rFont val="Tahoma"/>
            <family val="2"/>
          </rPr>
          <t>Dates :</t>
        </r>
        <r>
          <rPr>
            <sz val="9"/>
            <color indexed="81"/>
            <rFont val="Tahoma"/>
            <family val="2"/>
          </rPr>
          <t xml:space="preserve"> Absence d'intrant sur la totalité des infrastructures agro-écologiques et des terres en jachère de l’exploitation (produits phytosanitaires et engrais minéraux) et absence d'intervention sur les haies du XX/XX au XX/XX [a minima entre le 16 mars et le 15 août]</t>
        </r>
      </text>
    </comment>
    <comment ref="E21" authorId="0" shapeId="0">
      <text>
        <r>
          <rPr>
            <u/>
            <sz val="9"/>
            <color indexed="81"/>
            <rFont val="Tahoma"/>
            <family val="2"/>
          </rPr>
          <t xml:space="preserve">Paramètres HBV1 : </t>
        </r>
        <r>
          <rPr>
            <sz val="9"/>
            <color indexed="81"/>
            <rFont val="Tahoma"/>
            <family val="2"/>
          </rPr>
          <t xml:space="preserve">
</t>
        </r>
        <r>
          <rPr>
            <b/>
            <sz val="9"/>
            <color indexed="81"/>
            <rFont val="Tahoma"/>
            <family val="2"/>
          </rPr>
          <t>W :</t>
        </r>
        <r>
          <rPr>
            <sz val="9"/>
            <color indexed="81"/>
            <rFont val="Tahoma"/>
            <family val="2"/>
          </rPr>
          <t xml:space="preserve"> Respecter un chargement moyen annuel maximal de W UGB/hectare de surface fourragère de l'exploitation.
</t>
        </r>
        <r>
          <rPr>
            <b/>
            <sz val="9"/>
            <color indexed="81"/>
            <rFont val="Tahoma"/>
            <family val="2"/>
          </rPr>
          <t>X  :</t>
        </r>
        <r>
          <rPr>
            <sz val="9"/>
            <color indexed="81"/>
            <rFont val="Tahoma"/>
            <family val="2"/>
          </rPr>
          <t xml:space="preserve"> Respecter une part minimale de X% de surface en herbe dans la SAU de l'exploitation.
</t>
        </r>
        <r>
          <rPr>
            <b/>
            <sz val="9"/>
            <color indexed="81"/>
            <rFont val="Tahoma"/>
            <family val="2"/>
          </rPr>
          <t>Y :</t>
        </r>
        <r>
          <rPr>
            <sz val="9"/>
            <color indexed="81"/>
            <rFont val="Tahoma"/>
            <family val="2"/>
          </rPr>
          <t xml:space="preserve"> Respecter une part maximale Y% de surface en maïs avec la précision « Récolte ensilage » dans la surface fourragère de l'exploitation.</t>
        </r>
      </text>
    </comment>
    <comment ref="E22" authorId="1" shapeId="0">
      <text>
        <r>
          <rPr>
            <b/>
            <u/>
            <sz val="9"/>
            <color indexed="81"/>
            <rFont val="Tahoma"/>
            <family val="2"/>
          </rPr>
          <t xml:space="preserve">Paramètres HBV2, HBV3 : </t>
        </r>
        <r>
          <rPr>
            <sz val="9"/>
            <color indexed="81"/>
            <rFont val="Tahoma"/>
            <family val="2"/>
          </rPr>
          <t xml:space="preserve">
</t>
        </r>
        <r>
          <rPr>
            <b/>
            <sz val="9"/>
            <color indexed="81"/>
            <rFont val="Tahoma"/>
            <family val="2"/>
          </rPr>
          <t>W :</t>
        </r>
        <r>
          <rPr>
            <sz val="9"/>
            <color indexed="81"/>
            <rFont val="Tahoma"/>
            <family val="2"/>
          </rPr>
          <t xml:space="preserve"> Respecter un chargement moyen annuel maximal de W UGB/hectare de surface fourragère de l'exploitation.
</t>
        </r>
        <r>
          <rPr>
            <b/>
            <sz val="9"/>
            <color indexed="81"/>
            <rFont val="Tahoma"/>
            <family val="2"/>
          </rPr>
          <t>X  :</t>
        </r>
        <r>
          <rPr>
            <sz val="9"/>
            <color indexed="81"/>
            <rFont val="Tahoma"/>
            <family val="2"/>
          </rPr>
          <t xml:space="preserve"> Respecter une part minimale de X% de surface en herbe dans la SAU de l'exploitation.
</t>
        </r>
        <r>
          <rPr>
            <b/>
            <sz val="9"/>
            <color indexed="81"/>
            <rFont val="Tahoma"/>
            <family val="2"/>
          </rPr>
          <t>Y :</t>
        </r>
        <r>
          <rPr>
            <sz val="9"/>
            <color indexed="81"/>
            <rFont val="Tahoma"/>
            <family val="2"/>
          </rPr>
          <t xml:space="preserve"> Respecter une part maximale Y% de surface en maïs avec la précision « Récolte ensilage » dans la surface fourragère de l'exploitation.
</t>
        </r>
        <r>
          <rPr>
            <b/>
            <sz val="9"/>
            <color indexed="81"/>
            <rFont val="Tahoma"/>
            <family val="2"/>
          </rPr>
          <t>Z</t>
        </r>
        <r>
          <rPr>
            <sz val="9"/>
            <color indexed="81"/>
            <rFont val="Tahoma"/>
            <family val="2"/>
          </rPr>
          <t xml:space="preserve"> : Respecter une part minimale de Z% [Z&gt;0] de surfaces en prairies permanentes dans la SAU de l’exploitation. </t>
        </r>
      </text>
    </comment>
    <comment ref="E23" authorId="1" shapeId="0">
      <text>
        <r>
          <rPr>
            <b/>
            <u/>
            <sz val="9"/>
            <color indexed="81"/>
            <rFont val="Tahoma"/>
            <family val="2"/>
          </rPr>
          <t xml:space="preserve">Paramètres HBV2, HBV3 : </t>
        </r>
        <r>
          <rPr>
            <sz val="9"/>
            <color indexed="81"/>
            <rFont val="Tahoma"/>
            <family val="2"/>
          </rPr>
          <t xml:space="preserve">
</t>
        </r>
        <r>
          <rPr>
            <b/>
            <sz val="9"/>
            <color indexed="81"/>
            <rFont val="Tahoma"/>
            <family val="2"/>
          </rPr>
          <t>W :</t>
        </r>
        <r>
          <rPr>
            <sz val="9"/>
            <color indexed="81"/>
            <rFont val="Tahoma"/>
            <family val="2"/>
          </rPr>
          <t xml:space="preserve"> Respecter un chargement moyen annuel maximal de W UGB/hectare de surface fourragère de l'exploitation.
</t>
        </r>
        <r>
          <rPr>
            <b/>
            <sz val="9"/>
            <color indexed="81"/>
            <rFont val="Tahoma"/>
            <family val="2"/>
          </rPr>
          <t>X  :</t>
        </r>
        <r>
          <rPr>
            <sz val="9"/>
            <color indexed="81"/>
            <rFont val="Tahoma"/>
            <family val="2"/>
          </rPr>
          <t xml:space="preserve"> Respecter une part minimale de X% de surface en herbe dans la SAU de l'exploitation.
</t>
        </r>
        <r>
          <rPr>
            <b/>
            <sz val="9"/>
            <color indexed="81"/>
            <rFont val="Tahoma"/>
            <family val="2"/>
          </rPr>
          <t>Y :</t>
        </r>
        <r>
          <rPr>
            <sz val="9"/>
            <color indexed="81"/>
            <rFont val="Tahoma"/>
            <family val="2"/>
          </rPr>
          <t xml:space="preserve"> Respecter une part maximale Y% de surface en maïs avec la précision « Récolte ensilage » dans la surface fourragère de l'exploitation.
</t>
        </r>
        <r>
          <rPr>
            <b/>
            <sz val="9"/>
            <color indexed="81"/>
            <rFont val="Tahoma"/>
            <family val="2"/>
          </rPr>
          <t>Z</t>
        </r>
        <r>
          <rPr>
            <sz val="9"/>
            <color indexed="81"/>
            <rFont val="Tahoma"/>
            <family val="2"/>
          </rPr>
          <t xml:space="preserve"> : Respecter une part minimale de Z% [Z&gt;0] de surfaces en prairies permanentes dans la SAU de l’exploitation. </t>
        </r>
      </text>
    </comment>
    <comment ref="E24" authorId="0" shapeId="0">
      <text>
        <r>
          <rPr>
            <u/>
            <sz val="9"/>
            <color indexed="81"/>
            <rFont val="Tahoma"/>
            <family val="2"/>
          </rPr>
          <t xml:space="preserve">Paramètres CPRA : </t>
        </r>
        <r>
          <rPr>
            <sz val="9"/>
            <color indexed="81"/>
            <rFont val="Tahoma"/>
            <family val="2"/>
          </rPr>
          <t xml:space="preserve">
</t>
        </r>
        <r>
          <rPr>
            <b/>
            <sz val="9"/>
            <color indexed="81"/>
            <rFont val="Tahoma"/>
            <family val="2"/>
          </rPr>
          <t>X, Y :</t>
        </r>
        <r>
          <rPr>
            <sz val="9"/>
            <color indexed="81"/>
            <rFont val="Tahoma"/>
            <family val="2"/>
          </rPr>
          <t xml:space="preserve"> Respecter une largeur minimale de X mètres et/ou une taille minimale de Y ha du couvert herbacé. 
</t>
        </r>
        <r>
          <rPr>
            <b/>
            <sz val="9"/>
            <color indexed="81"/>
            <rFont val="Tahoma"/>
            <family val="2"/>
          </rPr>
          <t>Liste couverts :</t>
        </r>
        <r>
          <rPr>
            <sz val="9"/>
            <color indexed="81"/>
            <rFont val="Tahoma"/>
            <family val="2"/>
          </rPr>
          <t xml:space="preserve"> Préciser la liste des couverts autorisés sur le territoire. 
</t>
        </r>
        <r>
          <rPr>
            <b/>
            <sz val="9"/>
            <color indexed="81"/>
            <rFont val="Tahoma"/>
            <family val="2"/>
          </rPr>
          <t xml:space="preserve">Travail du sol : </t>
        </r>
        <r>
          <rPr>
            <sz val="9"/>
            <color indexed="81"/>
            <rFont val="Tahoma"/>
            <family val="2"/>
          </rPr>
          <t xml:space="preserve"> Préciser si un renouvellement par travail superficiel du sol est autorisé au cours de l'engagement.</t>
        </r>
      </text>
    </comment>
  </commentList>
</comments>
</file>

<file path=xl/sharedStrings.xml><?xml version="1.0" encoding="utf-8"?>
<sst xmlns="http://schemas.openxmlformats.org/spreadsheetml/2006/main" count="15365" uniqueCount="1666">
  <si>
    <t xml:space="preserve">OPERATEUR </t>
  </si>
  <si>
    <t xml:space="preserve">Mesures </t>
  </si>
  <si>
    <t>TERRITOIRE</t>
  </si>
  <si>
    <t xml:space="preserve">NOM DU PAEC </t>
  </si>
  <si>
    <t>CODE PAEC</t>
  </si>
  <si>
    <t>MAEC</t>
  </si>
  <si>
    <t>Paramètres</t>
  </si>
  <si>
    <t>CRITERES DE PRIORISATION</t>
  </si>
  <si>
    <t xml:space="preserve">EAU </t>
  </si>
  <si>
    <t xml:space="preserve">BASSIN </t>
  </si>
  <si>
    <t>RECONDUCTION</t>
  </si>
  <si>
    <t>ENJEU PRINCIPAL</t>
  </si>
  <si>
    <t>ENJEUX SECONDAIRES</t>
  </si>
  <si>
    <t xml:space="preserve"> / </t>
  </si>
  <si>
    <t>Artois Picardie</t>
  </si>
  <si>
    <t>PI_ARC_E3</t>
  </si>
  <si>
    <t>OUI</t>
  </si>
  <si>
    <t>MAEC Eau - Réduction des herbicides - Grandes cultures</t>
  </si>
  <si>
    <t>MAEC Eau - Herbicides - Grandes cultures 2</t>
  </si>
  <si>
    <t>MAEC Eau - Herbicides - Grandes cultures 3</t>
  </si>
  <si>
    <t>MAEC Eau - Réduction des pesticides - Grandes cultures</t>
  </si>
  <si>
    <t>MAEC Eau - Pesticides - Grandes cultures 2</t>
  </si>
  <si>
    <t>MAEC Eau - Pesticides - Grandes cultures 3</t>
  </si>
  <si>
    <t>MAEC Eau - Gestion de la fertilisation - Grandes cultures</t>
  </si>
  <si>
    <t>MAEC Eau - Fertilisation - Grandes cultures 2</t>
  </si>
  <si>
    <t xml:space="preserve">MAEC Eau - Gestion de la fertilisation  - Réduction des pesticides - Grandes cultures </t>
  </si>
  <si>
    <t xml:space="preserve">NB MESURES </t>
  </si>
  <si>
    <t>MAEC Biodiversité -  Création de couverts d’intérêt pour la biodiversité, en particulier les pollinisateurs</t>
  </si>
  <si>
    <t xml:space="preserve">MAEC Biodiversité -  Création de couverts d’intérêt faunistique et floristique </t>
  </si>
  <si>
    <t>MAEC Biodiversité -  Création de prairies</t>
  </si>
  <si>
    <t>MAEC Climat Bien être animal - Autonomie fouragère - élevage d'herbivores 1</t>
  </si>
  <si>
    <t>MAEC Climat Bien être animal - Autonomie fouragère - élevage d'herbivores 2</t>
  </si>
  <si>
    <t>MAEC Climat Bien être animal - Autonomie fouragère - élevage d'herbivores 3</t>
  </si>
  <si>
    <t>MAEC Climat - Bien être animal et autonomie Fouragère - Elevages d'herbivores</t>
  </si>
  <si>
    <t>PI_AME_B3</t>
  </si>
  <si>
    <t>PI_AME_E3</t>
  </si>
  <si>
    <t>Vallée de la Selle</t>
  </si>
  <si>
    <t>Vallée de l'Authie</t>
  </si>
  <si>
    <t>MAEC Biodiversité – Ligneux</t>
  </si>
  <si>
    <t>Protection des espèces 3</t>
  </si>
  <si>
    <t>Protection des espèces 4</t>
  </si>
  <si>
    <t>MAEC Biodiversité - Protection des espèces</t>
  </si>
  <si>
    <t>MAEC Biodiversité - Entretien durable des infrastructures agro-écologiques</t>
  </si>
  <si>
    <t>MAEC Sol - Semis direct 1</t>
  </si>
  <si>
    <t>MAEC Biodiversité - Protection des espèces 2</t>
  </si>
  <si>
    <t>/</t>
  </si>
  <si>
    <t>PI_AMVS_E3</t>
  </si>
  <si>
    <t>Aires d’Alimentation des Captages de Victorine Autier et de la Basse Vallée de la Selle</t>
  </si>
  <si>
    <t>MAEC Biodiversité - Fossés</t>
  </si>
  <si>
    <t>Commune d'Amifontaine</t>
  </si>
  <si>
    <t>Protection des espèces 1</t>
  </si>
  <si>
    <t>Protection des espèces 2</t>
  </si>
  <si>
    <t>NON</t>
  </si>
  <si>
    <t>Seine Normandie</t>
  </si>
  <si>
    <t>MAEC Eau - Pesticides - Grandes cultures 1</t>
  </si>
  <si>
    <t>MAEC Biodiversité – Mares</t>
  </si>
  <si>
    <t>MAEC Biodiversité - Protection des espèces 1</t>
  </si>
  <si>
    <t>MAEC Biodiversité - Protection des espèces 3</t>
  </si>
  <si>
    <t>PI_CA_R3</t>
  </si>
  <si>
    <t>MAEC Eau - Herbicides - Grandes cultures 1</t>
  </si>
  <si>
    <t>MAEC Sol - Semis direct 2</t>
  </si>
  <si>
    <t>Bassin versant de la Nièvre</t>
  </si>
  <si>
    <t>PI_ALN_B3</t>
  </si>
  <si>
    <t>Bassin d'alimentation de captage de Breteuil</t>
  </si>
  <si>
    <t>PI_REU_E3</t>
  </si>
  <si>
    <t>Communauté de communes du Pays de Bray</t>
  </si>
  <si>
    <t>"PAEC du Pays de Bray"</t>
  </si>
  <si>
    <t>MAEC Biodiversité – Fossés</t>
  </si>
  <si>
    <t>Communauté de communes de la Picardie Verte</t>
  </si>
  <si>
    <t>MAEC Eau - Fertilisation - Grandes cultures 1</t>
  </si>
  <si>
    <t>Communauté de communes du Plateau Picard</t>
  </si>
  <si>
    <t>Bassin d'alimentation de captage d'Avrenchy</t>
  </si>
  <si>
    <t>Bassin d'alimentation de captage de Saint-Just-en-Chaussée</t>
  </si>
  <si>
    <t>Retour sommaire</t>
  </si>
  <si>
    <t>Agglomération de la Région de Compiègne</t>
  </si>
  <si>
    <t xml:space="preserve">PI_CRA_B3 </t>
  </si>
  <si>
    <t xml:space="preserve">Chambre Régionale d'Agriculture </t>
  </si>
  <si>
    <t xml:space="preserve">NP_CA_E3 </t>
  </si>
  <si>
    <t>Chambre d'agriculture du Nord Pas-de-Calais</t>
  </si>
  <si>
    <t>Chambre d'agriculture de la Somme</t>
  </si>
  <si>
    <t>Communauté de communes de Avre - Luce - Noye</t>
  </si>
  <si>
    <t>Pi_BRE_E3</t>
  </si>
  <si>
    <t>Communauté de communes Oise Picarde</t>
  </si>
  <si>
    <t xml:space="preserve">NP_PC_E3 </t>
  </si>
  <si>
    <t xml:space="preserve">PI_PV_B3 </t>
  </si>
  <si>
    <t xml:space="preserve">PI_AVR_E3 </t>
  </si>
  <si>
    <t xml:space="preserve">PI_JUS_E3 </t>
  </si>
  <si>
    <t xml:space="preserve">PI_PTH_E3 </t>
  </si>
  <si>
    <t xml:space="preserve">PI_NP_R3 </t>
  </si>
  <si>
    <t>PI_POP_E3</t>
  </si>
  <si>
    <t>Communauté de communes Somme Sud Ouest</t>
  </si>
  <si>
    <t xml:space="preserve">PI_RIV_E3 </t>
  </si>
  <si>
    <t xml:space="preserve">PI_CCL_E3 </t>
  </si>
  <si>
    <t xml:space="preserve">PI_MVS_N3 </t>
  </si>
  <si>
    <t xml:space="preserve">PI_CEN_B3 </t>
  </si>
  <si>
    <t xml:space="preserve">PI_HVO_H3 </t>
  </si>
  <si>
    <t xml:space="preserve">PI_MVO_N3 </t>
  </si>
  <si>
    <t xml:space="preserve">PI_LES_E3 </t>
  </si>
  <si>
    <t xml:space="preserve">PI_LAO_E3 </t>
  </si>
  <si>
    <t>Pays de Souces et Vallées</t>
  </si>
  <si>
    <t xml:space="preserve">PI_PSV_E3 </t>
  </si>
  <si>
    <t xml:space="preserve">PI_THI_B3 </t>
  </si>
  <si>
    <t xml:space="preserve">NP_PAV_B3 </t>
  </si>
  <si>
    <t xml:space="preserve">NP_PAV_N3 </t>
  </si>
  <si>
    <t xml:space="preserve">PI_BSM_B3 </t>
  </si>
  <si>
    <t xml:space="preserve">NP_CMO_B3 </t>
  </si>
  <si>
    <t xml:space="preserve">NP_CMO_R3 </t>
  </si>
  <si>
    <t xml:space="preserve">PI_OPF_B3 </t>
  </si>
  <si>
    <t xml:space="preserve">PI_OPF_E3 </t>
  </si>
  <si>
    <t xml:space="preserve">NP_PSE_B3 </t>
  </si>
  <si>
    <t xml:space="preserve">NP_PSE_E3 </t>
  </si>
  <si>
    <t xml:space="preserve">PI_ORR_R3 </t>
  </si>
  <si>
    <t xml:space="preserve">PI_WIE_E3 </t>
  </si>
  <si>
    <t xml:space="preserve">PI_SIE_E3 </t>
  </si>
  <si>
    <t xml:space="preserve">PI_SMA_B3 </t>
  </si>
  <si>
    <t xml:space="preserve">PI_PMP_B3 </t>
  </si>
  <si>
    <t xml:space="preserve">PI_MEP_E3 </t>
  </si>
  <si>
    <t xml:space="preserve">PI_SEA_E3 </t>
  </si>
  <si>
    <t xml:space="preserve">SOMMAIRE </t>
  </si>
  <si>
    <t>OPERATEUR</t>
  </si>
  <si>
    <t>NOM DU PAEC</t>
  </si>
  <si>
    <t>Pi_PB_E3</t>
  </si>
  <si>
    <t>Communauté de communes des Portes de la Thérache</t>
  </si>
  <si>
    <t>MAEC Biodiversité - Protection des espèces 4</t>
  </si>
  <si>
    <t>Communauté de communes des  Trois Rivières</t>
  </si>
  <si>
    <t>Communauté de communes du Liancourtois Vallée dorée</t>
  </si>
  <si>
    <t>Conseil départemental de la Somme</t>
  </si>
  <si>
    <t>MAEC Biodiversité - Surfaces herbagères et pastorales</t>
  </si>
  <si>
    <t>MAEC Biodiversité - Amélioration de la gestion des surfaces herbagères et pastorales par le pâturage</t>
  </si>
  <si>
    <t>Conservatoire d'espaces naturels des Hauts-de-France</t>
  </si>
  <si>
    <t>MAEC Biodiversité - DFCI - Maintien de l'ouverture des milieux</t>
  </si>
  <si>
    <t>MAEC Biodiversité - Maintien de l'ouverture des milieux</t>
  </si>
  <si>
    <t>MAEC Biodiversité - Maintien de l'ouverture des milieux - amélioration de la gestion par le pâturage</t>
  </si>
  <si>
    <t>MAEC Biodiversité - Création de prairies</t>
  </si>
  <si>
    <t>MAEC Biodiversité - Gestion des roselières</t>
  </si>
  <si>
    <t>Haute Vallée de l'Oise</t>
  </si>
  <si>
    <t>Commune de Lesquielles-Saint-Germain</t>
  </si>
  <si>
    <t>Bassin d’Alimentation de captage de Lesquielles-Saint-Germain</t>
  </si>
  <si>
    <t>Communauté d'agglomération du Pays de Laon</t>
  </si>
  <si>
    <t>Bassin d'alimentation des captages de vllle de Laon</t>
  </si>
  <si>
    <t>Pays de Sources et Vallées</t>
  </si>
  <si>
    <t>Pôle d’Equilibre Territorial et Rural du Pays de Thiérache</t>
  </si>
  <si>
    <t>MAEC Biodiversité - Systèmes herbagers et pastoraux</t>
  </si>
  <si>
    <t>Syndicat Mixte du Parc naturel régional de l’Avesnois</t>
  </si>
  <si>
    <t>MAEC Biodiversité - Préservation des milieux humides</t>
  </si>
  <si>
    <t>MAEC Biodiversité - Préservation des milieux humides - Amélioration de la gestion par le pâturage</t>
  </si>
  <si>
    <t>Syndicat Mixte Baie de Somme 3 Vallées</t>
  </si>
  <si>
    <t>Syndicat Mixte du Parc naturel régional des Caps et Marais d'Opale</t>
  </si>
  <si>
    <t>Syndicat Mixte du Parc naturel régional Oise - Pays de France</t>
  </si>
  <si>
    <t>Syndicat Mixte du Parc naturel régional Scarpe-Escaut</t>
  </si>
  <si>
    <t xml:space="preserve">Syndicat du bassin versant de l'Ourcq amont et du Clignon </t>
  </si>
  <si>
    <t>"PAEC du bassin versant amont de l'Ourcq"</t>
  </si>
  <si>
    <t>MAEC Eau - Couverture - Herbicides - Grandes cultures 1</t>
  </si>
  <si>
    <t>MAEC Eau - Couverture - Réduction des herbicides - Grandes cultures</t>
  </si>
  <si>
    <t>MAEC Eau - Couverture - Herbicides - Grandes cultures 2</t>
  </si>
  <si>
    <t>MAEC Eau - Couverture - Pesticides - Grandes cultures 1</t>
  </si>
  <si>
    <t>MAEC Eau - Couverture - Pesticides - Grandes cultures 2</t>
  </si>
  <si>
    <t>MAEC Eau - Arboriculture - Lutte biologique - Herbicides</t>
  </si>
  <si>
    <t>Syndicat intercommunal d’Eau Potable du Santerre</t>
  </si>
  <si>
    <t>Union des Services d’Eau du Sud de l’Aisne</t>
  </si>
  <si>
    <t>"PAEC des aires d'alimentation de captage du territoire de l'USESA"</t>
  </si>
  <si>
    <t>Syndicat des Eaux de la Vallée de l’Oise</t>
  </si>
  <si>
    <t>Syndicat mixte d'aménagement de gestion et de valorisation du bassin de la Bresle</t>
  </si>
  <si>
    <t>Bassin versant de la Bresle</t>
  </si>
  <si>
    <t>Syndicat Mixte Baie de Somme Grand Littoral Picard</t>
  </si>
  <si>
    <t>Plaine Maritime Picarde</t>
  </si>
  <si>
    <t>"PAEC du bassin d'alimentation de captage des Sablons"</t>
  </si>
  <si>
    <t xml:space="preserve">Syndicat mixte d'eau potable des Sablons </t>
  </si>
  <si>
    <t>PHY2</t>
  </si>
  <si>
    <t>HBV2</t>
  </si>
  <si>
    <t>HBV1</t>
  </si>
  <si>
    <t>Haute Vallée de la Somme</t>
  </si>
  <si>
    <t>SAGE du bassin de la Somme</t>
  </si>
  <si>
    <t>Communauté de communes d'Avre Luce Noye</t>
  </si>
  <si>
    <t>Bassin d'alimentation de captage de Reuil-sur-Breche</t>
  </si>
  <si>
    <t>Bassins d'alimentation de captage des Portes de Thiérache</t>
  </si>
  <si>
    <t>Corridors &amp; Plaine Versant Sud</t>
  </si>
  <si>
    <t xml:space="preserve">Territoires du Nord-Pas de Calais Eau </t>
  </si>
  <si>
    <t>Territoires du Nord-Pas de Calais Erosion</t>
  </si>
  <si>
    <t>VAUT</t>
  </si>
  <si>
    <t>HVSO</t>
  </si>
  <si>
    <t>SASO</t>
  </si>
  <si>
    <t>AMIF</t>
  </si>
  <si>
    <t>BAHO</t>
  </si>
  <si>
    <t>NPCE</t>
  </si>
  <si>
    <t>BVNI</t>
  </si>
  <si>
    <t>CALN</t>
  </si>
  <si>
    <t>BRET</t>
  </si>
  <si>
    <t>REUI</t>
  </si>
  <si>
    <t>CCPB</t>
  </si>
  <si>
    <t>CCPC</t>
  </si>
  <si>
    <t>CCPV</t>
  </si>
  <si>
    <t>AVRE</t>
  </si>
  <si>
    <t>STJU</t>
  </si>
  <si>
    <t>PORT</t>
  </si>
  <si>
    <t>POPI</t>
  </si>
  <si>
    <t>3RIV</t>
  </si>
  <si>
    <t>CLVD</t>
  </si>
  <si>
    <t>PELO</t>
  </si>
  <si>
    <t>MASO</t>
  </si>
  <si>
    <t>HVOI</t>
  </si>
  <si>
    <t>MVOI</t>
  </si>
  <si>
    <t>Marais de la souche</t>
  </si>
  <si>
    <t>Moyenne Vallée de l'Oise</t>
  </si>
  <si>
    <t>LESQ</t>
  </si>
  <si>
    <t>LAON</t>
  </si>
  <si>
    <t>PETR</t>
  </si>
  <si>
    <t>PAVB</t>
  </si>
  <si>
    <t>PAVN</t>
  </si>
  <si>
    <t>CMOB</t>
  </si>
  <si>
    <t>CMOR</t>
  </si>
  <si>
    <t>OPFB</t>
  </si>
  <si>
    <t>OPFE</t>
  </si>
  <si>
    <t>PSEB</t>
  </si>
  <si>
    <t>PSEE</t>
  </si>
  <si>
    <t>OURQ</t>
  </si>
  <si>
    <t>WIFA</t>
  </si>
  <si>
    <t>SIEP</t>
  </si>
  <si>
    <t>BRES</t>
  </si>
  <si>
    <t>SABL</t>
  </si>
  <si>
    <t>UESA</t>
  </si>
  <si>
    <t>Bassin d'alimentation de captage de Poix-de-Picardie</t>
  </si>
  <si>
    <t>Bassins d'alimentation de captage des Trois Rivières</t>
  </si>
  <si>
    <t>"PAEC du Pays de Sources et Vallées enjeu eau</t>
  </si>
  <si>
    <t>Parc Naturel Régional de l'Avesnois</t>
  </si>
  <si>
    <t>Territoires Natura 2000 de l'Avenois</t>
  </si>
  <si>
    <t>BSPM</t>
  </si>
  <si>
    <t>Parc Naturel Régional des Caps et Marais d'Opale enjeu biodiversité</t>
  </si>
  <si>
    <t>Parc Naturel Régional des Caps et Marais d'Opale enjeu érosion</t>
  </si>
  <si>
    <t>Prairies de la Thève</t>
  </si>
  <si>
    <t>Bassins d'alimentation de captage en ZPA du PNR Oise - Pays-de-France</t>
  </si>
  <si>
    <t>CARE (Contrat d’Action pour la Ressource en Eau) Scarpe aval sud</t>
  </si>
  <si>
    <t>Parc Naturel Régional Scarpe-Escaut enjeu Biodiversité</t>
  </si>
  <si>
    <t>PHY3</t>
  </si>
  <si>
    <t>PHY5</t>
  </si>
  <si>
    <t>PHY6</t>
  </si>
  <si>
    <t>FER2</t>
  </si>
  <si>
    <t>CIFF</t>
  </si>
  <si>
    <t>CPRA</t>
  </si>
  <si>
    <t>IAE1</t>
  </si>
  <si>
    <t>IAE2</t>
  </si>
  <si>
    <t>IAE3</t>
  </si>
  <si>
    <t>Syndicat des Eaux de Landifay-Et-Bertaignemont et le Hérie-la-Vieville</t>
  </si>
  <si>
    <t>Bassin d’Alimentation de Captage de Landifay</t>
  </si>
  <si>
    <t>LDFY</t>
  </si>
  <si>
    <t>AESN</t>
  </si>
  <si>
    <t>ESP1</t>
  </si>
  <si>
    <t>ESP2</t>
  </si>
  <si>
    <t>ESP3</t>
  </si>
  <si>
    <t>ESP4</t>
  </si>
  <si>
    <t>HBV3</t>
  </si>
  <si>
    <t>PHY1</t>
  </si>
  <si>
    <t>VIT1</t>
  </si>
  <si>
    <t>MHU1</t>
  </si>
  <si>
    <t>MHU2</t>
  </si>
  <si>
    <t>OUV1</t>
  </si>
  <si>
    <t>SDC1</t>
  </si>
  <si>
    <t>SDC2</t>
  </si>
  <si>
    <t>PRA1</t>
  </si>
  <si>
    <t>PRA2</t>
  </si>
  <si>
    <t>CODES</t>
  </si>
  <si>
    <t>PHY4</t>
  </si>
  <si>
    <t>PRA3</t>
  </si>
  <si>
    <t>OUV2</t>
  </si>
  <si>
    <t>ARB1</t>
  </si>
  <si>
    <t>FER3</t>
  </si>
  <si>
    <t>COV4</t>
  </si>
  <si>
    <t>FER1</t>
  </si>
  <si>
    <t>COV1</t>
  </si>
  <si>
    <t>ROSE</t>
  </si>
  <si>
    <t>FER6</t>
  </si>
  <si>
    <t>Vallée de l’Authie</t>
  </si>
  <si>
    <t>Syndicat Mixte AMEVA EPTB Somme</t>
  </si>
  <si>
    <t>AMVS</t>
  </si>
  <si>
    <t>Paramètre</t>
  </si>
  <si>
    <t>Signification</t>
  </si>
  <si>
    <t>Exemple de valeur</t>
  </si>
  <si>
    <t>X</t>
  </si>
  <si>
    <t>Avoir chaque année au moins X% [10≤X≤40] des terres arables de l’exploitation en cultures à bas niveau d'impact OU en cultures de légumineuses.</t>
  </si>
  <si>
    <t>10 %, 12 %, 15 %</t>
  </si>
  <si>
    <t>Y</t>
  </si>
  <si>
    <t>Avoir chaque année au moins Y% [0≤Y&lt;X] (non obligatoire) des terres arables de l’exploitation en prairies temporaires.</t>
  </si>
  <si>
    <t>0 %, 1%, 5%</t>
  </si>
  <si>
    <t>V</t>
  </si>
  <si>
    <t>A partir de la deuxième année d'engagement, avoir au minimum V% [V≥1] des terres arables de l’exploitation en jachères mellifères</t>
  </si>
  <si>
    <t>W</t>
  </si>
  <si>
    <t>A partir de la quatrième année d'engagement, avoir au minimum W% [W≥0,2] des terres arables de l’exploitation en haies.</t>
  </si>
  <si>
    <t>Dates</t>
  </si>
  <si>
    <t>Absence d'intrant sur la totalité des infrastructures agro-écologiques et des terres en jachère de l’exploitation (produits phytosanitaires et engrais minéraux) et absence d'intervention sur les haies du XX/XX au XX/XX [a minima entre le 16 mars et le 15 août]</t>
  </si>
  <si>
    <t>16 mars et le 15 août</t>
  </si>
  <si>
    <t>MAEC Eau - Pesticides - Grandes cultures 1, 2, 3
MAEC Eau - Herbicides - Grandes cultures 1, 2, 3</t>
  </si>
  <si>
    <t>PHY1, PHY2, PHY3</t>
  </si>
  <si>
    <t>PHY4, PHY5, PHY6</t>
  </si>
  <si>
    <t>0,2, 0,4</t>
  </si>
  <si>
    <t>REH</t>
  </si>
  <si>
    <t>A partir de la deuxième année d’engagement, atteindre en moyenne sur l’exploitation un reliquat entrée hiver inférieur ou égal à REH =  kg/ha</t>
  </si>
  <si>
    <t>60 kgN/ha</t>
  </si>
  <si>
    <t>MAEC Biodiversité -  Création de couverts d’intérêt faunistique et floristique</t>
  </si>
  <si>
    <t>xx/xx</t>
  </si>
  <si>
    <t>Implantation du couvert au plus tard le xx/xx de la première année d'engagement ;</t>
  </si>
  <si>
    <t>Listes couverts</t>
  </si>
  <si>
    <t>préciser la liste des couverts autorisés sur le territoire</t>
  </si>
  <si>
    <t>mélange&gt; 5 espèces (&gt;2 graminées, 2 légumineuses et 1 diverse), mélange &gt; 2 espèces, liste définie avec le conservatoire botanique de bailleul</t>
  </si>
  <si>
    <t>Respecter une largeur minimale de X mètres et maximale de Y mètres et/ou une surface minimale de Z ha du couvert d'intérêt.</t>
  </si>
  <si>
    <t>10 m</t>
  </si>
  <si>
    <t>20m, 100m, 500 m</t>
  </si>
  <si>
    <t>Z</t>
  </si>
  <si>
    <t>0,10 ha, 5% de la SAU, 5ha</t>
  </si>
  <si>
    <t>Du yy/yy au yy/yy</t>
  </si>
  <si>
    <t>Ne pas réaliser d'intervention mécanique entre le yy/yy et le yy/yy.</t>
  </si>
  <si>
    <t>Modalités d’entretien</t>
  </si>
  <si>
    <t>[Si pertinent] respecter les modalités d'entretien :</t>
  </si>
  <si>
    <t>préciser les modalités d’entretien si retenu pour la mesure.</t>
  </si>
  <si>
    <t>Respecter une largeur minimale de X mètres et/ou une taille minimale de Y ha du couvert herbacé.</t>
  </si>
  <si>
    <t>5m, 10 m, 12 m</t>
  </si>
  <si>
    <t>0,1 ha, 0,3 ha</t>
  </si>
  <si>
    <t>Liste couverts</t>
  </si>
  <si>
    <t>Travail du sol</t>
  </si>
  <si>
    <t>Préciser si un renouvellement par travail superficiel du sol est autorisé au cours de l'engagement.</t>
  </si>
  <si>
    <t>Oui, Non</t>
  </si>
  <si>
    <t>15/04 au 15/07, 20/04 au 30/06,  01/09 et le 20/10</t>
  </si>
  <si>
    <t>Mélange graminées ou graminées + légumineuses, Flore spontanée ou mélange d'espèces locales et sauvages</t>
  </si>
  <si>
    <t>15/05 sauf dérogation au 20/09, 20/08</t>
  </si>
  <si>
    <t>MAEC Climat Bien-être animal - Autonomie fourragère - élevage d'herbivores 1</t>
  </si>
  <si>
    <t>Respecter un chargement moyen annuel maximal de W UGB/hectare de surface fourragère de l'exploitation.</t>
  </si>
  <si>
    <t>Respecter une part minimale de X% de surface en herbe dans la SAU de l'exploitation.</t>
  </si>
  <si>
    <t>Respecter une part maximale Y% de surface en maïs avec la précision « Récolte ensilage » dans la surface fourragère de l'exploitation.</t>
  </si>
  <si>
    <t>W=2,1 – 2 UGB/ha/an</t>
  </si>
  <si>
    <t>X1 = 20% - 30 %</t>
  </si>
  <si>
    <t>Y = 40%, 25 %</t>
  </si>
  <si>
    <t>MAEC Climat Bien-être animal - Autonomie fourragère - élevage d'herbivores 2, 3</t>
  </si>
  <si>
    <t>W=2,1 -2 UGB/ha/an</t>
  </si>
  <si>
    <r>
      <t>Respecter une part minimale de Z% [Z&gt;0] de surfaces en prairies permanentes dans la SAU de l’exploitation.</t>
    </r>
    <r>
      <rPr>
        <sz val="9"/>
        <color rgb="FF000000"/>
        <rFont val="Marianne"/>
        <family val="3"/>
      </rPr>
      <t xml:space="preserve"> </t>
    </r>
  </si>
  <si>
    <t>Z = 20%, 3%, 30%</t>
  </si>
  <si>
    <t>Y2 = 30% - 40M, Y3 =25% - 30%</t>
  </si>
  <si>
    <t>X = 35%, X3 = 50%</t>
  </si>
  <si>
    <t>NPCR</t>
  </si>
  <si>
    <t>mairie.leherielavieville@wanadoo.fr</t>
  </si>
  <si>
    <t>eboquet@ca-paysdelaon.fr</t>
  </si>
  <si>
    <t>Baugy l'Hospice</t>
  </si>
  <si>
    <t>VSEL</t>
  </si>
  <si>
    <t>MECO</t>
  </si>
  <si>
    <t>Bassin d'alimentation de Captage du Mesnil Conteville</t>
  </si>
  <si>
    <t>PSVA</t>
  </si>
  <si>
    <t>ANIMATEUR</t>
  </si>
  <si>
    <t>BAC des Sablons</t>
  </si>
  <si>
    <t>PMPN</t>
  </si>
  <si>
    <t>PMPH</t>
  </si>
  <si>
    <t>CMOE</t>
  </si>
  <si>
    <t>PETR Pays de Thiérache</t>
  </si>
  <si>
    <t>TBIO</t>
  </si>
  <si>
    <t>MVSO</t>
  </si>
  <si>
    <t xml:space="preserve">Nom de la mesure </t>
  </si>
  <si>
    <t xml:space="preserve">CODE </t>
  </si>
  <si>
    <t xml:space="preserve">Type de mesure </t>
  </si>
  <si>
    <t>Objectifs de la mesure</t>
  </si>
  <si>
    <t>Système</t>
  </si>
  <si>
    <t>Préserver la qualité de l’eau par la réduction de la pollution par les pesticides</t>
  </si>
  <si>
    <t>Préserver la qualité de l’eau par la réduction de la pollution par les herbicides</t>
  </si>
  <si>
    <t>Type de couvert et/ou habitat visé</t>
  </si>
  <si>
    <t>MAEC Eau - Gestion de la fertilisation - Couverture - Herbicides - Grandes cultures 1</t>
  </si>
  <si>
    <t>MAEC Eau - Gestion de la fertilisation - Couverture - Herbicides - Grandes cultures 2</t>
  </si>
  <si>
    <t>FER4</t>
  </si>
  <si>
    <t>MAEC Eau - Gestion de la fertilisation - Couverture - Pesticides</t>
  </si>
  <si>
    <t>Préserver la qualité de l’eau par la réduction de la pression en nitrates</t>
  </si>
  <si>
    <t>MAEC Eau - Viticulture - Lutte biologique - Herbicides</t>
  </si>
  <si>
    <t>Viticulture</t>
  </si>
  <si>
    <t>Arboriculture</t>
  </si>
  <si>
    <t>Terres arables</t>
  </si>
  <si>
    <t>Terres arables, prairies permanentes</t>
  </si>
  <si>
    <t>Localisée</t>
  </si>
  <si>
    <t>Prairies permanentes ou temporaires</t>
  </si>
  <si>
    <t>Prairies permanentes</t>
  </si>
  <si>
    <t>Mares</t>
  </si>
  <si>
    <t>Fossés</t>
  </si>
  <si>
    <t>Terres arables, Cultures pérennes</t>
  </si>
  <si>
    <t>Prairies temporaires</t>
  </si>
  <si>
    <t>Roselières</t>
  </si>
  <si>
    <t>62 €/mare</t>
  </si>
  <si>
    <t>1,6 €/ml</t>
  </si>
  <si>
    <t>Liste des mesures</t>
  </si>
  <si>
    <t>Retour synthèse</t>
  </si>
  <si>
    <t>Préserver la qualité de l'eau par la réduction des PPP au profit des moyens de LB</t>
  </si>
  <si>
    <t>Augmenter la fertilité des sols, diminuer l’érosion et la lixiviation des nitrates</t>
  </si>
  <si>
    <t>Viser l'autonomie alimentaire des élevages d'herbivores par la complémentarité des productions animales et végétales</t>
  </si>
  <si>
    <t>Favoriser les pratiques d’exploitation des roselières permettant la conservation et la protection des biotopes favorables à l’avifaune et aux insectes odonates</t>
  </si>
  <si>
    <t>Préserver les milieux humides permettant le développement d'une flore et d'une faune remarquables</t>
  </si>
  <si>
    <t>Préserver la durabilité et l’équilibre agro-écologique des prairies permanentes à flore diversifiée</t>
  </si>
  <si>
    <t>Implanter et maintenir des couverts herbacés pérennes en vue de diminuer l’érosion et le lessivage des intrants + constituer des zones refuges pour la faune et la flore</t>
  </si>
  <si>
    <t>Préserver les cycles reproducteurs des espèces animales et végétales par le retard de fauche</t>
  </si>
  <si>
    <t>Maintenir l’ouverture des parcelles dont la dynamique d’embroussaillement est défavorable à la biodiversité</t>
  </si>
  <si>
    <t>Assurer un entretien respectueux des IAE afin d’en assurer le renouvellement et la pérennité</t>
  </si>
  <si>
    <t>COV2</t>
  </si>
  <si>
    <t>COV3</t>
  </si>
  <si>
    <t>COV5</t>
  </si>
  <si>
    <t>COV6</t>
  </si>
  <si>
    <t>Eléments ligneux</t>
  </si>
  <si>
    <t xml:space="preserve">X = 0 % ; fertilisation Y = 70,  Z= 30, Z'= 30 (70N/30P/30K) ; Absence d'apports magnésiens et de chaux ; Travail du sol = OK, </t>
  </si>
  <si>
    <t xml:space="preserve">X = 0 %, fertilisation,  Travail du sol = OK, </t>
  </si>
  <si>
    <t>MAEC Eau - Couverture - Pesticides - Grandes cultures 3</t>
  </si>
  <si>
    <t>MAEC Eau - Couverture - Herbicides - Grandes cultures 3</t>
  </si>
  <si>
    <t>Préserver la qualité de l'eau par la combinaison de pratiques agronomiques : la réduction de la fertilisation et des IFT, couverture des sols.</t>
  </si>
  <si>
    <t>X =  10, Y = 0 , V = 1 , W = 0,2 , Dates = 16/03 au 15/08</t>
  </si>
  <si>
    <t>CABE</t>
  </si>
  <si>
    <t>Communauté d'agglomération du Beauvaisis</t>
  </si>
  <si>
    <t>PAEC de la CAB</t>
  </si>
  <si>
    <t>Création 2024</t>
  </si>
  <si>
    <t>Bassin d'alimentation de captage des sources de Friancourt et des captages de Bresles et Litz</t>
  </si>
  <si>
    <t>X = 5m , Y =1ha
Travail du sol = OK</t>
  </si>
  <si>
    <t>Animateur</t>
  </si>
  <si>
    <t>Contact</t>
  </si>
  <si>
    <t>s.pollet@beauvaisis.fr</t>
  </si>
  <si>
    <t>A JOUR</t>
  </si>
  <si>
    <t>Amiens Métropole</t>
  </si>
  <si>
    <t>X = 10 , Y = 0 , V = 1 , W = 0,2 , Dates =  16/03 au 15/08
REH = 80</t>
  </si>
  <si>
    <t>X= 20%, Y=40%  , W= 2,1</t>
  </si>
  <si>
    <t>X = 30 Y = 30 W =2,1 Z =10</t>
  </si>
  <si>
    <t>Communauté de communes de Pévèle Carambault</t>
  </si>
  <si>
    <t xml:space="preserve">Communauté de communes de Pévèle Carambault </t>
  </si>
  <si>
    <t>Notice Territoire ok</t>
  </si>
  <si>
    <t>Notice territoire ok</t>
  </si>
  <si>
    <t>pdf</t>
  </si>
  <si>
    <t>Contact opérateur</t>
  </si>
  <si>
    <t>Contact animateur</t>
  </si>
  <si>
    <t>a.beziat@cc3r.fr</t>
  </si>
  <si>
    <t>Marie-Aude GUIGNON   marieaudeguignon@baiedesomme.fr
Clémentine BELY 09 70 20 00 21 / 07 88 79 41 62 clementinebely@baiedesomme.fr
Yann Dufour   yanndufour@baiedesomme.fr
Maude Angaud 09.70.20.00.21 /  06.09.08.53.68 maudeangaud@baiedesomme.fr</t>
  </si>
  <si>
    <t>Alexia BARROCHE 03.23.98.59.50  abarroche@pays-thierache.fr
Françoise  GION 03 23 97 17 16  f.gion@3a-thierache.fr</t>
  </si>
  <si>
    <t>Marie STURMA 03.44.63.65.65 / 06 27 69 12 66
 m.sturma@parc-oise-paysdefrance.fr</t>
  </si>
  <si>
    <t>Cindy DELCENSERIE 03.22.33.09.97  c.delcenserie@ameva.org</t>
  </si>
  <si>
    <t>Franck GUIARD 03.23.60.90.60  synd-int-eaux-vallee-oise@orange.fr</t>
  </si>
  <si>
    <t>Marion  BEAUREPAIRE   mbeaurepaire@cc-paysdebray.fr
Anthony BRIOIS 03.44.81.35.24  abriois@cc-paysdebray.fr
Eloïse  BERTOGLI 03.44.81.35.20  ebertogli@cc-paysdebray.fr
Gaëtan  DEGRUMELLE   gdegrumelle@cc-paysdebray.fr</t>
  </si>
  <si>
    <t>Mathieu FRANQUIN 03.22.89.84.22  m.franquin@cen-hautsdefrance.org</t>
  </si>
  <si>
    <t>Thibaut GERARD   t.gerard@cen-hautsdefrance.org</t>
  </si>
  <si>
    <t>Maryse MAGNIEZ 03.22.33.69.48  m.magniez@somme.chambagri.fr
Hugo  SMELTEN  07 85 34 29 13 h.smelten@somme.chambagri.fr</t>
  </si>
  <si>
    <t>Guillaume DHUIEGE 03.27.77.51.63  guillaume.dhuiege@parc-naturel-avesnois.com</t>
  </si>
  <si>
    <t>Charles-Edouard  MACKELBERG   mackelberg@sma-bresle.fr</t>
  </si>
  <si>
    <t>Laetitia CAQUARD  06 32 63 61 59 sigbv-ourcq-amont@orange.fr</t>
  </si>
  <si>
    <t>Emilie LACOUR 03 21 38 92 18 06 08 68 27 21 ELacour@parc-opale.fr
Sophie QUENNESSON 06 31 81 75 28  SQuennesson@parc-opale.fr
Marie-Pierre  Fauquembergue 03 21 38 92 16 06 72 98 51 76 mpfauquembergue@parc-opale.fr</t>
  </si>
  <si>
    <t>Xavier DESCOUTURES 03.22.90.19.65  dgst@cc2so.fr
Mehdi  LAMBERT 03 22 90 19 65  direau@cc2so.fr</t>
  </si>
  <si>
    <t>Laetitia MAINKA 03.44.80.26.07  service-eau@cc-oisepicarde.fr</t>
  </si>
  <si>
    <t>Denis SERIN 03.23.22.61.74  mairie@amifontaine.com</t>
  </si>
  <si>
    <t>03.23.61.10.01  mairie-de-lesquielles-saint-ger@wanadoo.fr</t>
  </si>
  <si>
    <t>Franck BRIOIS 03.44.04.53.93  fbriois@ccpv.fr</t>
  </si>
  <si>
    <t>Hélène LEDUC 06.70.94.43.01  hleduc@pevelecarembault.fr</t>
  </si>
  <si>
    <t>Aude DOUGADOS 03.23.98.04.54  adougados@portes-de-thierache.fr</t>
  </si>
  <si>
    <t>Emilie BOQUET 06.65.34.14.20  eboquet@ca-paysdelaon.fr</t>
  </si>
  <si>
    <t>Aude BERQUIER-FRISON 07.84.07.19.35  a.frison@avrelucenoye.fr</t>
  </si>
  <si>
    <t>Raphaelle ULRYCH 07.87.61.42.17  r.ulrych@baiedesomme3vallees.fr</t>
  </si>
  <si>
    <t>Vincent PERRIN   vincent.perrin@agglo-compiegne.fr</t>
  </si>
  <si>
    <t>Sandrine VIET 03.23.71.02.80 06.77.26.75.87 sandrine.viet@usesa.fr</t>
  </si>
  <si>
    <t>Domitille SION 03.22.49.20.48 07.86.54.51.33 d.sion@amiens-metropole.com</t>
  </si>
  <si>
    <t>Marie-Catherine DESPREZ   marie-catherine.desprez@npdc.chambagri.fr</t>
  </si>
  <si>
    <t>Marie GILLET   anim.agri@mailo.com</t>
  </si>
  <si>
    <t>Sarah  POLLET 03.44.15.67.14 06.58.36.63.96 s.pollet@beauvaisis.fr</t>
  </si>
  <si>
    <t>Lucie DHEYGERE 03 69 12 50 70 06 62 45 68 64 l.dheygere@cc-plateaupicard.fr</t>
  </si>
  <si>
    <t>Sophie GUEGUAN   sguegan@somme.fr</t>
  </si>
  <si>
    <t>Christelle PARMENTIER   c.parmentier@pnr-scarpe-escaut.fr
Gaétan  LARRIVAZ   g.larrivaz@pnr-scarpe-escaut.fr</t>
  </si>
  <si>
    <t>Elise  DELACRE   EDELACRE@cc-sablons.fr</t>
  </si>
  <si>
    <t>03.22.88.45.27  o.bailleul@siep-du-santerre.fr</t>
  </si>
  <si>
    <t>Benoît LEMAIRE 03 23 22 51 01 06 26 09 03 55 benoit.lemaire@aisne.chambagri.fr
Claire ALATEINTE   claire.alateinte@aisne.chambagri.fr
Marie DESMET 03 23 22 51 17 06 08 24 90 42 marie.desmet@aisne.chambagri.fr
Calixte LABATUT   calixte.labatut@aisne.chambagri.fr
Lauranne  GRONDIN 03 23 22 51 37 06 27 24 00 71 lauranne.grondin@aisne.chambagri.fr</t>
  </si>
  <si>
    <t>Amélie PEAUDECERF 03.44.11.44.52 06.40.96.95.51 amelie.peaudecerf@oise.chambagri.fr
Julia DESCHAMPS 03.44.93.37.80 06.82.80.84.31 julia.deschamps@oise.chambagri.fr
Thomas  POHIER 03 44 11 44 30 06 82 69 74 07 thomas.pohier@oise.chambagri.fr</t>
  </si>
  <si>
    <t xml:space="preserve">
Chambre régionale d'agriculture des Hauts-de-France
</t>
  </si>
  <si>
    <t>BASSIN</t>
  </si>
  <si>
    <t>Chambre d'agriculture Aisne - Oise - Somme</t>
  </si>
  <si>
    <t>TBIO-Biodiversité MASA</t>
  </si>
  <si>
    <t>Liste des communes</t>
  </si>
  <si>
    <t>Contact (nom, tel, mail)</t>
  </si>
  <si>
    <t xml:space="preserve">Priorité aux Jeunes agriculteurs, agriculteur biologique, les exploitations spécilaisé en herbe pour les mesures systèmes HBV herbe. 
Parcelles dites sensibles, intérêt écologique fort.
parcelles concernées par des risques d'érosion et de ruissellement </t>
  </si>
  <si>
    <t xml:space="preserve"> </t>
  </si>
  <si>
    <t>Enjeu ou zone à enjeux du PAEC</t>
  </si>
  <si>
    <t>Enjeu Biodiversité MASA</t>
  </si>
  <si>
    <t xml:space="preserve">Argumentaire justifiant l’importance des MAEC choisies pour répondre à l’enjeu du territoire </t>
  </si>
  <si>
    <t xml:space="preserve">Les mesures choisies répondent aux attentes des exploitants permettant de conforter les systèmes d'élevage au travers des mesures systèmes HBV.
Les mesures ESP1-2-3 sont des actions favorables pour la préservation de la faune et de la Flore.
le territoire MAEC biodiversité disposent de zones intéressantes (humides ou sèches) pouvant être confortées par des remises enherbes CIFF. La création de nouvelles zones de connexion et de transition sont des atouts positifs enfaveur de ces milieux favorables  </t>
  </si>
  <si>
    <t>Veuillez cocher les MAEC choisies et compléter les paramètres correspondants</t>
  </si>
  <si>
    <t>CHOIX</t>
  </si>
  <si>
    <t xml:space="preserve">X =  Y =  V = W =  
Dates = </t>
  </si>
  <si>
    <t xml:space="preserve">X = 10%  Y = 1%  V = 1%  W = 0,2% 
Dates = entre le 16 mars et le 15 août
</t>
  </si>
  <si>
    <t xml:space="preserve">X =  Y =  V =  W =  REH = 
Dates = </t>
  </si>
  <si>
    <t>MAEC Eau - Gestion de la fertilisation - Couverture - Réduction des herbicides - Grandes cultures adaptée à la lutte contre les algues vertes</t>
  </si>
  <si>
    <t>MAEC Eau - Gestion de la fertilisation - Couverture - Herbicides - Grandes cultures 3</t>
  </si>
  <si>
    <t>FER5</t>
  </si>
  <si>
    <t xml:space="preserve">X =  Y =  V =  W =  REH =
Dates = </t>
  </si>
  <si>
    <t xml:space="preserve">MAEC Eau - Viticulture </t>
  </si>
  <si>
    <t>Moyens de lutte biologique :
Fréquence :</t>
  </si>
  <si>
    <t xml:space="preserve">MAEC Eau - Arboriculture </t>
  </si>
  <si>
    <t xml:space="preserve">MAEC Eau - Arboriculture - Lutte biologique - Herbicides </t>
  </si>
  <si>
    <t xml:space="preserve">MAEC Sol - Semis direct </t>
  </si>
  <si>
    <t xml:space="preserve">X =  V = W =  
Dates = </t>
  </si>
  <si>
    <t>X = 20% Y =30%  W =2,10 Z =10%</t>
  </si>
  <si>
    <t>X = 35% Y =30%  W =2,10 Z =10%</t>
  </si>
  <si>
    <t>X = 50% Y =25%  W =2,10 Z =10%</t>
  </si>
  <si>
    <t>MAEC Préservation de l'équilibre agroécologique et de la biodiversité de milieux spécifiques</t>
  </si>
  <si>
    <t>X = Y = W = Z = 
Période hivernale :
Limite de fertilisation P et K :
Autorisation ou interdiction Ca/Mg ? :</t>
  </si>
  <si>
    <t>MAEC Biodiversité -  Création de couverts d’intérêt faunistique et floristique favorables aux pollinisateurs et oiseaux communs des milieux agricoles</t>
  </si>
  <si>
    <t xml:space="preserve">Date max implantation = 15 mai, dérogation au 20 septembre si culture d'hiver en place
Respecter une largeur minimale de 10 m et maxi 500 m
et/ou une surface minimal de 0,10 ha
Pas d'intervention mécanique entre le 15 Avril et le 15 juillet  </t>
  </si>
  <si>
    <t xml:space="preserve">X = Y = </t>
  </si>
  <si>
    <t xml:space="preserve">Dates : Fauche après le 1er juin
Travail du sol : Travail du sol : un renouvellment par travail superficiel du sol est autorisé aucours de l'engagement
X = 0% Y= 60 U N  Z =pas de limitation   Z'= pas de limitation
Mg / Ca ? : pas de limitation </t>
  </si>
  <si>
    <t xml:space="preserve">Dates : Fauche après le 15 juin
Travail du sol : Travail du sol : un renouvellment par travail superficiel du sol est autorisé aucours de l'engagement
X = 0% Y= 60 U N  Z =pas de limitation   Z'= pas de limitation
Mg / Ca ? : pas de limitation </t>
  </si>
  <si>
    <t xml:space="preserve">Dates :
Travail du sol :
X = Y=  Z =  Z'= 
Mg / Ca ? : </t>
  </si>
  <si>
    <t xml:space="preserve">Critères d'éligibilité : </t>
  </si>
  <si>
    <t>MAEC - Biodiversité</t>
  </si>
  <si>
    <t>Nombre de coupes max sur 5 ans :
Fréquence de coupe :
Période d'interdiction d'intervention mécanique :</t>
  </si>
  <si>
    <t xml:space="preserve">Mis en défens 10% des surfaces engagées
Dates : 31 Août
Travail du sol : un renouvellment par travail superficiel du sol est autorisé aucours de l'engagement
</t>
  </si>
  <si>
    <t>CONSERVATOIRE D'ESPACES NATURELS HAUTS DE France</t>
  </si>
  <si>
    <t>HAUTE VALLEE DE L'OISE</t>
  </si>
  <si>
    <t>La Fère, Danizy, Achery, Mayot, Vendeuil, Brissay-Choigny, Brissay-Hamegicourt, Moÿ de l’Aisne, Alaincourt, Berthenicourt, Mézières sur Oise, Châtillon sur Oise, Séry-lès-Mézières, Ribemont, Sissy, Origny-Sainte-Benoite, Thenelles, Mont d’Origny, Neuvillette, Bernot, Hauteville, Macquigny, Noyales, Proix, Vadencourt, Lesquielles Saint-Germain, Guise, Flavigny-le-Grand et Beaurain, Monceau sur Oise, Romery, Proisy, Malzy, Marly-Gomont, Chigny, Wiège-Faty, Autreppes, La Bouteille, Saint-Algis, Englancourt, Erloy, Sorbais, Etréaupont, Gergny, Luzoir, Effry, Wimy, Mondrepuis, Neuve-Maison, Ohis, Origny-en-Thiérache, Hirson</t>
  </si>
  <si>
    <t>CHLOE GAIME 
c.gaime@cen-hautsdefrance.org
03 23 80 07 89
06 37 38 29 80</t>
  </si>
  <si>
    <t>Priorité 1 : Mesures ESP 3, ESP4, MHU2
Priorité 2 : éleveur (+ de 10 UGB) et JA</t>
  </si>
  <si>
    <t>Enjeu EAU AESN</t>
  </si>
  <si>
    <t xml:space="preserve">Compte tenu des enjeux identifiés dans le diagnostic écologique, les mesures proposées visent principalement le couvert « prairie ». En effet, le site est fréquenté par le Râle des genêts et le Cuivré des marais, espèces respectivement inscrites à l’annexe I de la Directive Oiseaux et à l’annexe II de la Directive Habitat. 
L’objectif est d’encourager la mise en œuvre d’une gestion agricole favorable à la reproduction de ces espèces et plus généralement des toutes celles (flore et faune) inféodées aux prairies humides. 
Il est également important d’ouvrir des mesures mettant en valeur le travail des éleveurs. Comme précédemment évoqué, cette pratique est en régression dans la vallée depuis plusieurs années pourtant elle est importante pour la gestion des prairies de ce territoire. Cette régression est en partie due aux conjonctures actuelles peu favorables (manque de rémunération, peu de valorisation du métier), il est donc essentiel de pouvoir valoriser et aider les éleveurs d’autant plus que la vallée de l’Oise est un territoire historiquement géré par pâturage. 
Le choix des mesures et le calibrage des cahiers des charges est le fruit d’une co-construction avec les Chambres d’Agriculture de l’Aisne et de l’Oise ainsi que des connaissances des pratiques actuelles et du constat des précédentes programmations. </t>
  </si>
  <si>
    <t>X =  Y =  W =</t>
  </si>
  <si>
    <t>W = 2,1  X = 35%  Y = 30%  Z = 10%</t>
  </si>
  <si>
    <t>W = 2.1  X = 50%  Y =  25%   Z = 10%</t>
  </si>
  <si>
    <t>Date max implantation = 15/05 ou 20/09 pour les parcelles de TA implantées en cultures d'hiver l'année de la demande
X =  10 m ou Y = 500 m;   Z =  10 ares 
Date sans intervention méca = 15/04 au 15/07
Liste couverts :
- Mélanges de graminées + légumineuses d’intérêt faunistique ou floristique ;
- Cultures cynégétiques d’intérêt faunistique ou floristique ;
- Plantes messicoles, mélanges messicoles/céréales (cf liste d’espèces établie par le Conservatoire Botanique National de Bailleul [CBNBL]) ;
- Mélange d’espèces favorables au développement des insectes pollinisateurs ou auxiliaires ou à la protection de la petite faune ;
- Possibilité de laisser s'exprimer la végétation spontanée si cela est justifié par l’opérateur.
- Les mélanges d'espèces sont obligatoires ;
- Les couverts de légumineuses (Fabacées) pures ainsi que les couverts de graminées (Poacées) pures sont interdits ;
- Au moins 3 espèces doivent être implantées (sans % de recouvrement précisé).
Afin de favoriser les espèces locales, il est recommandé de semer dans le mélange, une espèce maximum parmi les variétés cultivées, horticoles ou exotiques des dicotylédones.
Sont interdites au semis : le Bleuet à fleur double, les Cosmos, les Zinnias, le Pavot de Californie.</t>
  </si>
  <si>
    <t>10% de mise en défens
Dates : 
Travail du sol : aucun travail du sol - un travail superficiel du sol sera autorisé en cas de dégâts de gibier avec accord de l'opérateur
Y= 60 Z = 30  Z'= 30
Ca/Mg ? : 0</t>
  </si>
  <si>
    <t>Dates de référence : 01/06 soit un retard d'utilisation après le 25/06
Dates : 01/01 au 25/06
Travail du sol : aucun travail du sol - un travail superficiel du sol sera autorisé en cas de dégâts de gibier avec accord de l'opérateur
X = 7   Y= 50  Z =  0  Z'= 0
Mg / Ca ? : 0</t>
  </si>
  <si>
    <t>Dates de référence : 01/06 soit un retard d'utilisation après le 05/07
Dates : 01/01 au 05/07
Travail du sol :aucun travail du sol - un travail superficiel du sol sera autorisé en cas de dégâts de gibier avec accord de l'opérateur
X = 7   Y= 0  Z =  0  Z'= 0
Mg / Ca ? : 0</t>
  </si>
  <si>
    <t>Dates de référence : 01/06 soit un retard d'utilisation après le 15/07
Dates : 01/01 au 15/07
Travail du sol :aucun travail du sol - un travail superficiel du sol sera autorisé en cas de dégâts de gibier avec accord de l'opérateur
X = 7   Y= 0  Z =  0  Z'= 0
Mg / Ca ? : 0</t>
  </si>
  <si>
    <t>Critères d'éligibilité : haies, arbres, bosquets, ripisylves</t>
  </si>
  <si>
    <t>CONSERVATOIRE D'ESPACES NATURELS HAUTS DE FRANCE</t>
  </si>
  <si>
    <t>MARAIS DE LA SOUCHE</t>
  </si>
  <si>
    <t>GERARD Thibaut, 
Tél : 06 88 24 79 69
Mail : t.gerard@cen-hautsdefrance.org</t>
  </si>
  <si>
    <t xml:space="preserve">Les prairies humides des Marais de la Souche sont d'une grande valeur biologique. Plusieurs de ces prairies hébergent des habitats naturels et espèces d’intérêt communautaire comme le Cuivré des marais et le Triton crêté.
Les prairies humides, marais ou tourbière des Marais de la Souche qui représentent le plus d’intérêt sont celles avec peu voire pas de fertilisation et des pratiques de pâturage extensif.  Cela rejoint la nécessité de baisser les intrants au niveau du bassin versant et à fortiori dans les lits majeurs, pour améliorer parallèlement la qualité de l’eau. Il existe une réelle cohérence et convergence des politiques publiques "eau" et "biodiversité".
L’intérêt écologique des prairies et du site en général est étroitement dépendant de la présence d’une activité agricole et de l’évolution des pratiques. Cet enjeu à la fois économique et environnemental prend tout son relief lorsque l’on constate que l’abandon des pratiques agricoles sur les Marais de Souche entraînerait une perte des habitats d’intérêt communautaire par le boisement spontanée. Il est nécessaire de trouver un équilibre entre évolution des pratiques et des systèmes d’exploitation, et préservation du patrimoine naturel. 
Le maintien des prairies humides contribuera au maintien des zones de gagnage pour l’avifaune mais aussi au maintien de zones périphériques aux étangs qui accueillent des nombreux herbiers aquatiques d’intérêt communautaire et qui jouent également un rôle dans l’épuration des eaux. </t>
  </si>
  <si>
    <t>X = 1.2  Y = 0.1 W = 30  Z = 0
Période hivernale : 15/11 au 15/03
Limite de fertilisation P et K : 0
Autorisation ou interdiction Ca/Mg ? : 0</t>
  </si>
  <si>
    <t>X = 1.2 Y = 0.1 W = 0 Z = 0
15/12 au 15/03
Limite de fertilisation P et K : 0
Autorisation ou interdiction Ca/Mg ? : 0</t>
  </si>
  <si>
    <t xml:space="preserve">Date max implantation = 15/05 ou 20/09 pour les parcelles de TA implantées en cultures d'hiver l'année de la demande
X =  10 m ou Y = 500 m;   Z =  10 ares 
Date sans intervention méca = 15/04 au 15/07
Liste couverts : - Mélanges de graminées + légumineuses d’intérêt faunistique ou floristique ;
- Cultures cynégétiques d’intérêt faunistique ou floristique ;
- Plantes messicoles, mélanges messicoles/céréales (cf liste d’espèces établie par le Conservatoire Botanique National de Bailleul [CBNBL]) ;
- Mélange d’espèces favorables au développement des insectes pollinisateurs ou auxiliaires ou à la protection de la petite faune ;
- Possibilité de laisser s'exprimer la végétation spontanée si cela est justifié par l’opérateur.
- Les mélanges d'espèces sont obligatoires ;
- Les couverts de légumineuses (Fabacées) pures ainsi que les couverts de graminées (Poacées) pures sont interdits ;
- Au moins 3 espèces doivent être implantées (sans % de recouvrement précisé).
Afin de favoriser les espèces locales, il est recommandé de semer dans le mélange, une espèce maximum parmi les variétés cultivées, horticoles ou exotiques des dicotylédones
</t>
  </si>
  <si>
    <t>10% de mise en défens
Dates : 
Travail du sol : aucun travail du sol - un travail superficiel du sol sera autorisé en cas de dégâts de gibier avec accord de l'opérateur
Y= 30 Z = 0  Z'= 0
Ca/Mg ? : 0</t>
  </si>
  <si>
    <t>Dates de référence : 01/06 soit un retard d'utilisation après le 25/06
Dates : 01/01 au 25/06
Travail du sol : aucun travail du sol - un travail superficiel du sol sera autorisé en cas de dégâts de gibier avec accord de l'opérateur
X = 0   Y= 0  Z =  0  Z'= 0
Mg / Ca ? : 0</t>
  </si>
  <si>
    <t>Dates de référence : 01/06 soit un retard d'utilisation après le 05/07
Dates : 01/01 au 05/07
Travail du sol :aucun travail du sol - un travail superficiel du sol sera autorisé en cas de dégâts de gibier avec accord de l'opérateur
X = 0   Y= 0  Z =  0  Z'= 0
Mg / Ca ? : 0</t>
  </si>
  <si>
    <t>Dates de référence : 01/06 soit un retard d'utilisation après le 15/07
Dates : 01/01 au 15/07
Travail du sol :aucun travail du sol - un travail superficiel du sol sera autorisé en cas de dégâts de gibier avec accord de l'opérateur
X = 0   Y= 0  Z =  0  Z'= 0
Mg / Ca ? : 0</t>
  </si>
  <si>
    <t>MOYENNE VALLEE DE L'OISE</t>
  </si>
  <si>
    <t xml:space="preserve">La moyenne vallée de l’Oise est une zone humide et une vallée dont la richesse en terme de biodiversité est exceptionnelle. Compte tenu des enjeux identifiés dans le diagnostic écologique (réf. PAEC2023/2024), , les mesures proposées visent principalement le couvert « prairie ». En effet, le site est fréquenté par le Râle des genêts et le Cuivré des marais, espèces respectivement inscrites à l’annexe I de la Directive Oiseaux et à l’annexe II de la Directive Habitat. 
L’objectif est d’encourager la mise en œuvre d’une gestion agricole favorable à la reproduction de ces espèces et plus généralement des toutes celles (flore et faune) inféodées aux prairies humides. 
Il est également important d’ouvrir des mesures mettant en valeur le travail des éleveurs. Cette pratique est en régression dans la vallée depuis plusieurs années pourtant elle est importante pour la gestion des prairies de ce territoire. Cette régression est en partie due aux conjonctures actuelles peu favorables (manque de rémunération, peu de valorisation du métier), il est donc essentiel de pouvoir valoriser et aider les éleveurs d’autant plus que la vallée de l’Oise est un territoire historiquement géré par pâturage. 
Le choix des mesures et le calibrage des cahiers des charges est le fruit d’une co-construction avec les Chambres d’Agriculture de l’Aisne et de l’Oise ainsi que des connaissances des pratiques actuelles et du constat des précédentes programmations. </t>
  </si>
  <si>
    <t>X = 1.4  Y = 0.2 W = 50  Z = 1
Période hivernale : 15/11 au 15/03
Limite de fertilisation P et K : 0
Autorisation ou interdiction Ca/Mg ? : 0
Travail du sol : aucun travail du sol - un travail superficiel du sol sera autorisé en cas de dégâts de gibier avec accord de l'opérateur</t>
  </si>
  <si>
    <t>X = 1.4 Y = 0.2 W = 0 Z =  1
15/11 au 15/03
Limite de fertilisation P et K : 0
Autorisation ou interdiction Ca/Mg ? : 0
Travail du sol : aucun travail du sol - un travail superficiel du sol sera autorisé en cas de dégâts de gibier avec accord de l'opérateur</t>
  </si>
  <si>
    <t>PELOUSES ET LANDES REGIONALES</t>
  </si>
  <si>
    <t>Matthieu FRANQUIN
Chargé de mission Agroécologie
Conservatoire d'espaces naturels Hauts-de-France
03 22 89 84 22
06 75 13 26 98
m.franquin@cen-hautsdefrance.org</t>
  </si>
  <si>
    <t>Priorité 1 : Mesures OUV2 et ESP4
Priorité 2 : Agriculteur BIO, éleveur (+ de 10 UGB) et JA</t>
  </si>
  <si>
    <t>Enjeu EAU AEAP</t>
  </si>
  <si>
    <t xml:space="preserve">Les pelouses calcicoles et landes constituent des réservoirs de biodiversité majeurs dans les Hauts-de-France. Ces milieux fragiles sont dans la Région en grande majorité issus du défrichement et des activités pastorales qui ont perduré pendant plusieurs siècles et façonnées ces végétations particulières. 
Aujourd’hui ces milieux sont fortement menacés et voient toujours leurs surfaces régresser, après une disparition estimée entre 50 et 75 % au cours du 20ème siècle. 
Compte tenu des enjeux spécifiques sur les milieux ciblés, les mesures choisies sont toutes des mesures « biodiversité » et concernent les surfaces pastorales et prairies. Les surfaces en pelouses étant fragmentées et souvent restreintes dans le parcellaire des exploitations, il n’est pas pertinent de proposer des mesures systèmes dans le cadre de ce PAEC. Seules des mesures « localisées » seront donc proposées en privilégiant des mesures comprenant un plan de gestion permettant d’adapter le plus finement possible les pratiques aux enjeux et contextes locaux. </t>
  </si>
  <si>
    <t>X =  Y =  W = Z =</t>
  </si>
  <si>
    <t>Date max implantation = 15/05 ou 20/09 pour les parcelles de TA implantées en cultures d'hiver l'année de la demande
X =  10 m ou    Z =  10 ares - 5% de la SAU maximum
Date sans intervention méca = 15/04 au 15/07
Liste couverts :
- Mélanges de graminées + légumineuses d’intérêt faunistique ou floristique ;
- Cultures cynégétiques d’intérêt faunistique ou floristique ;
- Plantes messicoles, mélanges messicoles/céréales (cf liste d’espèces établie par le Conservatoire Botanique National de Bailleul [CBNBL]) ;
- Mélange d’espèces favorables au développement des insectes pollinisateurs ou auxiliaires ou à la protection de la petite faune ;
- Possibilité de laisser s'exprimer la végétation spontanée si cela est justifié par l’opérateur.
- Les mélanges d'espèces sont obligatoires ;
- Les couverts de légumineuses (Fabacées) pures ainsi que les couverts de graminées (Poacées) pures sont interdits ;
- Au moins 3 espèces doivent être implantées (sans % de recouvrement précisé).
Afin de favoriser les espèces locales, il est recommandé de semer dans le mélange, une espèce maximum parmi les variétés cultivées, horticoles ou exotiques des dicotylédones.
Sont interdites au semis : le Bleuet à fleur double, les Cosmos, les Zinnias, le Pavot de Californie.</t>
  </si>
  <si>
    <t>X = 10 m ou Y = 10 ares</t>
  </si>
  <si>
    <t>Dates : 
Travail du sol :
Y=  Z =  Z'= 
Ca/Mg ? :</t>
  </si>
  <si>
    <t>Dates de référence : 15/05 soit un retard d'utilisation après le 10/06
Dates : 01/03 au 10/06
Travail du sol : interdit
X = 0   Y= 0   Z =  0  Z'= 0
Mg / Ca ? : 0</t>
  </si>
  <si>
    <t>Dates de référence : 15/05 soit un retard d'utilisation après le 30/06
Dates : 01/03 au 30/06
Travail du sol : interdit
X = 0   Y= 0   Z =  0  Z'= 0
Mg / Ca ? : 0</t>
  </si>
  <si>
    <t>Critères d'éligibilité : haies, arbres, bosquets</t>
  </si>
  <si>
    <t>Chambre départemental d'agriculture de la Somme</t>
  </si>
  <si>
    <t>SMELTEN Hugo</t>
  </si>
  <si>
    <t>Bassins de la Nièvre, de la tête de l'Hallue et de la tête de l'Ancre</t>
  </si>
  <si>
    <t>SMELTEN Hugo
07 85 34 29 13
h.smelten@somme.chambagri.fr</t>
  </si>
  <si>
    <t>1. SDC
2. HBV
3. COV
4. FER
5. IAE1</t>
  </si>
  <si>
    <t>Enjeu Erosion AEAP</t>
  </si>
  <si>
    <t xml:space="preserve">Les MAEC ci-dessous ont été choisies pour répondre à l'enjeu principale du secteur qui est la lutte contre l'érosion des sols agricoles. Avec en priorité l'accent mis sur les mesures Semis direct qui restent l'axe principal de lutte, puis sur les mesures autonomie fourragère, afin d'aider les détenteurs de prairies sur le territoire, puis les mesures COV favorisant la mise en place de couverts d'intercultures. Le but étant d'aider les agriculteurs prêts à se laisser dans ce genre de démarche en limitant le risque de changement de pratiques. </t>
  </si>
  <si>
    <t>X = 10% Y = 0% V = 1%  W = 0,2% REH = 100
Dates = 16/03 - 15/08</t>
  </si>
  <si>
    <t>x</t>
  </si>
  <si>
    <t>X = 10%  Y = 0%  V = 1% W =  0,2%
Dates = 16/03 - 15/08</t>
  </si>
  <si>
    <t>X = 6%  V = 1% W = 0,2% 
Dates = 16/03 - 15/08</t>
  </si>
  <si>
    <t>X = 20% Y = 25%  W = 2,1</t>
  </si>
  <si>
    <t>X = 35%  Y = 20% W = 2,1 Z = 10%</t>
  </si>
  <si>
    <r>
      <rPr>
        <sz val="10"/>
        <color theme="1"/>
        <rFont val="Calibri"/>
        <family val="2"/>
      </rPr>
      <t xml:space="preserve">Date max implantation = 
X =  Y =  Z =  
Date sans intervention méca = </t>
    </r>
  </si>
  <si>
    <t>Dates :
Travail du sol :
Y=  Z =  Z'= 
Ca/Mg ? :</t>
  </si>
  <si>
    <t>Critères d'éligibilité : haies, arbres, ripisylves, bosquets</t>
  </si>
  <si>
    <t>Chambre d'agriculture du NORD PAS DE CALAIS</t>
  </si>
  <si>
    <t>Projet Multi Territorial Nord Pas de Calais - BIODIVERSITE</t>
  </si>
  <si>
    <t>Marie-Catherine DESPREZ
06 77 67 30 79
marie-catherine.desprez@npdc.chambagri.fr</t>
  </si>
  <si>
    <t>1 - AB
2 - JA et nouvel installé
3 - MAEC système (niv 3&gt; niv 2 &gt;niv 1)
4 - MAEC ESP (ESP4&gt;ESP3&gt;ESP3)
5 - MAEC PRA3
6 - MAEC IAE3</t>
  </si>
  <si>
    <t>Ce nouveau zonage répond aux nouvelles règles de l'appel à projets MAEC 2025, exigeant la superposition du PAEC avec une zone à enjeu. Une partie des communes bascule sur l'enjeu BIODIVERSITE. Les mesures ont donc été choisies en conséquence : maintien de deux types de mesures système, pour les typologies d'exploitation en grandes cultures et en polyculture élevage. Ces mesures visent à faire évoluer les systèmes d'exploitation vers une baisse des intants phytosanitaires et/ou autonomie fourragère en avlorisant les surfaces herbagères.
En complément, plusieurs mesures localisées surfaciques éligibiles sur prairies ont été ajoutées pour favoriser le maintien de ces surfaces favorables à la biodiversité locale.</t>
  </si>
  <si>
    <t>X = 10  Y = 0  V = 1 W =  0,2
Dates = entre le 16 mars et 15 août</t>
  </si>
  <si>
    <t>X = 30  Y = 35  W = 2,6  Z = NC</t>
  </si>
  <si>
    <t>X = 45  Y = 30  W = 2,3  Z = 30</t>
  </si>
  <si>
    <t>X = 60  Y = 25  W = 2  Z = 30</t>
  </si>
  <si>
    <r>
      <rPr>
        <sz val="10"/>
        <color theme="1"/>
        <rFont val="Calibri"/>
        <family val="2"/>
      </rPr>
      <t xml:space="preserve">Date max implantation = 
X =  Y =  Z =  
Date sans intervention méca = </t>
    </r>
  </si>
  <si>
    <t>Dates : 15/11 au 25/05
Travail du sol : reouvellement par travail superficiel autorisé
Y= 120 uN dont 60 u Nmin max Z = pas de plafond Z'= pas de plafond
Ca/Mg ? : OUI</t>
  </si>
  <si>
    <t>Dates : 15/11 au 5/6
Travail du sol : reouvellement par travail superficiel autorisé
Y= 90 uN dont 60 u Nmin max Z = pas de plafond Z'= pas de plafond
Ca/Mg ? : OUI</t>
  </si>
  <si>
    <t>Dates : 15/11 au 15/6
Travail du sol : reouvellement par travail superficiel autorisé
Y= 60 N  Z = pas de plafond Z'= pas de plafond
Ca/Mg ? : OUI</t>
  </si>
  <si>
    <t>Projet Multi Territorial Nord Pas de Calais - EAU</t>
  </si>
  <si>
    <t>1 - AB
2 - JA et nouvel installé
3 - MAEC système (niv 3&gt; niv 2 &gt;niv 1)
4 - MAEC ESP (ESP4&gt;ESP3&gt;ESP3)
5 - MAEC MHU1
6 - MAEC PRA3</t>
  </si>
  <si>
    <t>Nous avons sélectionné les MAEC système ayant un lien avec la réduction des intrants (phytosanitaires notamment ou l'autonomie alimentaire et la valorisation des surfaces en herbes), pour deux typologies d'exsploitation (polyculture élevage et garndes cultures majoritaires sur le zonage EAU). Des niveaux ambitieux sont maintenus pour répondre à l'enjeu de la préservation de la ressource en eau.
Les MAEC localisées surfaciques sur prairies ont été priviligiées, celles limitant les apports de fertilisants azotés et celles permettant de préserver les milieux humdes. Leur maintien est un facteur transversal aux enjeux priorisés pour cette programmation. Elles contribuent à la biodiversité, participent à la lutte contre l’érosion des sols et sont un réel atout dans l’amélioration de la qualité de la ressource en eau. Il est important, dans le contexte économique actuel, de maintenir des mesures pour l’élevage et la gestion extensive des surfaces herbagères. 
Le cadrage régional de l'appel à projets limitant le nombre de mesures à proposer et ne permettant pas la superposition de plusieurs PAEC, nous avons opté pour la suppression des mesures peu ou pas du tout souscrites en 2023 et 2024 sur le PAEC EAU et l'ouverture de deux nouvelles mesures, MHU1 et PRA3 (adaptées à des territoires spécifiques).
Certains paramètres de la MAEC ESP (plafonds de la fertilisation azotée) ont été revus à la baisse (niveau 3 et 4).</t>
  </si>
  <si>
    <t>X = 1,4  Y = 0,05  W =  50 Z = 1
Période hivernale : 1/12 au 28/2
Limite de fertilisation P et K : 30
Autorisation ou interdiction Ca/Mg ? : non</t>
  </si>
  <si>
    <t>Projet Multi Territorial Nord Pas de Calais - EROSION</t>
  </si>
  <si>
    <t xml:space="preserve">1 - AB
2 - JA et nouvel installé
3 - MAEC système (niv 3&gt; niv 2 &gt;niv 1)
4 - MAEC CPRA
</t>
  </si>
  <si>
    <t>Les mesures sélectionnées ont été choisies parmi celles éligibles au catalogue régional, sur l'enjeu érosion AEAP. Une seule mesure surfacique localisée figure dans la liste 2025 (MAEC création de prairies). Elle est proposée (ne l'était pas en 2023 et 2024). La mise en place d'un couvert herbacé pérenne, sur des zones sensibles à l'érosion, est favorable à la limitation des ruissellements.
Nous avons également choisi d'ouvrir le nombre de mesures systèmes proposées pour palier le faible nombre de mesures localisées éligibles en enjeu érosion. La MAEC système COV (3 niveaux) et la MAEC SOL (2 niveaux) sont propsoées. Deux mesures favorables à la couverture des sols en période de risque de lessivage, au développement de l'agriculture de conservation alliant la réduction des intrants phytosanitaires.</t>
  </si>
  <si>
    <t>X = 10  Y = 0  V = 1 W = 0,2  
Dates = entre le 16 mars et le 15 août</t>
  </si>
  <si>
    <t>X = 5  V = 1 W = 0,2  
Dates =  entre le 16 mars et 15 août</t>
  </si>
  <si>
    <t xml:space="preserve">X = 10 m Y = 0,10 ha </t>
  </si>
  <si>
    <t>AMVS - Aires d'Alimentation des Captages de Victorine Autier et de la Basse Vallée de la Selle</t>
  </si>
  <si>
    <t>Sion Domitille
03 22 49 20 48
07 86 54 51 33
d.sion@amiens-metropole.com</t>
  </si>
  <si>
    <t>Surface dans une Aire d'Alimentation de Captage (les agriculteurs les plus concernés seront priorisés)
Type de MAEC : Création de prairies &gt; Climat Bien-être animal &gt; Réduction des pesticides - Grandes cultures &gt; Gestion de la fertilisation - Grandes cultures &gt; Biodiversité - Protection des espèces</t>
  </si>
  <si>
    <t>Parmi les pratiques agricoles qui permettent le mieux de protéger la ressource en eau, le maintien de prairies et l'agriculture biologique sont les plus efficaces. Amiens Métropole privilégie donc les mesures qui vont dans ce sens, à savoir les mesures concernant les prairies et l'élevage pour le maintien des prairies, et les mesures permettant la réduction des pesticides et des fertilisants de synthèse pour tendre vers l'agriculture biologique.</t>
  </si>
  <si>
    <t>X = 10
Y =  0
V = 1
W = 0,2 
Dates = 16 mars au 15 août</t>
  </si>
  <si>
    <t>X = 10 
Y = 0 
V = 1 
W = 0,2 
REH = 100 kg/ha
Dates = 16 mars au 15 août</t>
  </si>
  <si>
    <t>X = 20
 Y = 40 
W = 2,1</t>
  </si>
  <si>
    <t>X = 35 
Y = 30 
W = 2,1 
Z = 10</t>
  </si>
  <si>
    <t>X = 10 m 
Y = 0,1 ha</t>
  </si>
  <si>
    <t xml:space="preserve">Dates :
Travail du sol : autorisé
X = Y =  Z =  Z'= 0
Mg / Ca ? : </t>
  </si>
  <si>
    <t>Communauté d'Agglomération du Pays de Laon</t>
  </si>
  <si>
    <t>Chambre d'Agriculture de l'Aisne</t>
  </si>
  <si>
    <t>BAC LAON</t>
  </si>
  <si>
    <t xml:space="preserve">Emilie Boquet
03 23 22 31 02 </t>
  </si>
  <si>
    <t>Dans le cas où les enveloppes de contractualisations ne seraient pas suffisantes, des critères de priorisation doivent être définis. Sur le BAC concerné par ce territoire, les dossiers seraient sélectionnés en fonction de leur volume de surface incluse dans les zones les plus vulnérables définies dans le cadre des études des AAC, et notamment sur la cartographie de sensibilité du BAC à l'azote.</t>
  </si>
  <si>
    <t>X = 10%  Y = 0%  V = 1% W = 0,2%
Dates = date de la BCAE 8 de la PAC</t>
  </si>
  <si>
    <t>X = 20% Y = 40% W = 2,10 UGB/ha/an</t>
  </si>
  <si>
    <t>X2 = 35 %  Y2 = 30 %  W = 2,10 UGB/ha/an Z = 20 %
X3 = 50 %  Y3 = 25 %  W = 2,10 UGB/ha/an Z = 20 %</t>
  </si>
  <si>
    <t>Date max implantation : - au 15 mai de l’année du dépôt de la demande d’engagement, pour le cas général ;
- au 20 septembre de l’année du dépôt de la demande d’engagement, pour parcelles de terres labourables implantées en cultures d’hiver au titre de la campagne du dépôt de la demande.
X = 10 m  Y = 500 m  Z =  0,10 ha
Date sans intervention méca = 15 avril au 15 juillet</t>
  </si>
  <si>
    <t xml:space="preserve">Dates : Pas de période d'interdiction de pâturage
Travail du sol : Possibilité d'un renouvellement par travail superficiel du sol au cours de l'engagement 
Y=  60 UN/ha/an 
Z = 60 UP/ha/an   Z'= 160 UK/ha/an
Ca/Mg : Absence d'apports magnésiens et de chaux et/ou respecter la limitation de fertilisation P et K : 
60 UP/ha/an et 160 UK/ha/an </t>
  </si>
  <si>
    <t xml:space="preserve">Dates : Pas de période d'interdiction de pâturage
Travail du sol : Possibilité d'un renouvellement par travail superficiel du sol au cours de l'engagement 
Y=  60 UN/ha/an 
Z = 60 UP/ha/an   Z'= 160 UK/ha/an
Ca/Mg : Absence d'apports magnésiens et de chaux et/ou respecter la limitation de fertilisation P et K : 
60 UP/ha/an et 160 UK/ha/an
Retard d'utilisation : date standard 5 mai : Niveau 2 = 1 juin
Mise en défens de X% des surfaces engagées : X = 0 %
</t>
  </si>
  <si>
    <t xml:space="preserve">Dates : Pas de période d'interdiction de pâturage
Travail du sol : Possibilité d'un renouvellement par travail superficiel du sol au cours de l'engagement 
Y=  60 UN/ha/an 
Z = 60 UP/ha/an   Z'= 160 UK/ha/an
Ca/Mg : Absence d'apports magnésiens et de chaux et/ou respecter la limitation de fertilisation P et K : 
60 UP/ha/an et 160 UK/ha/an
Retard d'utilisation : date standard 5 mai : Niveau 3 = 10 juin
Mise en défens de X% des surfaces engagées : X = 0 %
</t>
  </si>
  <si>
    <t xml:space="preserve">Dates : Pas de période d'interdiction de pâturage
Travail du sol : Possibilité d'un renouvellement par travail superficiel du sol au cours de l'engagement 
Y=  0 UN/ha/an 
Z = 60 UP/ha/an   Z'= 160 UK/ha/an
Ca/Mg : Absence d'apports magnésiens et de chaux et/ou respecter la limitation de fertilisation P et K : 
60 UP/ha/an et 160 UK/ha/an
Retard d'utilisation : date standard 5 mai : Niveau 4 = 20 juin
Mise en défens de X% des surfaces engagées : X = 0 %
</t>
  </si>
  <si>
    <t>Critères d'éligibilité : Haies, arbres, ripisylves, alignements d'arbres</t>
  </si>
  <si>
    <t>Communauté de communes du pays de Bray</t>
  </si>
  <si>
    <t>Chambre d'agriculture de l'Oise</t>
  </si>
  <si>
    <t>Eloise Bertogli - ebertogli@cc-paysdebray.fr</t>
  </si>
  <si>
    <t xml:space="preserve">1 - Mesures appliquées sur les secteurs des AAC                                                                                                                                                                                                                                                                                                                                                                                                                                                                                                                                                                                                                            2 - Mesures de réduction phytosanitaire                                                                                                                                                                                                                                                                                                                                                                                                                                                                                                  3 - Mesures appliquées sur des parcelles de prairies permanentes                                                                                                                                                                                                                                                                                                                                                                                                                                                                                                                                                                                                                  4 - Mesures appliquées sur des parcelles de cours d'eau, de zone humide ou de rivière                                                                                                                                                                                                                                                                                                                                                                                                                                                                                                                                                                                                                                                              </t>
  </si>
  <si>
    <t xml:space="preserve">Le périmètre de la CCPB compte 6 champs captant dont deux sont classés Grenelle et Conférence. 4 Aires d'Alimentation de Captage (AAC) sont définies. Les mesures sélectionnées dans le cadre du présent PAEC concourent à l’atteinte des objectifs fixés dans les études de délimitations des AAC.  
Les prairies du territoire du Pays de Bray assurent la production de ressources alimentaires pour les ruminants. La CC du Pays de Bray comporte 142 exploitations agricoles dont 107 possèdent un cheptel.  90% de bovins, puis ovins, caprins et équins. Pour les bovins ce sont à 55% des troupeaux d’allaitantes et 45% de vaches laitières. Les prairies constituent des réservoirs de biodiversités animales et végétales tout en étant des réservoirs de nourriture (oiseaux, chauves-souris dont le Grand Murin…). Dans le même temps, elles assurent le stockage et la filtration des eaux pluviales notamment.
Par ailleurs, le territoire de la Communauté de Communes du Pays de Bray est caractérisé par son maillage bocager qui est aujourd’hui en diminution. Ce maillage est composé d’un certain nombre d’éléments fixes comme les haies qui constitue des limites de parcellaire. Elle assure par ailleurs la rétention/infiltration des eaux de ruissellement. Les haies son aussi une source de bois-énergie ou de construction, de baies et fruits. Elles assurent une protection micro-climatique contre les chaleurs excessives ou le vent avec les haies brise-vent, un rôle d'abri pour de nombreux auxiliaires de cultures et de corridor biologique (pour les chauves-souris par exemple). Les haies permettent la nidification et le refuge pour de nombreuses espèces animales.
Le bocage est également constitué de mares qui sont de véritables îlots de biodiversité. Ce sont des lieux d’habitat et de reproduction pour de nombreuses espèces de batraciens et d’insectes inféodés aux milieux aquatiques. Aire de repos et/ou de nourriture pour la faune, elles assurent des fonctions régulatrices et épuratrices.
De même, les fossés assurent drainage/collecte/circulation des eaux et ce sont des réservoirs de biodiversités animales et végétales ainsi que des corridors biologiques.
Depuis plusieurs années, les orientations technico-économiques des exploitations agricoles évoluent. Les exploitations principalement tournées vers l’élevage ont tendance à réduire la part élevage au profit des cultures. Les prairies, historiquement présentent en Pays de Bray, disparaissent et cèdent leurs places aux parcelles labourables. Cette évolution dans le changement des orientations s’accompagne aussi d’une évolution en matière de pratiques agricoles, et par conséquent, d’une augmentation du risque lié aux pollutions phytosanitaires et aux nitrates.
Dans le cadre de sa politique de protection de la ressource en eau, la Communauté de Communes du Pays de Bray souhaite renforcer son soutien aux exploitants agricoles qui limitent leurs usages de produits phytosanitaires et nitrates. C’est ainsi qu’elle souhaite proposer aux exploitants agricoles volontaires, la contractualisation de MAEC orientées vers la réduction des pesticides et la gestion de la fertilisation. En effet, les captages évoqués font l’objet d’un suivi de la qualité de la ressource en eau réalisé par l’Agence Régionale de Santé. En reprenant les résultats de ces analyses, nous nous apercevons que les principaux paramètres déclassants sont les produits phytosanitaires et les nitrates.  
Ces types de mesure système permettent d’engager une majorité des surfaces de l’exploitation agricole et favorise les évolutions de l’ensemble des pratiques agricoles à l’échelle de la rotation.
D’autre part, la Communauté de Communes du Pays de Bray souhaite soutenir les exploitants agricoles qui envisagent de maintenir leur atelier élevage en proposant une mesure en faveur de la création des prairies. Ce dispositif permet aussi de favoriser l’implantation et le maintien de zone de dilution à l’échelle du territoire, à la fois à l’échelle des Aires d’Alimentation des Captages, mais aussi en périphérie des cours d’eau et/ou fond de vallon (prairie de fauche, prairie inondable…).
La limitation des chargements à l’hectare ainsi que de la fertilisation azotée pour limiter les apports en nitrates, le recours à l’herbe avec une limitation du maïs pour maintenir les prairies sont autant de paramètres qui correspondent aux objectifs recherchés sur le territoire.                                                                                                                                                                                                                                                                                                                                                                                                     
Les MAEC ont pour but d’inciter à introduire davantage d'herbe dans l'assolement, de réduire la part du maïs dans la surface fourragère et de réduire les achats de concentrés. La baisse de la part du maïs dans l'alimentation permet de diminuer le besoin en complément azoté tel que le soja. L'exploitant peut alors plus facilement produire les concentrés qu'il apporte aux animaux.
Parmi les mesures retenues ci-dessus, la Communauté de Communes du Pays de Bray retiendra le cahier des charges fourni par les services instructeurs. Pour l’ensemble des indicateurs de suivi de chacune des mesures, il sera retenu les références départementale et/ou régionale                                                                                                                                                                                                                                                                                                                                                                                                                                      </t>
  </si>
  <si>
    <t>X = 10%, Y = 0% , V = 1%, W = 0,4 %, 
Dates = du 16/03 au 15/08</t>
  </si>
  <si>
    <t>X = 20%, Y = 7% , V = 2%, W = 0,4 %, 
Dates = du 16/03 au 15/08</t>
  </si>
  <si>
    <t>X= 42%, Y=22% , W=1,8 UGB/ha/an , Z = 35%</t>
  </si>
  <si>
    <t>X= 45%, Y=20% , W=1,2 UGB/ha/an , Z = 35%</t>
  </si>
  <si>
    <t>Date max implantation = 15/05 cas général ou 20/09 si culture d'hiver
X =10m ;  Y = 500m ;  Z =  0,10 hectare
Date sans intervention méca = 15/04 au 15/07 - sursemis possible</t>
  </si>
  <si>
    <t>Travail su sol = OK, X = 0 , Y = 50 N/ha/an , 0 MG / CA, 0 phy</t>
  </si>
  <si>
    <t>Travail su sol = OK,  X = 0 , Y = 40 UN/ha/an , 0 MG / CA, 0 phy</t>
  </si>
  <si>
    <t>Critères d'éligibilité : haies</t>
  </si>
  <si>
    <t>Communauté de communes Pévèle Carembault</t>
  </si>
  <si>
    <t>Chambre d'agriculture Nord Pas de Calais</t>
  </si>
  <si>
    <t>PAEC Pévèle Carembault</t>
  </si>
  <si>
    <t>L'ordre de priorité sera le suivant : agriculteur bio, agriculteurs nouvellement installé, mesures systèmes (du plus haut au plus bas niveau), protection des espèces (du plus haut au plus bas niveau) et CIFF</t>
  </si>
  <si>
    <t xml:space="preserve">L'enjeu eau a été défini pour le PAEC dans ce cadre, il a été choisi des mesures MAEC EAU réduction des pesticides en grandes cultures sur 2 niveaux et des mesures MAEC Climat pour les polyculteurs éleveurs, présents sur le territoire. Afin de protéger la ressource en eau, la création de prairies est une solution. Les mesures sur la protections des espèces ont été conservées de par leur utilisation les années précédantes. </t>
  </si>
  <si>
    <t>X = 10 Y = 0  V =1 W =  0.2
Dates = 16 mars et le 15 août</t>
  </si>
  <si>
    <t>X = 30 Y = 35 W = 2.6</t>
  </si>
  <si>
    <t>X =  45 Y =30  W =2.3 Z =30</t>
  </si>
  <si>
    <t>X =  60 Y =25  W =2 Z =30</t>
  </si>
  <si>
    <t xml:space="preserve">Date max implantation = 
X =  Y =  Z =  
Date sans intervention méca = </t>
  </si>
  <si>
    <t>X = 10 m Y = 0,1</t>
  </si>
  <si>
    <t>Dates : 15/11 au 25/05
Travail du sol : renouvellement par travail superficiel autorisé
X =  0 Y= 120 (dont 60 uN mineral)  Z = pas de plafond Z'= pas de plafond
Mg / Ca ? : oui</t>
  </si>
  <si>
    <r>
      <rPr>
        <sz val="10"/>
        <rFont val="Calibri"/>
        <family val="2"/>
      </rPr>
      <t>Dates : 15/11 au 5/06</t>
    </r>
    <r>
      <rPr>
        <sz val="10"/>
        <color theme="1"/>
        <rFont val="Calibri"/>
        <family val="2"/>
      </rPr>
      <t xml:space="preserve">
Travail du sol : renouvellement par travail superficiel autorisé
X = 0 Y= 100 (dont 60 uN mineral) Z =   pas de plafond Z'= pas de plafond
Mg / Ca ? : oui</t>
    </r>
  </si>
  <si>
    <r>
      <rPr>
        <sz val="10"/>
        <rFont val="Calibri"/>
        <family val="2"/>
      </rPr>
      <t>Dates : 15/11 au 15/06</t>
    </r>
    <r>
      <rPr>
        <sz val="10"/>
        <color theme="1"/>
        <rFont val="Calibri"/>
        <family val="2"/>
      </rPr>
      <t xml:space="preserve">
Travail du sol : renouvellement par travail superficiel autorisé
X = 0 Y= 80  Z = pas de plafond  Z'= pas de plafond
Mg / Ca ? : oui</t>
    </r>
  </si>
  <si>
    <t>Communauté de Communes de la Picardie Verte</t>
  </si>
  <si>
    <t>Chambre d'agriculture de l'Oise  ( Mme Amélie Peaudecerf)</t>
  </si>
  <si>
    <t>PAEC Picardie Verte</t>
  </si>
  <si>
    <t>Franck BRIOIS -                         tel : 03 44 04 53 93           Email:  fbriois@ccpv.fr</t>
  </si>
  <si>
    <t>Engagements su le territoire</t>
  </si>
  <si>
    <t xml:space="preserve">Le territoire  abrite un nombre important d’écosystèmes variés : bois, prairie humide, pelouse calcicole… Situés généralement sur les versants ou dans le fond des vallées, ils abritent une faune et une flore remarquables. Ce patrimoine « naturel », forgé par l’activité agricole et maintenu vivant par la polyculture élevage, est vulnérable. </t>
  </si>
  <si>
    <t xml:space="preserve">X =  Y =  V =  W =  
Dates = </t>
  </si>
  <si>
    <t xml:space="preserve">X =10%  Y =1%  V =1% W = 0,2%     </t>
  </si>
  <si>
    <t>X =35%  Y =30%  W =2,1 Z =10%</t>
  </si>
  <si>
    <t xml:space="preserve">Dates :1er juin
Travail du sol : renouvellement par travail superficiel du sol autorisé au cours de l'engagement
X = 0% Y=60  Z = 30 Z'= 60
</t>
  </si>
  <si>
    <t xml:space="preserve">Dates :15 juin
Travail du sol :renouvellement par travail superficiel du sol autorisé au cours de l'engagement
X = 0%  Y= 60  Z =30  Z'= 40 
</t>
  </si>
  <si>
    <t>Communauté de communes des Portes de la Thiérache</t>
  </si>
  <si>
    <t>BAC des Portes de la Thiérache</t>
  </si>
  <si>
    <t>DOUGADOS Aude
03.23.98.87.67
adougados@portes-de-thierache.fr</t>
  </si>
  <si>
    <t>En cas de besoin, les dossiers seront sélectionnés en fonction de leur volume de surface incluse dans les zones de dilution ou bien dans les zones les plus vulnérables définies dans le cadre des études de vulnérabilité des AAC</t>
  </si>
  <si>
    <t>X = 10%   Y = 0%   V = 1 W = 0,2  
Dates = date BCAE 8 de la PAC</t>
  </si>
  <si>
    <t xml:space="preserve">X = 10%   Y = 0%   V = 1 W = 0,2  
Dates = date BCAE 8 de la PAC
REH = </t>
  </si>
  <si>
    <t>EPTB SOMME AMEVA</t>
  </si>
  <si>
    <t>CHAMBRE D'AGRICULTURE DE LA SOMME</t>
  </si>
  <si>
    <t>HAUTE VALLEE DE LA SOMME</t>
  </si>
  <si>
    <t>Anaïs MASSON
03 64 85 00 27
a.masson@ameva,org</t>
  </si>
  <si>
    <r>
      <rPr>
        <b/>
        <sz val="11"/>
        <color theme="1"/>
        <rFont val="Calibri"/>
        <family val="2"/>
      </rPr>
      <t>Priorité 1 :</t>
    </r>
    <r>
      <rPr>
        <sz val="11"/>
        <color theme="1"/>
        <rFont val="Calibri"/>
        <family val="2"/>
      </rPr>
      <t xml:space="preserve"> dossiers préférant les mesures surfaciques sans aucune fertilisation,
visant au maintien des prairies pâturées ou des prairies de fauche
</t>
    </r>
    <r>
      <rPr>
        <b/>
        <sz val="11"/>
        <color theme="1"/>
        <rFont val="Calibri"/>
        <family val="2"/>
      </rPr>
      <t xml:space="preserve"> Priorité 2 :</t>
    </r>
    <r>
      <rPr>
        <sz val="11"/>
        <color theme="1"/>
        <rFont val="Calibri"/>
        <family val="2"/>
      </rPr>
      <t xml:space="preserve"> dossiers préférant les mesures surfaciques visant au maintien des
prairies pâturées ou des prairies de fauche
</t>
    </r>
    <r>
      <rPr>
        <b/>
        <sz val="11"/>
        <color theme="1"/>
        <rFont val="Calibri"/>
        <family val="2"/>
      </rPr>
      <t xml:space="preserve">Priorité 3 : </t>
    </r>
    <r>
      <rPr>
        <sz val="11"/>
        <color theme="1"/>
        <rFont val="Calibri"/>
        <family val="2"/>
      </rPr>
      <t xml:space="preserve">dossiers visant à la création et l'entretien de couverts herbacés
</t>
    </r>
    <r>
      <rPr>
        <b/>
        <sz val="11"/>
        <color theme="1"/>
        <rFont val="Calibri"/>
        <family val="2"/>
      </rPr>
      <t>Priorité 4 :</t>
    </r>
    <r>
      <rPr>
        <sz val="11"/>
        <color theme="1"/>
        <rFont val="Calibri"/>
        <family val="2"/>
      </rPr>
      <t xml:space="preserve"> tous les autres dossiers</t>
    </r>
  </si>
  <si>
    <t>Outil de contractualisation à destination des exploitants agricoles dans le cadre de Natura 2000. L'enjeu principal est le maintien des milieux ouverts dans ce site Natura 2000 également labellisé RAMSAR. Il s'agit notamment d'une des mesures du DOCument d'OBjectifs du site.</t>
  </si>
  <si>
    <t>Date max implantation = 15/05
X = 10 m  Y =  500 m  Z =  0,1 ha
Date sans intervention méca = 15/04 au 15/07</t>
  </si>
  <si>
    <t>X = 10 m Y = 0,1 ha</t>
  </si>
  <si>
    <t>Critères d'éligibilité : Haies, arbres, ripisylves, bosquets</t>
  </si>
  <si>
    <t>TERRITOIRE DES SAGE DU BASSIN DE LA SOMME</t>
  </si>
  <si>
    <t>Cindy Delcenserie
03 22 33 09 97
c.delcenserie@ameva.org</t>
  </si>
  <si>
    <t>L'objectif est de préserver la qualité de l'eau sur les territoires de SAGE, les mesures proposées permettent d'y participer, en particulier les mesures de réduction d'herbicides et pesticides.</t>
  </si>
  <si>
    <t>X=15%  Y=1%  V=1% W=0,2%
Dates = 16 mars au 15 août</t>
  </si>
  <si>
    <t>X=10%  Y=1%  V=1%  W=0,2%  REH=100 
Dates = 16 mars au 15 août</t>
  </si>
  <si>
    <t>X=10%  Y=1%  V=1%  W=0,2%  REH =100
Dates = 16 mars au 15 août</t>
  </si>
  <si>
    <t>X=35%  Y=30%  W=2,1  Z=10%</t>
  </si>
  <si>
    <t xml:space="preserve">CHAMBRE D'AGRICULTURE DE LA SOMME </t>
  </si>
  <si>
    <t>Léo LE FEVRE 09.70.20.00.39  l.lefevre@ameva.org</t>
  </si>
  <si>
    <r>
      <rPr>
        <b/>
        <sz val="11"/>
        <color theme="1"/>
        <rFont val="Calibri"/>
        <family val="2"/>
      </rPr>
      <t>Priorité 1 :</t>
    </r>
    <r>
      <rPr>
        <sz val="11"/>
        <color theme="1"/>
        <rFont val="Calibri"/>
        <family val="2"/>
      </rPr>
      <t xml:space="preserve"> dossiers préférant les mesures surfaciques sans aucune fertilisation,
visant au maintien des prairies pâturées ou des prairies de fauche
</t>
    </r>
    <r>
      <rPr>
        <b/>
        <sz val="11"/>
        <color theme="1"/>
        <rFont val="Calibri"/>
        <family val="2"/>
      </rPr>
      <t xml:space="preserve"> Priorité 2 :</t>
    </r>
    <r>
      <rPr>
        <sz val="11"/>
        <color theme="1"/>
        <rFont val="Calibri"/>
        <family val="2"/>
      </rPr>
      <t xml:space="preserve"> dossiers préférant les mesures surfaciques visant au maintien des
prairies pâturées ou des prairies de fauche
</t>
    </r>
    <r>
      <rPr>
        <b/>
        <sz val="11"/>
        <color theme="1"/>
        <rFont val="Calibri"/>
        <family val="2"/>
      </rPr>
      <t xml:space="preserve">Priorité 3 : </t>
    </r>
    <r>
      <rPr>
        <sz val="11"/>
        <color theme="1"/>
        <rFont val="Calibri"/>
        <family val="2"/>
      </rPr>
      <t xml:space="preserve">dossiers visant à la création et l'entretien de couverts herbacés
</t>
    </r>
    <r>
      <rPr>
        <b/>
        <sz val="11"/>
        <color theme="1"/>
        <rFont val="Calibri"/>
        <family val="2"/>
      </rPr>
      <t>Priorité 4 :</t>
    </r>
    <r>
      <rPr>
        <sz val="11"/>
        <color theme="1"/>
        <rFont val="Calibri"/>
        <family val="2"/>
      </rPr>
      <t xml:space="preserve"> tous les autres dossiers</t>
    </r>
  </si>
  <si>
    <t>Outil de contractualisation à destination des exploitants agricoles dans le cadre de Natura 2000. L'enjeu principal est le maintien des milieux ouverts, notamment des prairies et des zones humides, par le pâturage. Il s'agit notamment d'une des mesures du DOCument d'OBjectifs du site.</t>
  </si>
  <si>
    <t>X = 1,4 UGB/ha/an Y = 0,2 UGB/ha/an W = 50 kg N/ha Z = 1 UGB/ha/an
Période hivernale : 01/12 au 28/02
Limite de fertilisation P et K : 30 kg/an
Autorisation ou interdiction Ca/Mg ? : Interdiction</t>
  </si>
  <si>
    <t>X = 1,4 UGB/ha/an Y = 0,2 UGB/ha/an W = 0 kg N/ha Z = 1 UGB/ha/an
Période hivernale : 01/12 au 28/02
Limite de fertilisation P et K : 0 kg/an
Autorisation ou interdiction Ca/Mg ? : Interdiction</t>
  </si>
  <si>
    <t>Dates :
Travail du sol : Autorisé
X = 0%  Y=  70  Z = 30  Z'= 30
Mg / Ca ? : Interdiction</t>
  </si>
  <si>
    <t>Dates :
Travail du sol : Autorisé
X = 0% Y= 0 Z = 0  Z'= 0
Mg / Ca ? : Interdiction</t>
  </si>
  <si>
    <t>VALLEE DE LA SELLE</t>
  </si>
  <si>
    <t>Outil de contractualisation à destination des exploitants agricoles dans le cadre de Natura 2000. L'enjeu principal est le maintien des milieux ouverts dans ce site Natura 2000 en bordure d'un cours d'eau classé liste 2 et d'intérêt avec notamment la présence de l'écrevisse à patte blanche. Il s'agit notamment d'une mesure de préservation d'espèce du DOCument d'OBjectifs du site.</t>
  </si>
  <si>
    <t>SYNDICAT MIXTE BAIE DE SOMME TROIS VALLEES / PARC NATUREL REGIONAL BAIE DE SOMME PICARDIE MARITIME</t>
  </si>
  <si>
    <t>PARC NATUREL REGIONAL BAIE DE SOMME PICARDIE MARITIME / CHAMBRE D AGRICULTURE DE LA SOMME</t>
  </si>
  <si>
    <t>PAEC DU PNR BAIE DE SOMME PICARDIE MARITIME - enjeu Biodiversité</t>
  </si>
  <si>
    <t>ULRYCH RAPHAELLE 07 87 61 42 17 r.ulrych@baiedesomme3vallees.fr</t>
  </si>
  <si>
    <t>1) demandeur d'aide exerçant une activitité agricole biologique
2) demandeur d'aide concerné par des surfaces contractualisées situées dans des zonages à enjeux de l'Agence de l'Eau Artois Picardie
3)  demandeur d'aide concerné par le statut de jeune agriculteur</t>
  </si>
  <si>
    <t>Il s'agit de poursuivre la dynamique engagée sur les campagnes 2023 et 2024 au regard des mesures contractualisées et d'autres mesures qui n'ont au contraire pas trouvé de public, étant peu adaptées aux spécificités du territoire. L'ajout d'une nouvelle mesure système orientée pour les agriculteurs ayant un atelier dédié à l'arboriculture peut permettre de répondre aux enjeux d'une filière locale. Les MAEC en lien avec l'élevage et la préservation des zones humides sont maintenues à double titre ; elles répondent aux enjeux du soutien de l'élevage sur zones humides et de plaine et répondent aux enjeux de la charte du PNR : 
- mesure 1.2.2 : agir en faveur de la protection et de la gestion des sites naturels à enjeu Parc
- mesure 1.3.1 : améliorer la qualité de la ressource en eau et servir les orientations du Parc Naturel marin des Estuaires picards et de la mer d'Opale
- mesure 1.3.2 : développer les initiatives contribuant à la préservation des cours d'eau et à la fonctionnalité des zones humides
- mesure 1.4.1 : favoriser les usages et les pratiques agricoles répondant aux enjeux environnementaux et paysagers
 - mesure 3.3.2 : maitriser les dépenses d'énergie et développer l'économie circulaire</t>
  </si>
  <si>
    <t>X = 1,4 Y = 0,2W =0 Z = 1
Période hivernale : 01/12 au 28/12
Limite de fertilisation P et K : 0 / 0
Autorisation ou interdiction Ca/Mg ? : interdiction</t>
  </si>
  <si>
    <t>PAEC DU PNR BAIE DE SOMME PICARDIE MARITIME - enjeu Zones humides</t>
  </si>
  <si>
    <t>Syndicat mixte du bassin versant de la bresle</t>
  </si>
  <si>
    <t>Chambre d'agriculture 80 et 60, Conservatoire des espaces naturels de hauts de france</t>
  </si>
  <si>
    <t>mackelberg charles-edouard
 0235174155 
mackelberg@sma-bresle.fr</t>
  </si>
  <si>
    <t>La démarche du SMAB s'inscrit dans une démarche de bassin versant qui va rechercher l'atteinte des objectifs du schéma d'aménagement et de gestion des eaux (SAGE) de la Bresle en visant une cohérence d'ensemble des actions sur les deux régions concernées par le bassin,
- maintien des prairies
- préservation de la biodiversité
- gestion qualitative de la rerssouce "Eau"</t>
  </si>
  <si>
    <t>Le SMAB souhaite engager principalement  des MAEC Préservation de l'équilibre agroécologique et de la biodiversité de milieux spécifiques  et des MAEC Biodiversité - Protection des espèces afin de maintenir les prairies sur son terrtoire et notamment sur ses zons humides</t>
  </si>
  <si>
    <t>X=10 Y=0 V=1 W=0,2 Dates =entre 7 mars et 15 aout</t>
  </si>
  <si>
    <t>X =20  Y =25  W =2,1</t>
  </si>
  <si>
    <t>X = 30  Y = 20  W = 2,1  Z = 10</t>
  </si>
  <si>
    <t>X =1,4 Y =0,2 W =50 Z = 1
Période hivernale : 1 decembre au 28 fevrier
Limite de fertilisation P et K : 30kg/ha/an
 interdiction Ca/Mg</t>
  </si>
  <si>
    <t>Date max implantation = 15 mai 
X =10  Y =500  Z = 0,1 
Date sans intervention méca = 15 avril au 15 juillet</t>
  </si>
  <si>
    <t>Dates : 15 mai au 10 juin
Travail du sol : superficiel autorisé
X =0 Y=60  Z = 30 Z'=30 
Mg / Ca ? : autorisation</t>
  </si>
  <si>
    <t>Dates : 15 mai au 20 juin
Travail du sol : superficiel autorisé
X =0 Y=60  Z = 30 Z'=30 
Mg / Ca ? : autorisation</t>
  </si>
  <si>
    <t>Syndicat Mixte du Parc naturel régional de l'Avesnois</t>
  </si>
  <si>
    <t>Prairies de l'Avesnois</t>
  </si>
  <si>
    <t>Guillaume DHUIEGE, 03 27 77 51 63, guillaume.dhuiege@parc-naturel-avesnois.com</t>
  </si>
  <si>
    <t>(1) Engagés ou certifiés en Agriculture Biologique.
(2) Exploitation 100 % Herbe
(3) Ayant des surfaces en herbe &gt; 60 % de la SAU  
(4) Souscrivant les MAEC les plus exigeantes (de niveau 3) ;
(5) Engagés dans un plan de gestion durable de la Haie</t>
  </si>
  <si>
    <t xml:space="preserve">Le projet consiste à renouveler et poursuivre l'animation du PAEC 2023/2024 porté par Parc naturel régional de l'Avesnois en lien avec la charte du Parc 2025 - 2040 en cours de d'approbation.
Les enjeux identifiés dans la Charte du Parc naturel régional de l'Avesnois sont les suivants : 
-	l’amélioration et la préservation de la qualité des eaux,
-	le maintien et la gestion durable des paysages bocagers associant prairies et haies,
-       la préservation de la biodiversité ordinaire et patrimoniale,
-	la lutte contre l’érosion des sols et le ruissellement,
-	la préservation des milieux humides de l’Avesnois.
Compte tenu des enjeux agro-environnementaux du territoire, nous proposons l’enjeu "Eau" comme enjeu prioritaire du PAEC avec comme enjeu secondaire l'enjeu "Prairies – zones Humides".
Les mesures MAEC proposées pour ce PAEC répondront donc à ces enjeux tout en prenant en compte la multifonctionnalité du territoire et ses enjeux croisés que sont la Biodiversité, la lutte contre l’érosion dans un contexte d’accentuation des événements climatiques majeurs (Sécheresse, inondations, coulées de boue,…) .
La stratégie du présent PAEC est donc à la fois de préserver et de gérer durablement les éléments fixes du paysage (prairies, haies arborées, arbustives, arbres têtards et de haut jet, mares, ….) mais également de contribuer à l’amélioration de leur entretien ou de leur gestion par la proposition de mesures adaptées au contexte agricole du territoire du Parc naturel régional de l’Avesnois. </t>
  </si>
  <si>
    <t>X = 50%  Y = 30%  W = 2,2</t>
  </si>
  <si>
    <t>X = 60% Y = 25% W = 2 Z = 50%</t>
  </si>
  <si>
    <t>X = 70% Y = 20% W = 1,8 Z = 60%</t>
  </si>
  <si>
    <t>X = 1,4 Y = 0,05 W = 30 Z = 0 du 15/11/n au 15/03/n+1
Période hivernale :
Limite de fertilisation P et K : 20/40
Autorisation ou interdiction Ca/Mg ? : interdiction</t>
  </si>
  <si>
    <t>X = 1,4 Y = 0,05 W = 0 Z = 0 du 15/11/n au 15/03/n+1
Période hivernale :
Limite de fertilisation P et K : 0/0
Autorisation ou interdiction Ca/Mg ? : interdiction</t>
  </si>
  <si>
    <t>Dates : 01/01 au 31/05
Travail du sol : non
X = 0 Y= 100  Z = 90  Z'= 160 
Mg / Ca ? : interdit</t>
  </si>
  <si>
    <t>Dates : 01/01 au 09/06
Travail du sol : non
X = 0 Y= 80  Z = 70  Z'= 130 
Mg / Ca ? : interdit</t>
  </si>
  <si>
    <t>Dates : 01/01 au 19/06
Travail du sol : non
X = 0 Y= 60  Z = 50  Z'= 100 
Mg / Ca ? : interdit</t>
  </si>
  <si>
    <t>Critères d'éligibilité : Haies, arbres, ripisylves</t>
  </si>
  <si>
    <t xml:space="preserve">Parc Naturel Régional Scarpe-Escaut </t>
  </si>
  <si>
    <t>ANIMATEURS</t>
  </si>
  <si>
    <t xml:space="preserve">Parc Naturel Régional Scarpe-Escaut et Chambre d'Agriculture Nord-Pas-de-Calais </t>
  </si>
  <si>
    <t xml:space="preserve">PAEC Biodiversité- Parc Naturel Régional Scarpe-Escaut </t>
  </si>
  <si>
    <t>Gaétan LARRIVAZ 
03.27.19.19.79
g.larrivaz@pnr-scarpe-escaut.fr</t>
  </si>
  <si>
    <t>1 / Exploitation en Agriculture Biologique, 2/ Exploitation en Natura 2000, 3/ Jeune Agriculteur, 4/ Petite exploitation (SAU inférieure à la moyenne du territoire), 5/ Autre exploitation</t>
  </si>
  <si>
    <t xml:space="preserve">Le territoire Scarpe Escaut est un territoire majoritairement de polyculture-elevage. Il apparait donc important de choisir des mesures permettant d'agir à la fois sur la partie élevage et sur la partie culture. Le territoire est labellisé Parc Naturel Régional preuvant la richesse de la biodiversité du territoire. Il est également labellisé Ramsar, montrant l'importance des zones humides. Ce label est completé par un Programme de Maintien de l'Agriculture en Zone Humide, des ZNIEFF ainsi que plusieurs zonages Natura 2000 (ZPS et ZSC). Il y a ainsi de nombreux enjeux  que sont la préservation de la biodiversité, du paysage, l'amélioration de la qualité de l'eau, la préservation et la restauration des continuités écologiques, auxquels les MAEC permettent de contribuer. </t>
  </si>
  <si>
    <t>X =10 Y = 0  V = 1 W =  0,2
Dates = Dates définies par la BCAE 8</t>
  </si>
  <si>
    <t>X = 32 % Y = 35% W = 2,2 UGB</t>
  </si>
  <si>
    <t>X = 52%  Y = 30%  W = 2 UGB  Z = 40%</t>
  </si>
  <si>
    <t>X =  62% Y = 25%  W = 1,8 UGB Z = 40%</t>
  </si>
  <si>
    <t xml:space="preserve">X = 1,4 UGB  Y = 0,05 UGB W = 250 (50uN/an) (0 sur Natura 2000 directive Habitat) Z = 0
Période hivernale : 01/11 au 01/03
Limite de fertilisation P et K : 40 uP/an et 80 uK/an
Autorisation ou interdiction Ca/Mg ? : 0 sur Natura 2000 directive habitat </t>
  </si>
  <si>
    <t>X = 10 m  Y = 0ha10</t>
  </si>
  <si>
    <t xml:space="preserve">Dates : du 01/11 au 01/03
Travail du sol : Interdit
X =0  Y= 80  Z =60  Z'= 140 (0 NPK sur Natura 2000 directive habitat)
Mg / Ca ? : interdit sur Natura 2000 directive habitat 
Retard de fauche au 1er juin </t>
  </si>
  <si>
    <t xml:space="preserve">Dates : du 01/11 au 01/03 
Travail du sol : Interdit 
X = 0 Y= 60  Z =45  Z'= 105 (0 NPK sur Natura 2000 directive habitat)
Mg / Ca ? : interdit sur Natura 2000 directive habitat 
Retard de fauche au 10 juin </t>
  </si>
  <si>
    <t xml:space="preserve">Dates : du 01/11 au 01/03 
Travail du sol : Interdit 
X =0  Y=50  Z =40  Z'= 80 (0 NPK sur Natura 2000 directive habitat)
Mg / Ca ? : interdit sur Natura 2000 directive habitat 
Retard de fauche au 20 juin </t>
  </si>
  <si>
    <t>1 / Exploitation en Agriculture Biologique, 2/ Exploitation en Natura 2000, 3/ Jeune Agriculteur, 4/ Exploitation dont la SAU est inférieure à la moyenne du territoire, 5/ Autre exploitation</t>
  </si>
  <si>
    <t xml:space="preserve">Le territoire Scarpe Escaut est un territoire majoritairement de polyculture-elevage. Il apparait donc important de choisir des mesures permettant d'agir à la fois sur la partie élevage et sur la partie culture. Le territoire est labellisé Parc Naturel Régional prouvant la richesse de la biodiversité du territoire. Il est également labellisé Ramsar, montrant l'importance des zones humides. Ce label est completé par un Programme de Maintien de l'Agriculture en Zone Humide, des ZNIEFF ainsi que plusieurs zonages Natura 2000 (ZPS et ZSC). Il y a ainsi de nombreux enjeux  que sont la préservation de la biodiversité, du paysage, l'amélioration de la qualité de l'eau, la préservation et la restauration des continuités écologiques, auxquels les MAEC permettent de contribuer. </t>
  </si>
  <si>
    <t>X =  10 Y = 0  V =1 W =  0,2
Dates = Dates définies par la BCAE 8</t>
  </si>
  <si>
    <t xml:space="preserve">X = 1,4 UGB  Y = 0,05 UGB W = 250 (50uN/an)(0 sur Natura 2000 directive Habitat) Z = 0
Période hivernale : 01/11 au 01/03
Limite de fertilisation P et K : 40 uP/an et 80 uK/an
Autorisation ou interdiction Ca/Mg ? : 0 sur Natura 2000 directive habitat </t>
  </si>
  <si>
    <t>X = % Y = % W =  UGB/ha/an</t>
  </si>
  <si>
    <t>Parc naturel régional des Caps et Marais d'Opale</t>
  </si>
  <si>
    <t>PAEC Biodiversité</t>
  </si>
  <si>
    <t>Emilie Lacour
tel 06 08 68 27 21
elacour@parc-opale.fr
Sophie Quennesson
tel 06 31 81 75 28
squennesson@parc-opale.fr</t>
  </si>
  <si>
    <t>agriculteurs biologiques</t>
  </si>
  <si>
    <t xml:space="preserve">enjeux secondaires : </t>
  </si>
  <si>
    <t>eau, érosion, zones humides</t>
  </si>
  <si>
    <t>X = 5%  V = 1%  W = 0,2%
Dates = 0 intervention sur les haies entre 16 mars et 15 août</t>
  </si>
  <si>
    <t>X = 50%  Y = 30%  W = 2,4  Z = 35%</t>
  </si>
  <si>
    <t>X = 60%  Y = 25%  W = 2,2  Z = 35%</t>
  </si>
  <si>
    <t xml:space="preserve">X = 1,4  Y = 0,05  W = 60kgN/ha/an  Z = 1 UGB/ha
Période hivernale : entre 01/12 et 01/03
Limite de fertilisation P et K : 50kgP/ha/an; 90kgK/ha/an
Interdiction Ca/Mg </t>
  </si>
  <si>
    <t>X = 1,4  Y = 0,05  W = 0 kgN/ha/an  Z = 1 UGB/ha
Période hivernale : entre 01/12 et 01/03
Limite de fertilisation P et K : 0 kgP/ha/an; 0kgK/ha/an
Interdiction Ca/Mg</t>
  </si>
  <si>
    <t>X = 10 mètres  Y = 0,10ha</t>
  </si>
  <si>
    <t xml:space="preserve">Date de référence pour l'utilisation des prairies : 1er juin
Retard d'utilisation : 25 jours
Dates : période d'interdiction de pâturage pourra être imposée dans le plan de gestion
Travail du sol :
X = 0%  Y= 100kgN/ha/an  Z = 90kgP/ha/an   Z'= 160kgK/ha/an
Mg / Ca : absence </t>
  </si>
  <si>
    <t xml:space="preserve">Date de référence pour l'utilisation des prairies : 1er juin
Retard d'utilisation : 35 jours
Dates : période d'interdiction de pâturage pourra être imposée dans le plan de gestion
Travail du sol : 
X = 0%  Y= 80kgN/ha/an  Z = 70kgP/ha/an   Z'= 130kgK/ha/an
Mg / Ca : absence </t>
  </si>
  <si>
    <t>Critères d'éligibilité : haies, arbres, ripisylves</t>
  </si>
  <si>
    <t>PAEC CMO Eau</t>
  </si>
  <si>
    <t>agriculeurs bio</t>
  </si>
  <si>
    <t>enjeux secondaires : érosion, biodiversité, zones humides et prairies</t>
  </si>
  <si>
    <t>Département de la Somme</t>
  </si>
  <si>
    <t xml:space="preserve">Chambre d'Agriculture de la Somme et Conservatoire d'espaces naturels des Hauts-de-France </t>
  </si>
  <si>
    <t>Moyenne vallée de la Somme et affluents</t>
  </si>
  <si>
    <t>Liste des communes
MVSE (Eau AEAP)</t>
  </si>
  <si>
    <t>Sophie Guégan, 03 22 71 83 56, sguegan@somme.fr            Hugo Smelten, 03.22.33.69.91, h.smelten@somme.chambagri.fr 
Matthieu Franquin, 03 22 89 84 22, m.franquin@cen-hautsdefrance.org</t>
  </si>
  <si>
    <t>Liste des communes
MVSB (Biodiv MASA)</t>
  </si>
  <si>
    <t>Priorité 1 : Mesures HBV3, MHU2 et ESP4
Priorité 2 : Agriculteur BIO, éleveur (+ de 10 UGB) et JA</t>
  </si>
  <si>
    <t>Enjeu ZH et prairies AEAP</t>
  </si>
  <si>
    <t>- Maintenir ou mettre en place des pratiques pastorales et de gestion des prairies humides compatibles avec la préservation de la biodiversité et des services écosystémiques associés à ces milieux. - Conforter le réseau de prairies du territoire en créant des surfaces d'intérêts écologiques avec une flore adaptée aux milieux humides. - Conforter le réseau de prairies du territoire en convertissant les parcelles de terres cultivées. - Favoriser une utilisation tardive des prairies permettant à la faune et à la flore d'assurer son cycle de vie et de reproduction. Le choix du niveau de mesure et donc de la date sera orientée en fonction du niveau d'humidité et de la présence d'espèces à enjeux. - Favoriser le maintien des mares, haies et arbres têtards en bon état écologique favorable à l'accueil de la faune.</t>
  </si>
  <si>
    <t xml:space="preserve">X = La part minimale de surface en herbe dans la SAU = 30 % ; Y = La part maximale de surface en maïs ensilage = 25 % ; W = Taux de chargement maxi de 2,1 UGB/ha de SFP </t>
  </si>
  <si>
    <t xml:space="preserve">X = La part minimale de surface en herbe dans la SAU = 35 %
Y = La part maximale de surface en maïs ensilage = 20 %
Z = La part minimale de prairies permanentes de la SAU = 20 %
W = Taux de chargement maxi de 2,1 UGB/Ha SFP
</t>
  </si>
  <si>
    <t>X = 40%, Y = 15%,, W = 2,1 UGB/ha/an, Z = 30%</t>
  </si>
  <si>
    <t>mini: 0,2 UGB/ha/an à l'exploitation  - 1,4 UGB/ha/an max à la parcelle  - chargement instantané 1 UGB/ha maxi du 1er décembre au 28 février. Absence apports magnésiens et de chaux. 50/30/30 U max de N/P/K</t>
  </si>
  <si>
    <t>mini: 0,2 UGB/ha/an à l'exploitation  - 1,4 UGB/ha/an max à la parcelle  - chargement instantané 1 UGB/ha maxi du 1er décembre au 28 février. Absence apports magnésiens et de chaux. Absence de ferti.</t>
  </si>
  <si>
    <t xml:space="preserve">Voir plan de gestion (50 U d'N max et chargement max 1,4 UGB/ha/an à la parcelle ) </t>
  </si>
  <si>
    <t xml:space="preserve">Largeur mini: X = 10 m ou Y = 10 ares de surf min. Mélange d'espèces de graminées ou mélange graminées + légumineuses. Pas de mélange de légumineuses pures. </t>
  </si>
  <si>
    <t xml:space="preserve">Dates : 
Travail du sol :
Y=  Z =  Z'= 
Ca/Mg ? :   </t>
  </si>
  <si>
    <t>Dates : interdiction de pâturage du 01/01 au 10/06
Retard d'utilisation après le 10/06
Travail du sol : ne pas détruire le couvert. Un renouvellement par travail du sol superficiel est autorisé au cours des 5 ans
X = 0%  Y=  70  Z = 30   Z'=  30
Mg / Ca ? :    0</t>
  </si>
  <si>
    <t>Dates : interdiction de pâturage du 01/01 au 20/06
Retard d'utilisation après le 20/06
Travail du sol : ne pas détruire le couvert. Un renouvellement par travail du sol superficiel est autorisé au cours des 5 ans
X = 0%  Y=  0  Z = 0   Z'=  0
Mg / Ca ? :    0</t>
  </si>
  <si>
    <t>Dates : interdiction de pâturage du 01/01 au 30/06
Retard d'utilisation après le 30/06
Travail du sol : ne pas détruire le couvert. Un renouvellement par travail du sol superficiel est autorisé au cours des 5 ans
X = 0%  Y=  0  Z = 0   Z'=  0
Mg / Ca ? :    0</t>
  </si>
  <si>
    <t>Critères d'éligibilité : entretien des haies, arbres</t>
  </si>
  <si>
    <t>AGGLOMERATION DE LA REGION DE COMPIEGNE</t>
  </si>
  <si>
    <t>CHAMBRE D'AGRICULTURE DE L'OISE</t>
  </si>
  <si>
    <t>BAC DE BAUGY-HOSPICE</t>
  </si>
  <si>
    <t>Vincent PERRIN - 03,44,85,44,82 ou 06,47,22,08,95
vincent.perrin@agglo-compiegne.fr</t>
  </si>
  <si>
    <t>Enjeu Eau</t>
  </si>
  <si>
    <t>Continuer les efforts réalisés par une partie des exploitants du territoire depuis une quinzaine d'année pour maintenir et améliorer la qualité de l'eau qui alimente environ 65 000 personnes sur le Compiégnois via les forages situés sur les 2 AAC. Ils s'agit de ressources en eau vitales pour l'Agglomération de la Région de Compiègne et ses habitants et qui sont soumises à des pollutions d'origine agricoles (nitrate et produits phytosanitaires).
Les captages sont d'ailleurs classés Grenelle.</t>
  </si>
  <si>
    <t xml:space="preserve">X =   Y =   V =   W =  
Dates = </t>
  </si>
  <si>
    <t>X = 10%  Y = 3%  V = 1%  W =  0,2 %
Dates = du 16/03 au 15/08</t>
  </si>
  <si>
    <t>X = 40% ; Y = 22% ; W = 2 UGB/ha/an ; Z = 10%</t>
  </si>
  <si>
    <t>Date max implantation = au plus tard le 20/09
X = 10m  Y = 500m  Z = 0,1 ha 
Date sans intervention méca = entre le 15 avril et le 15 juillet</t>
  </si>
  <si>
    <t>Communauté de Communes des Lisières de l'Oise</t>
  </si>
  <si>
    <t>Chambre d'Agriculture de l'Oise</t>
  </si>
  <si>
    <t xml:space="preserve">PAEC "  CCLO EAU " </t>
  </si>
  <si>
    <t>Marine LEAL
06 09 31 21 66
marine.leal@ccloise.com</t>
  </si>
  <si>
    <t>Dans le cas où les enveloppes de contractualisations ne seraient pas suffisantes, des critères de priorisation doivent être définis. Sur le BAC concerné par ce territoire, les dossiers seraient sélectionnés en fonction de leur volume de surface incluse dans les zones les plus vulnérables définies dans le cadre des études de vulnérabilité des AAC.</t>
  </si>
  <si>
    <t>X = 10%  Y =  0% V = 1 W =  0,2
Dates = date BCAE 8 de la PAC</t>
  </si>
  <si>
    <t>X = 10 % Y = 0%  V = 1 W = 0 ,2  
Dates = Date BCAE 8 de la PAC</t>
  </si>
  <si>
    <t>Date max implantation = - au 15 mai de l’année du dépôt de la demande d’engagement, pour le cas général ;
- au 20 septembre de l’année du dépôt de la demande d’engagement, pour parcelles de terres labourables implantées en cultures d’hiver au titre de la campagne du dépôt de la demande.
X =  10 m Y = 500 m  Z =  0,10 ha
Date sans intervention méca =  15 avril au 15 juillet</t>
  </si>
  <si>
    <t xml:space="preserve">Dates :  Pas de période d'interdiction de pâturage
Travail du sol : Possibilité d'un renouvellement par travail superficiel du sol au cours de l'engagement 
Y= 60 UN/ha/an 
Z = 60 UP/ha/an
Z'= 160 UK/ha/an
Ca/Mg : Absence d'apports magnésiens et de chaux et/ou respecter la limitation de fertilisation P et K : 
60 UP/ha/an et 160 UK/ha/an </t>
  </si>
  <si>
    <t xml:space="preserve">Dates : Pas de période d'interdiction de pâturage
Travail du sol : Possibilité d'un renouvellement par travail superficiel du sol au cours de l'engagement 
Y=  60 UN/ha/an 
Z = 60 UP/ha/an   Z'= 160 UK/ha/an
Ca/Mg : Absence d'apports magnésiens et de chaux et/ou respecter la limitation de fertilisation P et K : 
60 UP/ha/an et 160 UK/ha/an
Retard d'utilisation : date standard 5 mai : Niveau 2 = 1 juin
Mise en défens de X% des surfaces engagées : X = 0 %
</t>
  </si>
  <si>
    <t>Communauté de Communes de l'Oise Picarde</t>
  </si>
  <si>
    <t>Communauté de Communes de l'Oise Picarde et Chambre Agriculture Oise</t>
  </si>
  <si>
    <t>Bac de Breteuil</t>
  </si>
  <si>
    <t xml:space="preserve">CCOP : Madame Laetitia MAINKA - 03.44.80.26.07
service-eau@cc-oisepicarde.fr
</t>
  </si>
  <si>
    <t>Dans le cas où les demandes excéderaient l’enveloppe financière allouée au projet, les critères de priorité envisagés porteront sur la vulnérabilité de la localisation de la parcelle, l’importance de la surface engagée et le niveau de difficulté de la mesure.</t>
  </si>
  <si>
    <t>Le territoire du projet est étendu à 11 176 ha.  Le Diagnostic de Territoire Multi-Pression a identifié les problématiques « nitrates » &amp; « phytosanitaire ». Le captage, jugé ultraprioritaire, bénéfice d'un contrat CARE validé par l'AEAP. Les diagnostics ont été actualisés en 2022. Les MAEC sont donc un levier important proposés aux agriculteurs du territoire. Les mesures proposées prennent en compte les problématiques du territoire : les mesures systèmes ont  un impact sur les paramètres nitrates et pesticides; la mesure "CIFF" (mesure non finançable par l'AEAP) est fortement souscrite sur notre territoire et une mise en herbe est bénéfique pour la qualité de l'eau. L'entretien des infrastructures agro-écologiques permet de répondre à la problématique ruissellement . Comme les années précédentes, le périmètre proposé pour les MAEC est étendu aux limites communales.</t>
  </si>
  <si>
    <t>X = 10 ;  Y = 0 ;  V = 1 ;  W = 0,2  
Dates = BCAE8</t>
  </si>
  <si>
    <t>X =  10 ; Y = 0 ; V = 1 ; W = 0,2  REH (sol profond) = 115 kg d'N/ha ; REH (sol peu profond) = 140 kg d'N/ha  
Dates = BCAE8</t>
  </si>
  <si>
    <t>X = 5% ;  Y = 60% ;  W = 3 ;  Z = 5%</t>
  </si>
  <si>
    <t xml:space="preserve">Communauté de communes du Plateau Picard </t>
  </si>
  <si>
    <t>SEINE NORMANDIE</t>
  </si>
  <si>
    <t>Lucie D'Heygère</t>
  </si>
  <si>
    <t xml:space="preserve">Projet agro-environnemental climatique du BAC de Saint-Just-en-Chaussée 
BAC de Saint-Just-en-Chaussée 
</t>
  </si>
  <si>
    <t xml:space="preserve">Lucie D'Heygère, 06.62.45.68.64, l.dheygere@cc-plateaupicard.fr </t>
  </si>
  <si>
    <t>Priorité aux jeunes agriculteurs, aux agriculteurs biologique et aux éleveurs</t>
  </si>
  <si>
    <t>ENJEUX EAU AESN</t>
  </si>
  <si>
    <t xml:space="preserve">De par son caractère stratégique (volumes d’eau prélevés) et la qualité altérée de ses eaux brutes (pollution par les nitrates), le captage de Saint-Just-en-Chaussée fait partie des dix captages Grenelle de l’Oise dont la protection a été jugée prioritaire.
A ce titre la loi oblige la communauté de communes du Plateau Picard, maître d’ouvrage, à réaliser une étude Bassin d’Alimentation de Captages, dont le but est de proposer un programme d’actions pertinent et adapté au territoire ; l’objectif in fine étant de retrouver le bon état écologique de la ressource.
Ainsi, les MAEC sont indispensables à la protection de ce captage car orientées vers la réduction de l’utilisation des nitrates et phytosanitaires sur grandes cultures.
MAEC Eau – Réduction des pesticides – Grandes cultures :
•	PHY5
•	PHY6
Les mesures de réduction phyto sont proposées pour prévenir de la potentielle arrivée de nouveaux pesticides dans les eaux brutes. En effet l’atrazine, la déséthylatrazine, les métabolites du chloridazone ayant déjà été détectés, il est tout à fait possible que les nouvelles molécules mises sur le marché arrivent dans les eaux de captage. 
Différents niveaux sont proposés afin chaque agriculteur puisse choisir la mesure qui lui convient le mieux en termes de progression. Les mesures spécifiques à la réduction des herbicides sont proposées en sus des mesures globales de réduction des phytosanitaires pour permettre un plus fort taux de contractualisation. En effet si les agriculteurs ne souhaitent pas s’engager sur l’ensemble des phytosanitaires, un premier engagement sur la gestion des herbicides, molécules retrouvées aujourd’hui dans les eaux souterraines, est déjà une première étape. 
MAEC Sol - Semis direct
•	SDC1
•	SDC2
Les travaux en cours avec l’Institut Polytechnique UniLaSalle ont mis en évidence des problématiques de ruissellement et de coulées de boue sur le territoire. Bien que ces problèmes soient relatifs comparés aux problématiques nitrates, les risques d’érosion sont bien présents. Couplé à la protection de l’eau, la collectivité souhaite mobiliser les agricultures du territoire sur ce sujet. Cette MAEC pourrait permettre d’introduire des pratiques plus vertueuses appuyées sur les cartographies produites par UniLaSalle.
Une minorité d’agriculteurs de la collectivité pratique déjà le semis direct et certains sont également sensibles à l’agriculture de conservation des sols. Nous aimerions encourager cette dynamique en proposant cette MAEC. Elle permettrait de mettre en avant les nombreux avantages du semis direct : réduction des gaz à effet de serre car diminution de l’utilisation des énergies fossiles, lutte contre l’érosion, diminution de l’utilisation des produits phytosanitaires et des nitrates (forte problématique nitrate sur la collectivité) mais amélioration considérable de la qualité des sols (tassement, vie du sol).
MAEC Climat Bien-être animal - Autonomie fourragère - élevage d'herbivores 1
•	HBV1
•	HBV2
Bien qu’anecdotique sur notre collectivité, l’élevage représente une activité agricole non négligeable si le territoire souhaite s’orienter vers une agriculture durable et vertueuse. En effet, si l’on souhaite diminuer l’utilisation d’engrais minéraux (importés, coûteux à l’achat et producteurs de CO2), il faut que les agriculteurs aient à leur disposition des sources locales de matière organique. De plus, l’élevage pratiqué de manière extensive avec des animaux nourrit avec une part d’herbe importante préserve l’environnement tout en produisant des aliments de qualité qui pourront être valorisés localement. Grâce à cette MAEC, c’est cette dynamique que la collectivité souhaite insufflée sur le territoire.
MAEC Création de couverts d'intérêt pour la biodiversité en particulier les pollinisateurs 
•	MAEC Biodiversité - Création de couverts d'intérêt faunistique et floristique favorables aux pollinisateurs et aux oiseaux communs des milieux agricoles *
•	MAEC Biodiversité - Création de prairies
Les couverts spécifiques permettent de répondre aux problématiques nitrates et phytosanitaires du captage et ce à plusieurs niveaux. La zone créée devient une zone de dilution, diminuant ainsi l’arrivée des intrants aux captages. Elle permet aussi une augmentation de la biodiversité et notamment d’auxiliaires de cultures, nécessaires dans le cadre d’une diminution de l’utilisation des phytosanitaires et d’une gestion agro-écologique de l’exploitation.
MAEC Biodiversité - Entretien durable des infrastructures agro-écologiques :
•	MAEC Biodiversité – Ligneux
•	MAEC Biodiversité - Mares
Les MAEC en lien avec l’entretien durable des infrastructures viennent compléter les actions déjà entreprises par la CCPP dans ce domaine. En effet, la collectivité travaille avec l’Institut UniLaSalle de Beauvais, sur plusieurs projets parallèles et complémentaires : 
-	Le projet EAU’RIZON qui a pour objectif, d’une part, de déterminer les zones vulnérables du territoire à l’infiltration et au ruissellement, et d’autre part, de proposer des aménagements paysagers et des changements de pratiques permettant de limiter la fuite des nitrates et pesticides vers les nappes d’eau souterraines. 
-	Le projet SAFARRI, dont la CCPP est l’un des territoires pilotes, a pour objectif le développement de l’agroforesterie, dans sa définition la plus globale. 
L’entretien des haies et des mares déjà en place ou à venir sont en adéquation avec les actions précitées. 
</t>
  </si>
  <si>
    <t>Avoir chaque année 10% de la surface en BNI dont 1% en prairie temporaire ; respecter au minimum 1% de couvert favorable aux polinisateurs ; avoir un minimum de 0,2% de haie à partir de la 4ème année d'engagement (le taux de conversion ml/m² est celui de l'éco régime).
Bilan IFT à réaliser avant le 31/10 de chaque année</t>
  </si>
  <si>
    <t>X = 2%  V = 1%  W =  0,2%
Dates = à minima entre le 16 mars et le 15 août</t>
  </si>
  <si>
    <t>MAEC Climat Bien être animal - Autonomie fourragère - élevage d'herbivores 1</t>
  </si>
  <si>
    <t>W = 3 UGB/hectare  ; X = 2% ; Y = 70%</t>
  </si>
  <si>
    <t>MAEC Climat Bien être animal - Autonomie fourragère - élevage d'herbivores 2</t>
  </si>
  <si>
    <t>W = 3 UGB/hectares  ; X = 5% ; Y = 65% ; Z = 1%</t>
  </si>
  <si>
    <t>MAEC Climat Bien être animal - Autonomie fourragère - élevage d'herbivores 3</t>
  </si>
  <si>
    <t>Date max implantation = le 15/05 ou avant le 20/10 en cas de culture d'hiver en place lors de la souscription de la MAEC, possibilité de laisser la végétation spontanée s'exprimer dans les cas où le couvert n'aurait pas levé pour des raisons météorologiques. Le couvert sera néanmoins à semer à nouveau lorsque les conditions météorologiques seront favorable à sa levée.
Largeur minimale : 6m ou une surface minimal de 0,10 ha
Date sans intervention méca = du 15 avril au 15 juillet</t>
  </si>
  <si>
    <t xml:space="preserve">Critères d'éligibilité : HAIES : 
Une haie est une unité linéaire de végétation ligneuse avec présence d'arbres et/ou arbustes et/ou d'autres ligneux (ronces, genêts, etc.).
Les linéaires composés uniquement de ronces ne sont pas éligibles à la mesure. 
Les haies seront situées en bordure ou au sein de prairies, de prés-vergers ou de culture ou joueront un rôle d'intégration paysagère des bâtiments agricoles.
 Les haies engagées devront mesurer au moins 0.5 mètres de hauteur, sauf les haies plantées il y a moins de 6 mois. · Les haies engagées auront une largeur minimale moyenne de 50 cm. · Les haies pourront être associées avec des arbres de haut jet et/ou des arbres têtard. Les haies pourront inclure des arbres fruitiers et des petits fruits rouges (exemple à titre indicatif : pommier, poirier, groseilliers, cassissiers, etc.). Pour être éligible à cette mesure, le pourcentage de végétaux produisant des fruits ne devra pas dépasser 45%.
ARBRES : 
Vous pouvez engager dans cette mesure les arbres conduits en forme têtard et les arbres de haut jet, situés en surface prairial, culturale et rivulaire (bord de fossé, de cours d’eau, de mares) de votre exploitation. 
Les arbres seront disposés en alignement d’arbres et en arbres isolés. Les arbres têtards plantés depuis moins de 8 ans sont exclus de la mesure.
RIPISYLVES : 
Structure arborée linéaire de bord de cours d’eau composée d’arbres, arbustes, arbrisseaux et de végétation herbacée la plupart du temps hygrophile d’une largeur comprise entre 1.5 et 5m. 
BOSQUETS : 
Petits massifs boisés d’une superficie comprise entre 5 ares et 50 ares d’un largeur moyenne en cime d’au moins 5m. 
</t>
  </si>
  <si>
    <t>Isis Didier
06.30.09.09.79
isis.didier@sourcesetvallees.fr</t>
  </si>
  <si>
    <t>"- Priorisation des dossiers de demande de subvention MAEC :
    o Localisation : les exploitants ayant au moins une parcelle comprise sur un bassin d’alimentation de captage seront prioritaires ;
    o Surface : les exploitants ayant une plus grande surface comprise dans le PAEC seront également prioritaires (pour les mesures système) ;
- Priorisation des mesures : 
    o Les mesures à enjeu eau seront prioritaires afin de répondre à la problématique de qualité de l’eau ;"
    o Plus il y a de catégories de molécules à réduire (azote, herbicides, hors herbicides), plus la mesure est prioritaire par rapport à d’autres de même niveau de réduction ;
o Pour les mesures multi-niveaux, les niveaux les plus ambitieux seront prioritaires sur les autres niveaux ;</t>
  </si>
  <si>
    <t>Le PAEC vise à participer à la réduction des pressions en nitrates et produits phytosanitaires au niveau des captages du Pays des Sources et de celui de Thourotte, dont certains sont sensibles aux nitrates et la majorité présentent des concentrations en pesticides. Aussi, il participera au maintien et à 
l’amélioration de l’état des zones humides les plus prioritaires du territoire par l’amélioration de la 
gestion des prairies.</t>
  </si>
  <si>
    <t>X =10  Y =0  V =1 W =0,2  
Dates = 16 mars au 15 août</t>
  </si>
  <si>
    <t>X = 10 Y = 0 V =1  W = 0,2 REH = 100
Dates = 16 mars au 15 août</t>
  </si>
  <si>
    <t>X =35 Y = 30 W =2,1 Z =10</t>
  </si>
  <si>
    <t>X =45  Y = 25 W =2,1 Z =10</t>
  </si>
  <si>
    <r>
      <t xml:space="preserve">X =1,4 Y =0,2 </t>
    </r>
    <r>
      <rPr>
        <sz val="10"/>
        <rFont val="Calibri"/>
        <family val="2"/>
      </rPr>
      <t>W =50</t>
    </r>
    <r>
      <rPr>
        <sz val="10"/>
        <color theme="1"/>
        <rFont val="Calibri"/>
        <family val="2"/>
      </rPr>
      <t xml:space="preserve"> Z = 1
Période hivernale : 15 novembre au 15 mars
Limite de fertilisation P et K :  0
Autorisation ou interdiction Ca/Mg ? : 0</t>
    </r>
  </si>
  <si>
    <t>Date max implantation =
X =  Y = Z =
Date sans intervention méca =</t>
  </si>
  <si>
    <r>
      <t>Dates :</t>
    </r>
    <r>
      <rPr>
        <sz val="10"/>
        <color theme="1"/>
        <rFont val="Calibri"/>
        <family val="2"/>
      </rPr>
      <t xml:space="preserve">
Travail du sol :
Y=  Z = Z'=
Ca/Mg ? :</t>
    </r>
  </si>
  <si>
    <r>
      <t xml:space="preserve">Dates : </t>
    </r>
    <r>
      <rPr>
        <sz val="10"/>
        <rFont val="Calibri"/>
        <family val="2"/>
      </rPr>
      <t>retard de fauche ou paturage de 25 jours minimum</t>
    </r>
    <r>
      <rPr>
        <sz val="10"/>
        <color theme="1"/>
        <rFont val="Calibri"/>
        <family val="2"/>
      </rPr>
      <t xml:space="preserve">
Travail du sol : autorisé
X =7 Y=50  Z =0  Z'=0 
Mg / Ca ? : 0</t>
    </r>
  </si>
  <si>
    <r>
      <t xml:space="preserve">Dates : </t>
    </r>
    <r>
      <rPr>
        <sz val="10"/>
        <rFont val="Calibri"/>
        <family val="2"/>
      </rPr>
      <t>retard de fauche ou paturage de 35 jours minimum</t>
    </r>
    <r>
      <rPr>
        <sz val="10"/>
        <color theme="1"/>
        <rFont val="Calibri"/>
        <family val="2"/>
      </rPr>
      <t xml:space="preserve">
Travail du sol : autorisé
X =7 Y=0  Z =0  Z'=0 
Mg / Ca ? : 0</t>
    </r>
  </si>
  <si>
    <r>
      <t xml:space="preserve">Dates : </t>
    </r>
    <r>
      <rPr>
        <sz val="10"/>
        <rFont val="Calibri"/>
        <family val="2"/>
      </rPr>
      <t>retard de fauche ou paturage de 45 jours minimum</t>
    </r>
    <r>
      <rPr>
        <sz val="10"/>
        <color theme="1"/>
        <rFont val="Calibri"/>
        <family val="2"/>
      </rPr>
      <t xml:space="preserve">
Travail du sol : autorisé
X =7 Y=0  Z =0  Z'= 0
Mg / Ca ? : 0</t>
    </r>
  </si>
  <si>
    <t>Syndicat des Eaux du Soissonnais et du Valois (SESV)</t>
  </si>
  <si>
    <t>PAEC "Eau Parcy-et-Tigny"</t>
  </si>
  <si>
    <t>PARCY-ET-TIGNY</t>
  </si>
  <si>
    <t>SESV : Marine LEAL, 06.09.31.21.66, m.leal@sesv.fr
Chambre d'agriculture de l'Aisne : Lauranne GRONDIN
03 23 22 51 37 - lauranne.grondin@aisne.chambagri.fr</t>
  </si>
  <si>
    <r>
      <t>Enjeu du territoire :</t>
    </r>
    <r>
      <rPr>
        <b/>
        <sz val="11"/>
        <color theme="1"/>
        <rFont val="Calibri"/>
        <family val="2"/>
      </rPr>
      <t xml:space="preserve"> EAU </t>
    </r>
    <r>
      <rPr>
        <sz val="11"/>
        <color theme="1"/>
        <rFont val="Calibri"/>
        <family val="2"/>
      </rPr>
      <t xml:space="preserve">
Les mesures de réduction de l’usage des produits phytosanitaires et de gestion des produits azotées sont nécessaires pour travailler la problématique qualité de l’eau. Elles permettent de revoir l’ensemble des pratiques de l’exploitation. Il est important de proposer différents niveaux de réduction, pour tenir compte du niveau de chaque exploitant et de ses productions. 
Comme les prairies, les couverts d’intérêts faunistiques et floristiques ainsi que les jachères sont des zones de dilution intéressantes (évitent érosion et ruissellement), et sont des réservoirs favorables aux auxiliaires de cultures. Le développement des auxiliaires de cultures est un atout pour limiter le recours aux interventions phytosanitaires (insecticides notamment). Les auxiliaires sont de très bons prédateurs des insectes ravageurs des cultures (pucerons…), mais aussi de limaces.
Les mesures de protection des espèces permettent de préserver les cycles reproducteurs des espèces animales et végétales par le retard de fauche. Le territoire possède des prairies à proximité du captage et dans le plan d’actions du captage de Parcy-et-Tigny pour la protection de la ressource en eau, une des sous-actions est de maintenir et développer les prairies permanentes.
Par conséquent, 10 mesures sont proposées sur ce territoire, et permettent de répondre aux enjeux de ce territoire.</t>
    </r>
  </si>
  <si>
    <r>
      <t xml:space="preserve">X = 10%   Y = 0%   V = 1 W = 0,2  
</t>
    </r>
    <r>
      <rPr>
        <sz val="10"/>
        <rFont val="Calibri"/>
        <family val="2"/>
      </rPr>
      <t xml:space="preserve">Dates = date BCAE 8 de la PAC </t>
    </r>
  </si>
  <si>
    <r>
      <t xml:space="preserve">X = 10 %  Y = 0%  V = 1  W = 0,2
</t>
    </r>
    <r>
      <rPr>
        <sz val="10"/>
        <rFont val="Calibri"/>
        <family val="2"/>
      </rPr>
      <t xml:space="preserve">Dates = date BCAE 8 de la PAC </t>
    </r>
  </si>
  <si>
    <r>
      <t>X = %   Y = %   V =   W =  
Dates =</t>
    </r>
    <r>
      <rPr>
        <sz val="10"/>
        <rFont val="Calibri"/>
        <family val="2"/>
      </rPr>
      <t xml:space="preserve"> 
REH = </t>
    </r>
  </si>
  <si>
    <t xml:space="preserve">X = %   Y = %   V =   W =  
Dates = 
REH = </t>
  </si>
  <si>
    <t>X2 =  %  Y2 =  %  W =  UGB/ha/an Z =  %
X3 =  %  Y3 =  %  W =  UGB/ha/an Z =  %</t>
  </si>
  <si>
    <t xml:space="preserve">Dates : 
Travail du sol : 
Y=   UN/ha/an 
Z =  UP/ha/an   Z'=  UK/ha/an
Ca/Mg : 
Retard d'utilisation : 
Mise en défens de X% des surfaces engagées : X =  %
</t>
  </si>
  <si>
    <t>Syndicat Mixte Baie de somme - Grand Littoral Picard (SMBS-GLP)</t>
  </si>
  <si>
    <t>SMBS-GLP et Chambre d'Agriculture de la Somme</t>
  </si>
  <si>
    <t>Priorité aux exploitants arrivant en fin de contractualisation (contrats 2020) et aux nouvelles installations (JA).</t>
  </si>
  <si>
    <t>Une diversité de mesures permet de bien prendre en compte la diversité des modes de gestion (fauche, pâture) et des typologies de prairies (mésophile, mésohygrophile ou hygrophile). Les différentes mesures « gestion de Zones Humides » proposées depuis 2015 sur le territoire répondent pleinement aux enjeux du territoire et ont été bien contractualisées les années précédentes. Ce panel de mesures sur la préservation de l’équilibre agroécologique des prairies ou la protection des espèces a plusieurs objectifs en accord avec les enjeux identifiés du territoire :
•	Maintien de pratiques de gestion extensives par le pâturage ou la fauche afin de favoriser la biodiversité inféodée aux milieux humides du territoire,
•	Création d’un réseau de prairies d’intérêt écologique permettant de restaurer des continuités écologiques et reconversion de cultures en prairies,
•	Utilisation tardive des prairies pour permettre à des espèces cibles d’effectuer leur cycle biologique complet.</t>
  </si>
  <si>
    <t>X ≥10 mètres et  Y ≥ 10 ares</t>
  </si>
  <si>
    <t xml:space="preserve">Dates : 01/01 au 10/06
Travail du sol : 1 renouvellement par travail superficiel du sol autorisé au cours de l'engagement
X = 0% Y ≤70 kg/ha/an Z ≤30kg/ha/an  Z'≤30kg/ha/an
Absence totale d'apport Mg / Ca </t>
  </si>
  <si>
    <t xml:space="preserve">Dates : 01/01 au 20/06
Travail du sol : 1 renouvellement par travail superficiel du sol autorisé au cours de l'engagement
X = 0%
Y= Absence totale d'apport de fertilisants azotée minéraux et organiques (hors apport par paturage)
Z et Z' = Absence totale d'apport P et K
Absence totale d'apport Mg / Ca </t>
  </si>
  <si>
    <t>Dates : 01/01 au 30/06
Travail du sol : 1 renouvellement par travail superficiel du sol autorisé au cours de l'engagement
X = 0%
Y= Absence totale d'apport de fertilisants azotée minéraux et organiques (hors apport par paturage)
Z et Z' = Absence totale d'apport P et K
Absence totale d'apport Mg / Ca</t>
  </si>
  <si>
    <t>Critères d'éligibilité : Haies et arbres</t>
  </si>
  <si>
    <t>Syndicat Mixte d'Eau Potable des Sablons</t>
  </si>
  <si>
    <t>edelacre@cc-sablons.fr</t>
  </si>
  <si>
    <t>Situation des parcelles par rapport aux zones les plus vulnérables des BAC
Proportion de SAU située sur le BAC
Surface possédée sur les BAC
Ambition de la mesure</t>
  </si>
  <si>
    <t>L'enjeu du territoire porte sur la qualité de l'eau potable. Nos captages sont en effet concernés par des problématiques de nitrates principalement, mais également de produits phytosanitaires. En 2023, les MAEC avaient déjà été choisies et justifiées sur la base de cet enjeu. Nous avons néanmoins dû faire des choix afin de répondre à ce nouvel AAP. Ainsi, nous n'avons conservé qu'une seule mesure sur les couverts (CIFF) et supprimé la CPRA car celle-ci ne rencontre pas de succès auprès des agriculteurs. Enfin, nous avons choisi de supprimer les mesures "Réduction des herbicides" pour ne garder que "Réduction des pesticides" car, en général, les agriculteurs travaillent d'abord la réduction des produits hors herbicides avant de travailler la réduction des herbicides. Les mesures de réduction des pesticides seront donc plus attrayantes et tout aussi atteignables que les mesures de "réduction des herbicides". Nous choisissons également d'ouvrir le 1er niveau des mesures "Réduction des pesticides" car lors de l'animation des MAEC 2023-2024, le niveau 2 était déjà très (trop) ambitieux pour les agriculteurs conventionnels de notre territoire, qui ne se sont donc pas engagés.</t>
  </si>
  <si>
    <t>X = 15  Y = 0  V = 1  W = 0,2  
Dates = 16 mars au 15 août</t>
  </si>
  <si>
    <t>X = 15   Y = 0   V = 1  W = 0,2  REH = 103
Dates = 16 mars au 15 août</t>
  </si>
  <si>
    <t>X = 10  Y = 50  W = 4</t>
  </si>
  <si>
    <t>X = 20  Y = 40  W = 3  Z = 3</t>
  </si>
  <si>
    <t>X = 30  Y = 30  W = 2  Z = 3</t>
  </si>
  <si>
    <t>Date max implantation = 20 septembre
X = 12  Y = 24 ou Z = 0,10 
Date sans intervention méca = 20 mai au 30 juin</t>
  </si>
  <si>
    <t xml:space="preserve">Parc naturel régional Oise - Pays de France </t>
  </si>
  <si>
    <t>STURMA Marie
03 44 63 65 65
m.sturma@parc-oise-paysdefrance.fr</t>
  </si>
  <si>
    <t xml:space="preserve">Le Parc naturel régional Oise - Pays de France est un syndicat mixte créé le 13 janvier 2004 par décret signé du Premier Ministre. Sa Charte a été renouvelée en janvier 2021 pour une durée de 15 ans. Aujourd’hui, le Parc naturel régional Oise - Pays de France couvre 70 communes de l’Oise et du Val-Oise. Il s’étend sur 71 000 ha dont 28 725 ha de forêt et 29 774 ha de surfaces agricoles, et compte 132 000 habitants. 
La Charte du Parc naturel régional Oise - Pays de France se décline en 5 axes : 
-	Axe I : Maintenir la diversité biologique et les continuités écologiques ;
-	Axe II : Vers un territoire accueillant et responsable face au changement climatique ;
-	Axe III : Favoriser un cadre de vie harmonieux fondé sur la préservation des ressources
-	Axe IV : Accompagner un développement économique porteur d’identité ;
-	Axe V : Un projet de territoire partagé. 
Chacun des axes est décliné en plusieurs orientations. En matière agricole, l’action du Parc naturel régional se rattache aux orientations suivantes :
-	Préserver et favoriser la biodiversité ;
-	Préserver, restaurer des réseaux écologiques fonctionnels ;
-	Préserver et géré durablement les ressources naturelles ;
-	Accompagner le développement des activités rurales. 
L’action agricole du Parc naturel régional se décline en 5 axes de travail définis suite au diagnostic agricole de territoire réalisé en 2006 : 
-	Maintenir les espaces agricoles et faciliter les conditions de l’activité ;
-	Encourager une agriculture performante, gestionnaire des espaces et respectueuse de l’environnement et des paysages ; 
-	Soutenir les activités agricoles spécialisées ;
-	Contribuer à la valorisation des productions et au développement de la vente en circuit courts 
-	Informer et sensibiliser le public. 
Depuis 2011, le Parc naturel régional Oise - Pays de France est opérateur de mesures agroenvironnementales avec la volonté d’accompagner les agriculteurs de son territoire pour une meilleure prise en compte des enjeux locaux dans leur activité. Au vu de l’étendue de son territoire, le Parc naturel régional Oise – Pays de France a fait le choix de travailler à l’échelle de secteurs restreints pour répondre à des objectifs ciblés. Le territoire Le territoire « Bassin d’alimentation de Captage en ZPA du PNR » est l’un des périmètres retenus.
Les mesures sélectionnées permettront de répondre aux différents enjeux au 2 secteurs des Prairies de la Thève :
-	Préservation de la biodiversité et des secteurs Natura 2000 ;
-	Préservation des prairies de qualité ;
-	Maintien et développement de surface en herbe plus extensive ;
-	Maintient et développement de la fauche en vue de restaurer les prairies et leur biodiversité ;
-	Développement de l’autosuffisance en fourrage des structures agricoles ;
-	Lutte contre l’érosion des sols ;
-	Limitation des phénomènes de pollution diffuses ou ponctuelles par ruissellement.
Au sein de son équipe technique, le Parc naturel régional dispose des compétences agronomiques, économiques, environnementales, et de construction et d’animation de projet nécessaires à la mise en œuvre du présent PAEC « Prairies de la Thève ». 
Ce projet est animé en lien avec la Chambre d’Agriculture de l’Oise, le Conservatoire d’espaces naturels des Hauts-de-France et le SITRARIVE. </t>
  </si>
  <si>
    <t>X =1,4 UGB/ha/an  Y =0,2 UGB/ha/an   W= 0 kg N/ha  Z = 1 UGB/ha
Période hivernale : 1 décembre - 27 février
Limite de fertilisation P et K : absence
Interdiction Ca/Mg</t>
  </si>
  <si>
    <t>Date max implantation = 15 maide la 1ère année ou dérogation au 30 septembre
X = 10 m  Y = 500 m  Z =  0,10 ha
Date sans intervention méca = 15 avril - 15 juillet</t>
  </si>
  <si>
    <t>Travail du sol : travail du sol superficiel autorisé (renouvellement)
X = 10% mise en défens      Y= 60 kg N    Z = 30 kg P  Z'= 40 kg K
Ca/Mg : absence</t>
  </si>
  <si>
    <t>Travail du sol : travail du sol superficiel autorisé (renouvellement)
X =0-5%  mise en défens    Y=  60 kg N    Z = 30 kg P    Z'= 40 kg K
Mg / Ca : absence</t>
  </si>
  <si>
    <t>Travail du sol : travail du sol superficiel autorisé (renouvellement)
X = 0 - 5 % mise en défens    Y= 60 kg N     Z = 30 kg P    Z'= 40 kg K
Mg / Ca : absence</t>
  </si>
  <si>
    <t>Travail du sol : travail du sol superficiel autorisé (renouvellement)
X = 0 - 5 % mise en défens     Y= 0 kg N      Z = 0 kg P    Z'= 0 kg K
Mg / Ca : absence</t>
  </si>
  <si>
    <t>Critères d'éligibilité : haies, arbres et bosquets</t>
  </si>
  <si>
    <t xml:space="preserve">Bassins d'Alimentation de Captage en Zone Prioritaire d'Action (ZPA) du PNR  </t>
  </si>
  <si>
    <t>1. PHY6
2. ARB1
3. IAE1</t>
  </si>
  <si>
    <t xml:space="preserve">Le Parc naturel régional Oise - Pays de France est un syndicat mixte créé le 13 janvier 2004 par décret signé du Premier Ministre. Sa Charte a été renouvelée en janvier 2021 pour une durée de 15 ans. Aujourd’hui, le Parc naturel régional Oise - Pays de France couvre 70 communes de l’Oise et du Val-Oise. Il s’étend sur 71 000 ha dont 28 725 ha de forêt et 29 774 ha de surfaces agricoles, et compte 132 000 habitants. 
La Charte du Parc naturel régional Oise - Pays de France se décline en 5 axes : 
-	Axe I : Maintenir la diversité biologique et les continuités écologiques ;
-	Axe II : Vers un territoire accueillant et responsable face au changement climatique ;
-	Axe III : Favoriser un cadre de vie harmonieux fondé sur la préservation des ressources
-	Axe IV : Accompagner un développement économique porteur d’identité ;
-	Axe V : Un projet de territoire partagé. 
Chacun des axes est décliné en plusieurs orientations. En matière agricole, l’action du Parc naturel régional se rattache aux orientations suivantes :
-	Préserver et favoriser la biodiversité ;
-	Préserver, restaurer des réseaux écologiques fonctionnels ;
-	Préserver et géré durablement les ressources naturelles ;
-	Accompagner le développement des activités rurales. 
L’action agricole du Parc naturel régional se décline en 5 axes de travail définis suite au diagnostic agricole de territoire réalisé en 2006 : 
-	Maintenir les espaces agricoles et faciliter les conditions de l’activité ;
-	Encourager une agriculture performante, gestionnaire des espaces et respectueuse de l’environnement et des paysages ; 
-	Soutenir les activités agricoles spécialisées ;
-	Contribuer à la valorisation des productions et au développement de la vente en circuit courts 
-	Informer et sensibiliser le public. 
Depuis 2011, le Parc naturel régional Oise - Pays de France est opérateur de mesures agroenvironnementales avec la volonté d’accompagner les agriculteurs de son territoire pour une meilleure prise en compte des enjeux locaux dans leur activité. Au vu de l’étendue de son territoire, le Parc naturel régional Oise – Pays de France a fait le choix de travailler à l’échelle de secteurs restreints pour répondre à des objectifs ciblés. Le territoire Le territoire « Bassin d’alimentation de Captage en ZPA du PNR » est l’un des périmètres retenus.
Les mesures sélectionnées permettront de répondre aux différents enjeux des 3 secteurs :
-	Préservation des eaux souterraines et superficielles, et des zones humides
-	Erosion des sols
-	Préservation de la biodiversité (hors Natura 2000)
-	Maintien des unités paysagères et patrimoniales
L’objectif est de permettre aux agriculteurs du secteur de faire évoluer leurs pratiques vers notamment les sujets suivants :
-	la réduction d’usages des produits phytosanitaires en grandes cultures et en arboriculture en faveur de la préservation de la qualité en eau ;
-	le développement et le maintien du semis-direct pour répondre aux enjeux liés à l’érosion du sol, et ainsi améliorer la qualité des sols cultivés ;
-	l’implantation de surfaces en herbe et de prairies ;
-	la mise en place d’infrastructures agroécologiques tels que des haies contribuant à l’épuration des eaux de surface et favorable aux auxiliaires de culture dans le cadre de la mise en place d’une protection intégrée des cultures. 
Au sein de son équipe technique, le Parc naturel régional dispose des compétences agronomiques, économiques, environnementales, et de construction et d’animation de projet nécessaires à la mise en œuvre du présent PAEC « Bassins d’alimentation de captage en ZPA du Parc naturel régional ».
Ce projet est animé en lien avec la Chambre d’Agriculture de l’Oise, l’ACSO, le SAGEBA, le SISN et le SITRARIVE ainsi que les structures techniques accompagnant les GIEE existants. </t>
  </si>
  <si>
    <t xml:space="preserve">X =15%  Y =2%  V =1%  W = 0,2%
Dates = 16 mars - 15 août </t>
  </si>
  <si>
    <t>Syndicat du bassin versant de l'Ourcq amont et du Clignon</t>
  </si>
  <si>
    <t>Laëtitia CAQUARD</t>
  </si>
  <si>
    <t>Ourcq amont et Ordrimouille</t>
  </si>
  <si>
    <t>Laëtitia CAQUARD
06.32.63.61.59
sigbv-ourcq-amont@orange10/09/2024.fr</t>
  </si>
  <si>
    <t>1- Agriculteur Bio
2- Jeunes Agriculteurs
3- Surface : privilégiez les exploitants qui souhaitent engager des surfaces/ linéaires plus importants</t>
  </si>
  <si>
    <t>Le territoire est situé sur des zones à enjeu Biodiversité MASA, or le territoire a été initialement ouvert dans le cadre d'un enjeu érosion suite à une étude de luttre contre le ruissellement des sols.
Choix des mesures sur les grandes cultures : prévenir des transferts de phytosanitaires lors du ruissellement en limitant les apports 
Choix des mesures sur les surfaces en herbes/ prairies : maintien des surfaces prairiales ou création de nouvelle surface pour avoir un maintien du sol et une diminution des intrants sur ce type de milieu
Choix des mesures d'entretien des infrastructures agroécologiques : ce type d'infrastructures permet le lutter contre l'érosion des sols en retenant les terres lors du ruissellement</t>
  </si>
  <si>
    <t>X =10  Y =0  V =1 W =  0,2
Dates = entre le 16 mars et le 15 août</t>
  </si>
  <si>
    <t>X =10 Y = 0,10</t>
  </si>
  <si>
    <t>Critères d'éligibilité : haies, arbres, ripisylves et bosquets</t>
  </si>
  <si>
    <t>UNION DES SERVICES D'EAU DU SUD DE L'AISNE (USESA) - contact.eau@usesa.fr</t>
  </si>
  <si>
    <t>USESA + CHAMBRE D'AGRICULTURE DE L'AISNE</t>
  </si>
  <si>
    <t>oui</t>
  </si>
  <si>
    <t>Viet Sandrine
contact.eau@usesa.fr
+sandrine.viet@usesa.fr
03.23.71.02.80</t>
  </si>
  <si>
    <t>les exploitations ayant les plus grandes SAU engagées à l’intérieur des AAC</t>
  </si>
  <si>
    <t>X =10%  Y =0%  V =1%  W =0,2%  
Dates = 16 mars au 15 aout</t>
  </si>
  <si>
    <t>X =35%  Y =30%  W =2,1 UGB/ha/an  Z =20%</t>
  </si>
  <si>
    <t>X =50%  Y =25%  W =2,1 UGB/ha/an  Z =20%</t>
  </si>
  <si>
    <t>X = 1,4UGB/ha/an Y =0,05UGB/ha/an  W =60 UN/ha/an 
 Z=0 du 15/12 au 15/03
Période hivernale : du 15/12 au 15/03
Limite de fertilisation P et K : P: 60U/ha/an -  K:160U/ha/an
Autorisation ou interdiction Ca/Mg ? : oui
Possibilité d'un renouvellement par travail superficiel du sol au cours de l'engagement</t>
  </si>
  <si>
    <t>Date max implantation = 15/05 - dérogation au 20/09 pour parcelles en terre labourable  implantée en cultures d'hiver
X = 10 mètres  Y = 500 mètres   Z =0,1ha  
Date sans intervention méca = 15/04 au 15/07</t>
  </si>
  <si>
    <t>Possibilité d'un renouvellement par travail superficiel du sol au cours de l'engagement</t>
  </si>
  <si>
    <t>Chambre d'agriculture de l'Aisne et Atelier Agriculture Avesnois Thiérache</t>
  </si>
  <si>
    <t>PAEC Biodiversité du Pays de Thiérache</t>
  </si>
  <si>
    <t>Pôle d’Equilibre Territorial et Rural du Pays de Thiérache (PETR)
Alexia BARROCHE
03.23.98.59.50
abarroche@pays-thierache.fr</t>
  </si>
  <si>
    <t>Des mesures favorisant l'herbe ; maintenir, entrenir et conforter les infrastructures agroécologiques ; conforter des systèmes d'élevages autonomes avec les mesures HBV ; maintenir des sols couverts et limiter le travail du sol</t>
  </si>
  <si>
    <t xml:space="preserve">X = 5%  V = 1% W =  0,2%
Dates = Abs intervention haies 16 mars au 15 Août </t>
  </si>
  <si>
    <t>X = 35% Y =30%  W =2,10 Z =20%</t>
  </si>
  <si>
    <t>X = 50% Y =25%  W =2,10 Z =20%</t>
  </si>
  <si>
    <t xml:space="preserve">Date max implantation = 15 mai, dérogation au 20 septembre si culture d'hiver en place
Respecter une largeur minimale de 10 m et maxi 500 m
et/ou une surface minimal de 0,10 ha
Pas d'intervention mécanique entre le 15 Avril et le 15 juillet 
</t>
  </si>
  <si>
    <t xml:space="preserve">Dates : Fauche après le 10 juin
Travail du sol : Travail du sol : un renouvellment par travail superficiel du sol est autorisé aucours de l'engagement
X = 0% Y= 60 U N  Z =pas de limitation   Z'= pas de limitation
Mg / Ca ? : pas de limitation </t>
  </si>
  <si>
    <t>Critères d'éligibilité : Entretien des haies, arbres,ripisylves</t>
  </si>
  <si>
    <t>PETR DU PAYS DE THIERACHE</t>
  </si>
  <si>
    <t>CHAMBRE D'AGRICULTURE DE L'AISNE</t>
  </si>
  <si>
    <t xml:space="preserve">Des mesures favorisant l'herbe ; maintenir, entrenir et conforter les infrastructures agroécologiques ; conforter des systèmes d'élevages autonomes avec les mesures HBV ; créer et maintenir des sols couverts et limiter le travail du sol </t>
  </si>
  <si>
    <t>PETR DU PAYS DE THIERACHE - ZONAGE AESN Erosion</t>
  </si>
  <si>
    <t>Priorité aux Jeunes agriculteurs, agriculteurs biologique, les exploitations spécialisées en herbe pour les mesures systèmes HBV herbe.
Parcelles dites sensibles avec un fort intérêt écologique.
Parcelles concernées par des risques d'érosion et de ruissellement</t>
  </si>
  <si>
    <t>X =10 m Y = 0.10 ha</t>
  </si>
  <si>
    <t xml:space="preserve">Mis en défens 10% des surfaces engagées
Dates : 
Travail du sol : un renouvellment par travail superficiel du sol est autorisé aucours de l'engagement
Y=  Z =  Z'= pas de limitation 
Ca/Mg ? : pas de limitation </t>
  </si>
  <si>
    <t>BSPB</t>
  </si>
  <si>
    <t>BSPH</t>
  </si>
  <si>
    <t>CCLO</t>
  </si>
  <si>
    <t>Communauté de Communes des Lisières de l'Oise EAU</t>
  </si>
  <si>
    <t>MVSB</t>
  </si>
  <si>
    <t>MVSH</t>
  </si>
  <si>
    <t>NPCB</t>
  </si>
  <si>
    <t>PELB</t>
  </si>
  <si>
    <t>PELN</t>
  </si>
  <si>
    <t>PELP</t>
  </si>
  <si>
    <t>PETB</t>
  </si>
  <si>
    <t>PETE</t>
  </si>
  <si>
    <t>SESE</t>
  </si>
  <si>
    <t>BAC de Baugy l'Hospice</t>
  </si>
  <si>
    <t>PAEC du bassin versant de la Bresle</t>
  </si>
  <si>
    <t>PAEC DU PNR BAIE DE SOMME PICARDIE MARITIME - Biodiversité</t>
  </si>
  <si>
    <t>Haute Vallée de l'Oise - Biodiversité</t>
  </si>
  <si>
    <t>Moyenne vallée de la Somme et affluents - Biodiversité</t>
  </si>
  <si>
    <t>Moyenne vallée de la Somme et affluents - ZH</t>
  </si>
  <si>
    <t>Pelouses et landes régionales - Biodiversité</t>
  </si>
  <si>
    <t>Pelouses et landes régionales - AESN</t>
  </si>
  <si>
    <t>Pelouses et landes régionales - AEAP</t>
  </si>
  <si>
    <t>Pays de Thiérache - Biodiversité</t>
  </si>
  <si>
    <t>Pays de Thiérache - EAU</t>
  </si>
  <si>
    <t>Pays de Thiérache - EROSION</t>
  </si>
  <si>
    <t>PAEC Plaine Maritime Picarde</t>
  </si>
  <si>
    <t>Syndicat des Eaux du Soissonnais et du Valois</t>
  </si>
  <si>
    <t>Eau AEAP</t>
  </si>
  <si>
    <t>Prairies et ZH AEAP</t>
  </si>
  <si>
    <t>Erosion AEAP</t>
  </si>
  <si>
    <t>Biodiversité MASA</t>
  </si>
  <si>
    <t>Nombre de contractants</t>
  </si>
  <si>
    <t>Agriculteurs bios</t>
  </si>
  <si>
    <t>Surface à engager</t>
  </si>
  <si>
    <t>Montant sur 5 ans</t>
  </si>
  <si>
    <t>Action</t>
  </si>
  <si>
    <t>Demande de subvention (oui/non)</t>
  </si>
  <si>
    <t>Nb d'actions</t>
  </si>
  <si>
    <t>Nb de jours consacrés</t>
  </si>
  <si>
    <t>Période</t>
  </si>
  <si>
    <t>Réunions d'information</t>
  </si>
  <si>
    <t>Oui</t>
  </si>
  <si>
    <t>mars-avril</t>
  </si>
  <si>
    <t>Supports de communication</t>
  </si>
  <si>
    <t>Elaboration du dossier PAEC</t>
  </si>
  <si>
    <t>septembre</t>
  </si>
  <si>
    <t>Echanges téléphoniques</t>
  </si>
  <si>
    <t>septembre - septembre</t>
  </si>
  <si>
    <t>Diagnostics</t>
  </si>
  <si>
    <t>avril-août</t>
  </si>
  <si>
    <t>Plans de gestion</t>
  </si>
  <si>
    <t>juin-août</t>
  </si>
  <si>
    <t>Accompagnement au dépôt de dossier</t>
  </si>
  <si>
    <t>avril-mai</t>
  </si>
  <si>
    <t>Formations</t>
  </si>
  <si>
    <t>septembre-septembre</t>
  </si>
  <si>
    <t>Rapportage DRAAF</t>
  </si>
  <si>
    <t>février - juin</t>
  </si>
  <si>
    <t>Suivi des agriculteurs</t>
  </si>
  <si>
    <t>août-octobre</t>
  </si>
  <si>
    <t>Réunions DRAAF</t>
  </si>
  <si>
    <t>novembre-juillet</t>
  </si>
  <si>
    <t>Remarque</t>
  </si>
  <si>
    <t>1/an</t>
  </si>
  <si>
    <t>fév-avril</t>
  </si>
  <si>
    <t>Réunion commune avec les territoires adjacents : Pays de Thiérache et TBIO</t>
  </si>
  <si>
    <t>mars</t>
  </si>
  <si>
    <t>contribution rédaction  notices - adaptation PAEC</t>
  </si>
  <si>
    <t>avril-juin</t>
  </si>
  <si>
    <t>juin-aout</t>
  </si>
  <si>
    <t>mars-mai</t>
  </si>
  <si>
    <t>juin et octobre</t>
  </si>
  <si>
    <t>suivi obligatoire des agri engagés en 2023 réalisé en RDV collectif ou individuel</t>
  </si>
  <si>
    <t>...</t>
  </si>
  <si>
    <t>Elaboration et animation du dossier PAEC</t>
  </si>
  <si>
    <t>Mise à jour des notices - réunion opérateurs, …</t>
  </si>
  <si>
    <t>juin-septembre</t>
  </si>
  <si>
    <t>mars-avril 2025</t>
  </si>
  <si>
    <t>non</t>
  </si>
  <si>
    <t>Avril-mai 2025</t>
  </si>
  <si>
    <t>A partir de juin 2025</t>
  </si>
  <si>
    <t>Février - Mars</t>
  </si>
  <si>
    <t>Coordination</t>
  </si>
  <si>
    <t>Sur l'année</t>
  </si>
  <si>
    <t>01/04 au 15/09</t>
  </si>
  <si>
    <t>01/07 au 15/09</t>
  </si>
  <si>
    <t>Permanences et distanciel</t>
  </si>
  <si>
    <t>01/04 au 15/5</t>
  </si>
  <si>
    <r>
      <rPr>
        <b/>
        <sz val="11"/>
        <color theme="1"/>
        <rFont val="Calibri"/>
        <family val="2"/>
      </rPr>
      <t>Coordination du PAEC</t>
    </r>
    <r>
      <rPr>
        <sz val="11"/>
        <color theme="1"/>
        <rFont val="Calibri"/>
        <family val="2"/>
      </rPr>
      <t xml:space="preserve"> : lien avec la DRAAF, mise à jour des supports de communication, vérification des notices, gestion des listes, bilans prévisionnels et post 15 mai, …</t>
    </r>
  </si>
  <si>
    <t>Lien avec les territoires partenaires du PAEC</t>
  </si>
  <si>
    <t>février - mars</t>
  </si>
  <si>
    <t>Animation de réunions collectives sur les AAC prioritaires et une réunion en format visioconférence</t>
  </si>
  <si>
    <t>Non</t>
  </si>
  <si>
    <t>Juillet à fin octobre</t>
  </si>
  <si>
    <t>janvier à mars</t>
  </si>
  <si>
    <t>Novembre à juin</t>
  </si>
  <si>
    <t>Juin à septembre</t>
  </si>
  <si>
    <t>en fonction des besoins</t>
  </si>
  <si>
    <t>Toute l'année</t>
  </si>
  <si>
    <t>Mars à septembre</t>
  </si>
  <si>
    <t>en fonction de la demande</t>
  </si>
  <si>
    <t>janvier à mai</t>
  </si>
  <si>
    <t>en fonction des contractualisations</t>
  </si>
  <si>
    <t>an fonction de la demande</t>
  </si>
  <si>
    <t>1 réunion d'animation sur le territoire de la CCPB</t>
  </si>
  <si>
    <t>1 article oise agricole, 1 article sur le site de la chambre, mailing aux exploitants,1 départs de courrier papier à chaque exploitant 2 articles dans la lettre d'information semestrielle de la CCPB</t>
  </si>
  <si>
    <t>remise à jour de la liste des mesures proposées</t>
  </si>
  <si>
    <t>Entre 20 et 30 exploitants à raison de 3 échanges/ exploitant</t>
  </si>
  <si>
    <t xml:space="preserve">17 diagnostics </t>
  </si>
  <si>
    <t>2 plans de gestion</t>
  </si>
  <si>
    <t>inclus dans phase diagnostic</t>
  </si>
  <si>
    <t>1 lettre d'information à destination des exploitants contractants</t>
  </si>
  <si>
    <t>au fil des sollicitations (nombreuses)</t>
  </si>
  <si>
    <t>4 suivis d'agriculteurs</t>
  </si>
  <si>
    <t xml:space="preserve">Janvier-mars </t>
  </si>
  <si>
    <t>mars - mai</t>
  </si>
  <si>
    <t>mai</t>
  </si>
  <si>
    <t>4 (article Oise agricole, site Chambre, Mails, plaquette)</t>
  </si>
  <si>
    <t>Projet d'animation ANNUEL</t>
  </si>
  <si>
    <t>Renouvelé à l'identique pour les 3 années mis à part pour l'élaboration du PAEC</t>
  </si>
  <si>
    <t>Supports de communication : mails, articles, …</t>
  </si>
  <si>
    <t>du 15 juin 2024 au 15 septembre 2024</t>
  </si>
  <si>
    <t xml:space="preserve">du 15 mars au 15 septembre 2025 </t>
  </si>
  <si>
    <t>Sur la totalité de la programmation 2025</t>
  </si>
  <si>
    <t xml:space="preserve">Non </t>
  </si>
  <si>
    <t>Nb de jours consacrés AMEVA</t>
  </si>
  <si>
    <t>Nb de jours consacrés CA80</t>
  </si>
  <si>
    <t>Réunions mutualisées par la CA80</t>
  </si>
  <si>
    <t>1er janvier au 31 octobre 2025</t>
  </si>
  <si>
    <t>1 plaquette</t>
  </si>
  <si>
    <t>2 diagnostics</t>
  </si>
  <si>
    <t>4 plans de gestion</t>
  </si>
  <si>
    <t>1 Bilan</t>
  </si>
  <si>
    <t>Nb de jours consacrés EPTB Somme</t>
  </si>
  <si>
    <t>Mise en œuvre du projet (notices, carto)</t>
  </si>
  <si>
    <t>16 diag</t>
  </si>
  <si>
    <t>14 plans de gestion</t>
  </si>
  <si>
    <t>1 bilan</t>
  </si>
  <si>
    <t>Total</t>
  </si>
  <si>
    <t>Total EPTB+CA80</t>
  </si>
  <si>
    <t>15 ha</t>
  </si>
  <si>
    <t>2 ha</t>
  </si>
  <si>
    <t>1 ha</t>
  </si>
  <si>
    <t xml:space="preserve">5 ha </t>
  </si>
  <si>
    <t>50 ml</t>
  </si>
  <si>
    <t>20 ml</t>
  </si>
  <si>
    <t>Commentaire</t>
  </si>
  <si>
    <t>février-avril</t>
  </si>
  <si>
    <t>Réalisation de 3 réunions d'information sur le territoire (Abbeville, Le Crotoy et Friville-Escarbotin : 1 réunion par EPCI)</t>
  </si>
  <si>
    <t>janvier</t>
  </si>
  <si>
    <t>Réalisation d'une plaquette MAEC départementale, réactualisée annuellement
Interventions dans les réunions thématiques des opérateurs ou éleveurs ou groupes d'agriculteurs</t>
  </si>
  <si>
    <t>non concerné</t>
  </si>
  <si>
    <t>Accueil téléphonique des candidats (coordonnées, vérification de l'éligibilité, informations techniques)</t>
  </si>
  <si>
    <t>Réalisation des diagnostics agro écologiques pour chaque agriculteur candidat</t>
  </si>
  <si>
    <t>mai-août</t>
  </si>
  <si>
    <t>Réalisation des plans de gestion associés et des cartographies si nécessaire</t>
  </si>
  <si>
    <t>août-septembre</t>
  </si>
  <si>
    <t>Bilan des contractualisations sur le territoire (bilan statistique et cartographique), dépôt des dossiers des agriculteurs et des éléments administratifs associés auprès de la DRAAF et de la DDTM de la Somme</t>
  </si>
  <si>
    <t>octobre i n-1 à octobre n+1</t>
  </si>
  <si>
    <t>Réalisation du suivi des engagements des exploitations agricoles (suivi post déclaration PAC et suivi annuel)</t>
  </si>
  <si>
    <t>mars/avril</t>
  </si>
  <si>
    <t>aout/sept</t>
  </si>
  <si>
    <t>avril/mai</t>
  </si>
  <si>
    <t>automne 2025</t>
  </si>
  <si>
    <t>décembre à Avril</t>
  </si>
  <si>
    <t>décembre à janvier</t>
  </si>
  <si>
    <t>juin à septembre</t>
  </si>
  <si>
    <t>janvier à décembre</t>
  </si>
  <si>
    <t>mars à mai</t>
  </si>
  <si>
    <t>Mutualisé avec le PAEC Eau et Prairie/ZH</t>
  </si>
  <si>
    <t>Juillet-Août 2024</t>
  </si>
  <si>
    <t xml:space="preserve">Oui </t>
  </si>
  <si>
    <t>juillet-août 2024</t>
  </si>
  <si>
    <t>Voir AMI</t>
  </si>
  <si>
    <t xml:space="preserve">novembre à juin </t>
  </si>
  <si>
    <t>mars à septembre</t>
  </si>
  <si>
    <t>hiver</t>
  </si>
  <si>
    <t>2000*</t>
  </si>
  <si>
    <t>*ml</t>
  </si>
  <si>
    <t>Nb jours consacrés (jours 7h)</t>
  </si>
  <si>
    <t xml:space="preserve">Réunions d'information </t>
  </si>
  <si>
    <t>oui, mutualisées avec les PAEC, Eau, ZH, Erosion</t>
  </si>
  <si>
    <t>février-mars 2025</t>
  </si>
  <si>
    <t>oui, mutualisés avec les PAEC, Eau, ZH, Erosion</t>
  </si>
  <si>
    <t>janvier-mars 2025</t>
  </si>
  <si>
    <t>Informations tout au long du programme aux agriculteurs, partenaires, prestataires</t>
  </si>
  <si>
    <t>septembre 2024 - octobre 2025</t>
  </si>
  <si>
    <t>Elaboration du dossier PAEC (phase antérieure au dépôt du dossier)</t>
  </si>
  <si>
    <t>non, répartis dans les autres actions</t>
  </si>
  <si>
    <t>avril-septembre 2025</t>
  </si>
  <si>
    <t>mai-septembre 2025</t>
  </si>
  <si>
    <t>avril-mai 2025 (+ septembre pour diag/pdg)</t>
  </si>
  <si>
    <t>Formation (animation du programme)</t>
  </si>
  <si>
    <t>Suivi des agriculteurs post contractualisation (engagements 2023, 2024)</t>
  </si>
  <si>
    <t>Suivi des agriculteurs post contractualisation (engagements 2025)</t>
  </si>
  <si>
    <t>septembre 2024 - octobre 2026</t>
  </si>
  <si>
    <t>Suivi des souhaits d'engagements et de la contractualisation</t>
  </si>
  <si>
    <t>février-septembre 2025</t>
  </si>
  <si>
    <t>Gouvernance</t>
  </si>
  <si>
    <t>Notices et cartographies</t>
  </si>
  <si>
    <t>ajouter prestation chambre d'agriculture</t>
  </si>
  <si>
    <t>CHOIX
PAEC Eau</t>
  </si>
  <si>
    <t>CHOIX
PAEC ZH Prairies</t>
  </si>
  <si>
    <t>CHOIX
PAEC Erosion</t>
  </si>
  <si>
    <t>Nombre de contractants sur les 3 PAEC AEAP</t>
  </si>
  <si>
    <t>26 000*</t>
  </si>
  <si>
    <t>21 000*</t>
  </si>
  <si>
    <t>total dossiers</t>
  </si>
  <si>
    <t>total diagnostics</t>
  </si>
  <si>
    <t>dont diagnostic MAEC système</t>
  </si>
  <si>
    <t>dont diagnostic MAEC localisée</t>
  </si>
  <si>
    <t>total plans de gestion</t>
  </si>
  <si>
    <t>?</t>
  </si>
  <si>
    <t>300 ha</t>
  </si>
  <si>
    <t>100 ha</t>
  </si>
  <si>
    <t xml:space="preserve">300 ha </t>
  </si>
  <si>
    <t>20 ha</t>
  </si>
  <si>
    <t xml:space="preserve">20 ha </t>
  </si>
  <si>
    <t>3 ha</t>
  </si>
  <si>
    <t>5 ha</t>
  </si>
  <si>
    <t>3000ML</t>
  </si>
  <si>
    <t>500ML</t>
  </si>
  <si>
    <t>150 ha</t>
  </si>
  <si>
    <t>45 ha</t>
  </si>
  <si>
    <t>1000 ml</t>
  </si>
  <si>
    <t>1 mare</t>
  </si>
  <si>
    <t>TOTAUX*</t>
  </si>
  <si>
    <t>1,5 ha</t>
  </si>
  <si>
    <t>200 ml</t>
  </si>
  <si>
    <t>500 ml</t>
  </si>
  <si>
    <t>100 ml</t>
  </si>
  <si>
    <t>Estimations 2025</t>
  </si>
  <si>
    <t>Carto</t>
  </si>
  <si>
    <t>Mesures</t>
  </si>
  <si>
    <t>ok</t>
  </si>
  <si>
    <t>enlever CIFF</t>
  </si>
  <si>
    <t>Préciser enjeu secondaire biodiversité pour prise en charge OUV par AEAP</t>
  </si>
  <si>
    <t>Carto fusionnée CEN</t>
  </si>
  <si>
    <t>On peut fusionner les 2 PAEC car mêmes mesures et mêmes paramètres et mesures financées en eau et ZH</t>
  </si>
  <si>
    <t xml:space="preserve">Dates :
Travail du sol : autorisé
X = Y =  Z =  Z'= 0 aucune fertilisation
Mg / Ca ? : </t>
  </si>
  <si>
    <t>X = 1,4 UGB/ha, Y = 0,2 UGB/ha, W = 50, Z = 1
Période hivernale : 01/12 au 28/02
Limite de fertilisation P et K : 30
Autorisation ou interdiction Ca/Mg ? : interdiction</t>
  </si>
  <si>
    <t>X = 1,4 UGB/ha, Y = 0,2 UGB/ha, W = 0, Z = 1
Période hivernale : 01/12 au 28/02
Limite de fertilisation P et K : 0
Autorisation ou interdiction Ca/Mg ? : interdiction</t>
  </si>
  <si>
    <t>ok --&gt; 2 PAEC : 1 MASA + 1 eau AEAP</t>
  </si>
  <si>
    <t>ok. Enlever CIFF sur AEAP</t>
  </si>
  <si>
    <t>Carto à modifier : un seul PAEC biodiv MASA, enlever zones AEAP et AESN et zones blanches</t>
  </si>
  <si>
    <t>Réduire périmètre PAEC au contour fonds de vallée biodiv MASA</t>
  </si>
  <si>
    <t>ok, comme l'année dernière</t>
  </si>
  <si>
    <t>GUIGNON Marie-Aude
0776044990
marieaudeguignon@baiedesomme.fr</t>
  </si>
  <si>
    <t>Faire la couche à partir des 13 communes</t>
  </si>
  <si>
    <t>MAEC 2023</t>
  </si>
  <si>
    <t>MAEC 2024</t>
  </si>
  <si>
    <t>Montant 5 ans</t>
  </si>
  <si>
    <t>TOTAL estimations 2025</t>
  </si>
  <si>
    <t>Moyenne vallée de la Somme et affluents - Eau et ZH</t>
  </si>
  <si>
    <t>PAEC DU PNR BAIE DE SOMME PICARDIE MARITIME - Eau et ZH</t>
  </si>
  <si>
    <t>Enjeu eau AEAP</t>
  </si>
  <si>
    <t>Nb agris</t>
  </si>
  <si>
    <t>Nouveau PAEC</t>
  </si>
  <si>
    <t>Seulement pour les opérateurs en renouvellement de PAEC</t>
  </si>
  <si>
    <t>Apprécier et commenter votre expérience sur l’animation des années 2023 et 2024 (dispositif MAEC, calendrier, diagnostics, formations, interaction avec les services de l’Etat, retours des agriculteurs…)</t>
  </si>
  <si>
    <t xml:space="preserve">2023 et 2024 ont été des campagnes très compliquées 
-	Eléments des cahiers des charges qui arrivent au fur et à mesure, comme par exemple les références IFT. Les références IFT des contrats 2024 ne sont toujours pas connues. 
-	Pour 2024, évolution des règles de financement au fur et à mesure, modification du montant financier des aides en cours de campagne, Cela a induit la nécessité de revenir vers les exploitants déjà vus en rendez-vous pour leur expliquer les changements. Cela joue fortement sur le souhait ou non de contractualiser. 
-	Beaucoup de demandes de la part de la DRAAF pour faire remonter les éléments avec très peu de temps pour répondre (prévisionnel précis au mois de mars notamment). Cela a nécessité de faire des réunions en urgence avec des inconnues telles que la possibilité de financier la totalité des dossiers + plafonds financiers qui n’étaient pas encore précisés + deslistes d'attentes d'exploitation. Cela n’a pas été très bien accueilli car les cahiers des charges sont assez conséquents, notamment pour les mesures systèmes. Les changements demandés induisent des conséquences économiques et techniques pour les exploitants dans un contexte agricole difficile. Le retour des exploitants est que l’état ne « prend pas de risque » alors qu’il demande aux exploitants de « jouer avec la santé économique des exploitations ».
-	Mesures réduction des pesticides non adaptées à des exploitation agricoles qui ne sont pas en AB ce qui est dommageable car à l’origine les MAEc réduction phyto en grandes cultures ont pour portée les exploitations non AB. Les plafonds financiers proposés ont fait renoncer plus d’un exploitant à contractualiser, le montant des aides envisagé pour de tels efforts sur une exploitation n’est pas viable. Par exemple, PHY4, montant financier de 10 000 euros / an, cela ne couvre en aucun cas l’achat de matériel pour du désherbage mécanique, main d’œuvre ou encore la perte de rendement.  Et cela ne concerne que l’aspect réduction phyto, cela ne prend pas en compte l’obligation de trouver des débouchées BNI, la mise en place de jachères alors que la BCAE8 a été modifiée, le coût financier des bilans phyto et accompagnement par des techniciens …. .
-	De manière générale, les exploitants trouvent que les financeurs se désintéressent du système MAEc et que le dispositif soutien de moins en moins les exploitations agricoles. 
-	Les exploitations en AB ont été très heureux d’apprendre leur possibilité de souscrire aux MAEc systèmes et du déplafonnement des aides sur les enjeux eau. </t>
  </si>
  <si>
    <t>présentation du PAEC PELO dans des réunions organiser par d'autres opérateurs</t>
  </si>
  <si>
    <t>Elaboration et pilotage du dossier PAEC</t>
  </si>
  <si>
    <t>Echanges téléphoniques/prospection agri</t>
  </si>
  <si>
    <t>Même périmètre que 2023 et 2024 : réduire au zonage biodiv MASA uniquement</t>
  </si>
  <si>
    <t>CMOH</t>
  </si>
  <si>
    <t>Enlever OUV2</t>
  </si>
  <si>
    <r>
      <t xml:space="preserve">Elargir zone Biodiv MASA pour intégrer les autres communes du PNR. </t>
    </r>
    <r>
      <rPr>
        <sz val="11"/>
        <color rgb="FFFF0000"/>
        <rFont val="Calibri"/>
        <family val="2"/>
        <scheme val="minor"/>
      </rPr>
      <t>Voir avec les autres PNR</t>
    </r>
  </si>
  <si>
    <t>ok, remplacer PHY4 par ARB1 sur eau AEAP</t>
  </si>
  <si>
    <t>Supprimer SDC1 et SDC2</t>
  </si>
  <si>
    <t>ok
Enlever AAC de Nampcel</t>
  </si>
  <si>
    <t>ok (voir PHY1 et 3 avec AESN)
ESP et CIFF</t>
  </si>
  <si>
    <t>voir PHY1 et 4 si ok pour AESN
ET ESP et CIFF</t>
  </si>
  <si>
    <t>ok
Pour PAEC AESN, justifier COV 4 et 5</t>
  </si>
  <si>
    <t>ok
Justifier CIFF et PHY3
Pourquoi ne pas avoir proposé PHY6</t>
  </si>
  <si>
    <t>ok
Jusitifier PHY2 et 3, ESP1 à 3, CIFF
Pourquoi pas ouvert PHY6</t>
  </si>
  <si>
    <t>ok
AESN : justifier PHY2 et 3, ESP1 à 3, CIFF
Pourquoi pas ouvert PHY6</t>
  </si>
  <si>
    <t>Justifier PHY2 et 3, ESP1 à 3, CIFF. Pourquoi pas FER sur réseau reliquat</t>
  </si>
  <si>
    <t xml:space="preserve">
AESN : justifier les mesures</t>
  </si>
  <si>
    <t>BREE</t>
  </si>
  <si>
    <t>PSVN</t>
  </si>
  <si>
    <t>PSVP</t>
  </si>
  <si>
    <t>PAEC du Pays de Thiérache = 4 PAEC : </t>
  </si>
  <si>
    <t>- Un PAEC Eau AESN pour la partie Eau de l'ancien 3RIV + LDFY + LESQ + WIFA</t>
  </si>
  <si>
    <t>- Un PAEC Eau AEAP pour la partie ancien territoire PETR</t>
  </si>
  <si>
    <t>- Un PAEC Biodiversité MASA pour la partie Biodiv de l'ancien PETR</t>
  </si>
  <si>
    <t>- Un PAEC Erosion AEAP pour la partie érosion de l'ancien PETR</t>
  </si>
  <si>
    <t>Réduire PAEC au périmètre MASA. Demande intégrer érosion AESN
ok, vu avec AESN</t>
  </si>
  <si>
    <t>Vérifier que 100% superposée avec zone AESN élargie au parcellaire
ok, voir démarches simplifiées</t>
  </si>
  <si>
    <t>ok
Justifier FER2, ARB, CIFF
supprimer FER2</t>
  </si>
  <si>
    <t>1 PAEC AESN + 1 PAEC eau AEAP. Refaire les contours PAEC AeSN car des bouts AEAP dedans.
AESN : Enlever AAC Thourotte et Montmacq car sans plan d'action
voir démarches simplifiées</t>
  </si>
  <si>
    <t>CCPE</t>
  </si>
  <si>
    <t>OURB</t>
  </si>
  <si>
    <t>OURN</t>
  </si>
  <si>
    <t>ok. Enlever CIFF et IAE3 si AEAP.</t>
  </si>
  <si>
    <t>ok, garder que zone AEAP Eau</t>
  </si>
  <si>
    <t>ok + ajout 4 PAEC fermés 3riv, lesq, ldfy, wifa</t>
  </si>
  <si>
    <t>Parc Naturel Régional des Caps et Marais d'Opale enjeu eau + ZH AEAP</t>
  </si>
  <si>
    <t>"PAEC du Pays de Sources et Vallées enjeu eau aesn</t>
  </si>
  <si>
    <t>"PAEC du Pays de Sources et Vallées enjeu eau aeap</t>
  </si>
  <si>
    <t>PELR</t>
  </si>
  <si>
    <t>Pelouses et landes régionales - AEAP érosion</t>
  </si>
  <si>
    <t>PAEC DU PNR BAIE DE SOMME PICARDIE MARITIME - ZH et eau</t>
  </si>
  <si>
    <t>Et ZH AEAP</t>
  </si>
  <si>
    <t>PETR : 
Chambre d'agriculture de l'Ainse : Lauranne GRONDIN / 03 23 22 51 37 / lauranne.grondin@aisne.chambagri.fr</t>
  </si>
  <si>
    <t xml:space="preserve">Dans le cas où les enveloppes de contractualisations ne seraient pas suffisantes, des critères de priorisations doivent être définis. L'opérateur priorisera les mesures si besoin en concertation avec les 4 maîtres d'ouvrages des BAC concernés. Sur les BAC concernés par ce territoire, les dossiers seraient sélectionnés en fonction de leur volume de surface incluse dans les zones les plus vulnérables définies dans le cadre des études de vulnérabilité des AAC, avec une redistribution équitable en fonction des AAC  ou tout du moins en concertation avec les maîtres d'ouvrages. </t>
  </si>
  <si>
    <t>Le programme a pour objectif de mettre en œuvre des actions ciblées pour préserver la qualité de la
ressource en eau. A savoir que le nombre de mesures ouvrables (respectivement 5 et 10) est réduit
par rapport à la dernière programmation et des choix se sont imposés.
Thématique « Azote » :
Concernant la problématique azote sur les BAC, des MAEC systèmes sont proposées. Certaines
mesures localisées permettront également la limitation ou l’interdiction d’azote apporté sur les
parcelles.
Thématique « Azote » :
Concernant la problématique azote sur les BAC, des MAEC systèmes sont proposées. Certaines
mesures localisées permettront également la limitation ou l’interdiction d’azote apporté sur les
parcelles.
Thématique « Phytosanitaire » :
Pour prévenir des transferts de phytosanitaires, avec ici une problématique principalement herbicide
sur les captages, il convient de limiter les applications de phytosanitaires au minimum technique
nécessaire. Ce type de démarche se traduit aujourd’hui par la protection intégrée des cultures ainsi
que dans les MAE visant à réduire les Indices de Fréquence de Traitements (IFT), par le biais de la
réduction des herbicides. Deux niveaux différents de réduction en herbicide sont proposés par le
biais des mesures PHY 2 et PHY 3, afin de permettre aux exploitants de souscrire des MAE les mieux
adaptées à leur cas et de tendre vers une réduction par étapes.
Thématique « Surfaces de dilution » :
Les MAE proposées concernant cette thématique sont surtout des mesures qui ont pour objectif de
maintien et de l’augmentation des surfaces en herbe, c’est pourquoi des mesures élevages et prairie
sont proposées. Concernant la mesure CIFF plus particulièrement, le financeur demande d’être
consulter pour une validation au préalable des futurs engagements.
Pour la mesure ESP, si l’opérateur à connaissance de document de gestion existant, ces spécificités
seront prises en compte dans le plan de gestion.
Thématique « l’entretien du paysage » :
Les études BAC font état de la nécessité de préserver les zones enherbées, les haies, arbres et de
privilégier la mise en place de bandes-tampons. Des mesures visant à leur maintien ou leur
développement sont donc proposées.</t>
  </si>
  <si>
    <t>X = 10%  Y = 0%  V = 1% W = 0,2%
Dates = définies par la BCAE 8 de la PAC.</t>
  </si>
  <si>
    <t>PETR DU PAYS DE THIERACHE - EAU AESN</t>
  </si>
  <si>
    <t>X = 10 Y = 0 V =1  W = 0,2 REH = 100
Dates = 16 mars au 15 août
AAC à enjeu nitrates : Lassigny, Laberlière, Cuvilly, Antheuil-Portes (reseau de reliquat en place)</t>
  </si>
  <si>
    <t>Parc naturel régional Scarpe Escaut - enjeu eau</t>
  </si>
  <si>
    <t>Pelouses et landes régionales - Erosion</t>
  </si>
  <si>
    <t>SESV</t>
  </si>
  <si>
    <t>Communauté de communes des Lisières de l'Oise</t>
  </si>
  <si>
    <t>Marine Leal
marine.leal@ccloise.com
06 09 31 21 66</t>
  </si>
  <si>
    <t>Communauté de communes des Lisières de l'Oise EAU</t>
  </si>
  <si>
    <t>Chambre d'agriculture de l'Aisne : Lauranne GRONDIN
03 23 22 51 37 - lauranne.grondin@aisne.chambagri.fr</t>
  </si>
  <si>
    <t>SESV : Marine LEAL, 06.09.31.21.66, m.leal@sesv.fr</t>
  </si>
  <si>
    <t>Enjeu du territoire : EAU 
Comme détaillé plus haut dans le document, l’analyse des pesticides au niveau du captage d’Autrêches révèle des dépassements de la limite qualitative pour les pesticides totaux, pour l’atrazine déséthyl et l’anthraquinone. Les captages de Saint-Crépin-aux-Bois, Palesne-Pierrefonds et Tracy-le-Mont présentent des concentrations en Chloridazone (métabolites) proches de la valeur sanitaire transitoire fixée à 3μg/L (dépassements réguliers) et une détection fréquente pour l’Atrazine et ses dérivés. De ce fait, les mesures de réduction de l’usage des produits phytosanitaires et de gestion des produits azotées sont nécessaires pour travailler la problématique qualité de l’eau. Elles permettent de revoir l’ensemble des pratiques de l’exploitation. Les IFT herbicides pratiqués sur les AAC sont globalement tous supérieurs aux références régionales. Les réductions d’usages devront être ambitieuses et les IFT de références seront fixés par la DRAAF selon les IFT de références régionales. Il est important de proposer différents niveaux de réduction, pour tenir compte du niveau de chaque exploitant et de ses productions et ainsi, avoir des objectifs atteignables.
Comme les prairies, les couverts d’intérêts faunistiques et floristiques ainsi que les jachères sont des zones de dilution intéressantes (évitent érosion et ruissellement), et sont des réservoirs favorables aux auxiliaires de cultures. Le développement des auxiliaires de cultures est un atout pour limiter le recours aux interventions phytosanitaires (insecticides notamment). Les auxiliaires sont de très bons prédateurs des insectes ravageurs des cultures (pucerons…), mais aussi de limaces. Les surfaces en CIFF seront soumises à avis préalable de l’Agence de l’Eau pour valider la pertinence (localisation, vulnérabilité, surfaces, enjeux de préservation de la biodiversité, etc.) vis-à-vis de l’objectif visé.
Les mesures de protection des espèces permettent de préserver les cycles reproducteurs des espèces animales et végétales par le retard de fauche. Ainsi, l’intérêt est de définir pour quelle(s) espèce(s) cette mesure est contractualisée. Dans le cas où des plans/documents de gestion spécifiques à des zones d’intérêts (Natura 2000…) existent sur le territoire, leurs enjeux pourront être intégrés au plan de gestion de l’agriculteur contractant. Dans le cas inverse, il faudra bien justifier dans le plan de gestion de l’agriculteur, qu’il n’y a pas ce type de dynamique plus large sur le territoire, et justifier quelle(s) espèce(s) sont ciblées par la mesure.
Par conséquent, 10 mesures sont proposées sur ce territoire, et permettent de répondre aux enjeux de ce territoire.</t>
  </si>
  <si>
    <t>février-mars</t>
  </si>
  <si>
    <t xml:space="preserve">4 (article Oise Agricole, Article CA, Plaquette info, mails…)
</t>
  </si>
  <si>
    <t>février-juin</t>
  </si>
  <si>
    <t>Le programme a pour objectif de mettre en œuvre des actions ciblées pour préserver la qualité de la ressource en eau, et plus particulièrement pour :
 - maintenir une concentration en nitrates inférieure à 30 mg/l
 - réduire la concentration en pesticides, et notamment les herbicides
 - réduire les traces de matière active au captage, en assurant un transfert minimal des résidus de produits phytosanitaires vers le captage
S’agissant d’un renouvellement du Plan, une continuité dans les demandes d’ouverture de mesures a été privilégiée. Par ailleurs, le nombre de ces mesures ouvrables étant réduit par rapport à la dernière programmation, des choix ont dû être effectués.
Thématique « Azote » :
Concernant la problématique azote sur les BAC, des MAEC systèmes sont proposées. Certaines mesures localisées permettront également la limitation ou l’interdiction d’azote apporté sur les parcelles.
Thématique « Phytosanitaire » :
Pour prévenir des transferts de phytosanitaires, avec ici une problématique principalement herbicide sur les captages, il convient de limiter les applications de phytosanitaires au minimum technique nécessaire. Ce type de démarche se traduit aujourd’hui par la protection intégrée des cultures ainsi que dans les MAE visant à réduire les Indices de Fréquence de Traitements (IFT), par le biais de la réduction des herbicides. Deux niveaux différents de réduction en herbicide sont proposés par le biais des mesures PHY 2 et PHY 3, afin de permettre aux exploitants de souscrire des MAE les mieux adaptées à leur cas et de tendre vers une réduction par étapes.
Thématique « Surfaces de dilution » :
Les MAE proposées concernant cette thématique sont surtout des mesures qui ont pour objectif le maintien et l’augmentation des surfaces en herbe, c’est pourquoi des mesures élevages et prairie sont proposées. Concernant la mesure CIFF plus particulièrement, le financeur demande à être consulté pour une validation au préalable des futurs engagements.
Pour la mesure ESP, si l’opérateur à connaissance de document de gestion existant, ces spécificités seront prises en compte dans le plan de gestion. 
Thématique « l’entretien du paysage » :
Les études BAC font état de la nécessité de préserver les zones enherbées, les haies, arbres et de privilégier la mise en place de bandes-tampons. Des mesures visant à leur maintien ou leur développement sont donc proposées.</t>
  </si>
  <si>
    <t>Mars à septabre</t>
  </si>
  <si>
    <t>X =50%  Y =25%  W =2,1 Z =10%</t>
  </si>
  <si>
    <t>TBIN</t>
  </si>
  <si>
    <t>Corridors &amp; Plaine Versant Sud - AESN</t>
  </si>
  <si>
    <t>Corridors &amp; Plaine Versant Sud - Biodiversité</t>
  </si>
  <si>
    <t>Dates : usage après le 10/06
Travail du sol : travail superficiel autorisé ; abs totale usage phytosanitaires
X = 0 Y= 60 Z = 30 Z'= 30
Mg / Ca ? : interdiction</t>
  </si>
  <si>
    <t>Dates : usage après le 20/06
Travail du sol : travail superficiel autorisé ; abs totale usage phytosanitaires
X =0 Y= 0 Z =0 Z'= 0
Mg / Ca ? : interdiction</t>
  </si>
  <si>
    <t>Dates : usage après le 30/06
Travail du sol : travail superficiel autorisé ; abs totale usage phytosanitaires
X =0 Y=0 Z =0 Z'= 0
Mg / Ca ? : interdiction</t>
  </si>
  <si>
    <t>W = 2,1 X= 30 Y = 25</t>
  </si>
  <si>
    <t>W =2,1 X =35 Y =20 Z = 10</t>
  </si>
  <si>
    <t>X = 1,4 Y = 0,2 W = 50 Z = 1
Période hivernale : 01/12 au 28/12
Limite de fertilisation P et K : 30 / 30
Autorisation ou interdiction Ca/Mg ? : interdiction</t>
  </si>
  <si>
    <t>X = 10 Y = V =1 W =0,2 
Dates = 16 mars et 15 août</t>
  </si>
  <si>
    <t>X = Y = V = W = 
Dates =</t>
  </si>
  <si>
    <t>X = Y = V = W = REH = 
Dates =</t>
  </si>
  <si>
    <t>X = V = W = 
Dates =</t>
  </si>
  <si>
    <t>Date max implantation = 
X = Y = Z = 
Date sans intervention méca =</t>
  </si>
  <si>
    <t>X = Y =</t>
  </si>
  <si>
    <t>Dates :
Travail du sol :
Y= Z = Z'= 
Ca/Mg ? :</t>
  </si>
  <si>
    <t>Critères d'éligibilité :</t>
  </si>
  <si>
    <t>W = 2,1 X = 35% Y = 30% Z = 10%</t>
  </si>
  <si>
    <t>W = 2.1 X = 50% Y = 25% Z = 10%</t>
  </si>
  <si>
    <t>X = 1.4 Y = 0.2 W = 50 Z = 1
Période hivernale : 15/11 au 15/03
Limite de fertilisation P et K : 0
Autorisation ou interdiction Ca/Mg ? : 0</t>
  </si>
  <si>
    <t>X = 1.4 Y = 0.2 W = 0 Z = 1
15/11 au 15/03
Limite de fertilisation P et K : 0
Autorisation ou interdiction Ca/Mg ? : 0</t>
  </si>
  <si>
    <t>Date max implantation = 15/05 ou 20/09 pour les parcelles de TA implantées en cultures d'hiver l'année de la demande
X = 10 m ou Y = 500 m; Z = 10 ares 
Date sans intervention méca = 15/04 au 15/07
Liste couverts :
- Mélanges de graminées + légumineuses d’intérêt faunistique ou floristique ;
- Cultures cynégétiques d’intérêt faunistique ou floristique ;
- Plantes messicoles, mélanges messicoles/céréales (cf liste d’espèces établie par le Conservatoire Botanique National de Bailleul [CBNBL]) ;
- Mélange d’espèces favorables au développement des insectes pollinisateurs ou auxiliaires ou à la protection de la petite faune ;
- Possibilité de laisser s'exprimer la végétation spontanée si cela est justifié par l’opérateur.
- Les mélanges d'espèces sont obligatoires ;
- Les couverts de légumineuses (Fabacées) pures ainsi que les couverts de graminées (Poacées) pures sont interdits ;
- Au moins 3 espèces doivent être implantées (sans % de recouvrement précisé).
Afin de favoriser les espèces locales, il est recommandé de semer dans le mélange, une espèce maximum parmi les variétés cultivées, horticoles ou exotiques des dicotylédones.
Sont interdites au semis : le Bleuet à fleur double, les Cosmos, les Zinnias, le Pavot de Californie.</t>
  </si>
  <si>
    <t>10% de mise en défens
Dates : 
Travail du sol : aucun travail du sol - un travail superficiel du sol sera autorisé en cas de dégâts de gibier avec accord de l'opérateur
Y= 60 Z = 30 Z'= 30
Ca/Mg ? : 0</t>
  </si>
  <si>
    <t>Dates de référence : 01/06 soit un retard d'utilisation après le 25/06
Dates : 01/01 au 25/06
Travail du sol : aucun travail du sol - un travail superficiel du sol sera autorisé en cas de dégâts de gibier avec accord de l'opérateur
X = 7 Y= 50 Z = 0 Z'= 0
Mg / Ca ? : 0</t>
  </si>
  <si>
    <t>Dates de référence : 01/06 soit un retard d'utilisation après le 05/07
Dates : 01/01 au 05/07
Travail du sol :aucun travail du sol - un travail superficiel du sol sera autorisé en cas de dégâts de gibier avec accord de l'opérateur
X = 7 Y= 0 Z = 0 Z'= 0
Mg / Ca ? : 0</t>
  </si>
  <si>
    <t>Dates de référence : 01/06 soit un retard d'utilisation après le 15/07
Dates : 01/01 au 15/07
Travail du sol :aucun travail du sol - un travail superficiel du sol sera autorisé en cas de dégâts de gibier avec accord de l'opérateur
X = 7 Y= 0 Z = 0 Z'= 0
Mg / Ca ? : 0</t>
  </si>
  <si>
    <t>Dates : Pas de période d'interdiction de pâturage 
Travail du sol : Possibilité d'un renouvellement par travail superficiel du sol au cours de l'engagement 
Y= 60 UN/ha/an 
Z = 60 UP/ha/an Z'= 160 UK/ha/an 
Ca/Mg : Absence d'apports magnésiens et de chaux et/ou respecter la limitation de fertilisation P et K : 
60 UP/ha/an et 160 UK/ha/an</t>
  </si>
  <si>
    <t>Dates : Pas de période d'interdiction de pâturage 
Travail du sol : Possibilité d'un renouvellement par travail superficiel du sol au cours de l'engagement 
Y= 60 UN/ha/an 
Z = 60 UP/ha/an Z'= 160 UK/ha/an 
Ca/Mg : Absence d'apports magnésiens et de chaux et/ou respecter la limitation de fertilisation P et K : 
60 UP/ha/an et 160 UK/ha/an 
Retard d'utilisation : date standard 5 mai : Niveau 2 = 1 juin 
Mise en défens de X% des surfaces engagées : X = 0 %</t>
  </si>
  <si>
    <t xml:space="preserve">Dates : Pas de période d'interdiction de pâturage 
Travail du sol : Possibilité d'un renouvellement par travail superficiel du sol au cours de l'engagement 
Y= 60 UN/ha/an 
Z = 60 UP/ha/an Z'= 160 UK/ha/an 
Ca/Mg : Absence d'apports magnésiens et de chaux et/ou respecter la limitation de fertilisation P et K : 
60 UP/ha/an et 160 UK/ha/an 
Retard d'utilisation : date standard 5 mai : Niveau 3 = 10 juin 
Mise en défens de X% des surfaces engagées : X = 0 % 
</t>
  </si>
  <si>
    <t>Sur le territoire de l’USESA, les 8 territoires AAC proposés disposent d’un plan d’actions en cours.
Les 8 AAC ont des caractéristiques différentes ; Compte tenu du nombre d’enjeux et de mesures ouvrables (respectivement 5 et 10), un choix s’impose.
Les mesures choisies ont pour objectif de mettre en œuvre des actions ciblées pour préserver la qualité de la ressource en eau, et plus particulièrement pour :
  - réduire la concentration en pesticides
- réduire les traces de matière active au captage, en assurant un transfert minimal des résidus de produits phytosanitaires vers le captage
La principale problématique sur le territoire est celle des herbicides, c’est pourquoi la mesure PHY 3 a été privilégiée par rapport à la mesure PHY 6 ; De plus le maintien et l'augmentation des surfaces en herbe sont également un levier, c’est pourquoi des mesures "élevage" et "prairie" ont été proposées</t>
  </si>
  <si>
    <r>
      <t xml:space="preserve">Le programme a pour objectif de mettre en œuvre des actions ciblées pour préserver la qualité de la ressource en eau. A savoir que le nombre de mesures ouvrables (respectivement 5 et 10) est réduit par rapport à la dernière programmation et des choix se sont imposés. 
</t>
    </r>
    <r>
      <rPr>
        <b/>
        <sz val="11"/>
        <color rgb="FF000000"/>
        <rFont val="Calibri"/>
        <family val="2"/>
        <scheme val="minor"/>
      </rPr>
      <t>Thématique « Azote » :</t>
    </r>
    <r>
      <rPr>
        <sz val="11"/>
        <color rgb="FF000000"/>
        <rFont val="Calibri"/>
        <family val="2"/>
        <scheme val="minor"/>
      </rPr>
      <t xml:space="preserve">
Concernant la problématique azote sur les BAC, des MAEC systèmes sont proposées. Certaines mesures localisées permettront également la limitation ou l’interdiction d’azote apporté sur les parcelles.
</t>
    </r>
    <r>
      <rPr>
        <b/>
        <sz val="11"/>
        <color rgb="FF000000"/>
        <rFont val="Calibri"/>
        <family val="2"/>
        <scheme val="minor"/>
      </rPr>
      <t>Thématique « Phytosanitaire » :</t>
    </r>
    <r>
      <rPr>
        <sz val="11"/>
        <color rgb="FF000000"/>
        <rFont val="Calibri"/>
        <family val="2"/>
        <scheme val="minor"/>
      </rPr>
      <t xml:space="preserve">
Pour prévenir des transferts de phytosanitaires, avec ici une problématique principalement herbicide sur les captages, il convient de limiter les applications de phytosanitaires au minimum technique nécessaire. Ce type de démarche se traduit aujourd’hui par la protection intégrée des cultures ainsi que dans les MAE visant à réduire les Indices de Fréquence de Traitements (IFT), par le biais de la réduction des herbicides. Deux niveaux différents de réduction en herbicide sont proposés par le biais des mesures PHY 2 et PHY 3, afin de permettre aux exploitants de souscrire des MAE les mieux adaptées à leur cas et de tendre vers une réduction par étapes.
</t>
    </r>
    <r>
      <rPr>
        <b/>
        <sz val="11"/>
        <color rgb="FF000000"/>
        <rFont val="Calibri"/>
        <family val="2"/>
        <scheme val="minor"/>
      </rPr>
      <t>Thématique « Surfaces de dilution » :</t>
    </r>
    <r>
      <rPr>
        <sz val="11"/>
        <color rgb="FF000000"/>
        <rFont val="Calibri"/>
        <family val="2"/>
        <scheme val="minor"/>
      </rPr>
      <t xml:space="preserve">
Les MAE proposées concernant cette thématique sont surtout des mesures qui ont pour objectif de maintien et de l’augmentation des surfaces en herbe, c’est pourquoi des mesures élevages et prairie sont proposées. Concernant la mesure CIFF plus particulièrement, le financeur demande d’être consulter pour une validation au préalable des futurs engagements.
Pour la mesure ESP, si l’opérateur à connaissance de document de gestion existant, ces spécificités seront prises en compte dans le plan de gestion. 
</t>
    </r>
    <r>
      <rPr>
        <b/>
        <sz val="11"/>
        <color rgb="FF000000"/>
        <rFont val="Calibri"/>
        <family val="2"/>
        <scheme val="minor"/>
      </rPr>
      <t>Thématique « l’entretien du paysage » :</t>
    </r>
    <r>
      <rPr>
        <sz val="11"/>
        <color rgb="FF000000"/>
        <rFont val="Calibri"/>
        <family val="2"/>
        <scheme val="minor"/>
      </rPr>
      <t xml:space="preserve">
Les études BAC font état de la nécessité de préserver les zones enherbées, les haies, arbres et de privilégier la mise en place de bandes-tampons. Des mesures visant à leur maintien ou leur développement sont donc proposées.</t>
    </r>
  </si>
  <si>
    <t>100% biodiv MASA et 0% AESN</t>
  </si>
  <si>
    <t>FORMATIONS</t>
  </si>
  <si>
    <t>Intitulé de la formation (facultatif)</t>
  </si>
  <si>
    <t>Description et format : Théorie, tour de plaine, échange collectif...</t>
  </si>
  <si>
    <t>Durée de la formation envisagée</t>
  </si>
  <si>
    <t>Prise en charge Vivea OUI/NON</t>
  </si>
  <si>
    <t>MAEC concernées</t>
  </si>
  <si>
    <t>Nombre d'agriculteurs potentiels</t>
  </si>
  <si>
    <t>"Pratiquer le désherbage mixte sur son exploitation"</t>
  </si>
  <si>
    <t xml:space="preserve">Théorie, échanges collectifs et tours de plaine </t>
  </si>
  <si>
    <t xml:space="preserve">4 h ou 7 h </t>
  </si>
  <si>
    <t>PHY</t>
  </si>
  <si>
    <t>" interet des couverts agronomiques et valorisation en élevage "</t>
  </si>
  <si>
    <t xml:space="preserve">Théorie et échanges collectifs </t>
  </si>
  <si>
    <t>7h</t>
  </si>
  <si>
    <t xml:space="preserve">HBV </t>
  </si>
  <si>
    <t xml:space="preserve">ESP </t>
  </si>
  <si>
    <t xml:space="preserve">"Découvrir l'apiculture et l'intérêt des abeilles pour l'agriculture" </t>
  </si>
  <si>
    <t xml:space="preserve">Théorie, échanges collectifs et pratique </t>
  </si>
  <si>
    <t xml:space="preserve">" Découvrir les principaux auxiliaires des cultures" </t>
  </si>
  <si>
    <t>4h</t>
  </si>
  <si>
    <t xml:space="preserve">" Choisir et réussir ses couverts végétaux " </t>
  </si>
  <si>
    <t>Théorie et échanges collectifs et indivuels</t>
  </si>
  <si>
    <t xml:space="preserve">4h </t>
  </si>
  <si>
    <t>[MAEc 2023-2027] Comprendre et appréhender ses cultures via les plantes bio-indicatrices</t>
  </si>
  <si>
    <t xml:space="preserve">Formation avec cas concret et témoignage </t>
  </si>
  <si>
    <t>CIFF / ESP</t>
  </si>
  <si>
    <t>[MAEc 2023-2027] Couvert d’intérêt Faune Flore</t>
  </si>
  <si>
    <t xml:space="preserve">oui </t>
  </si>
  <si>
    <t>[MAEc 2023-2027] HBV_Autonomie_et_adaptation_au_changement_climatique_herbe</t>
  </si>
  <si>
    <t>HBV</t>
  </si>
  <si>
    <t>[MAEc 2023-2027] PRA3_Valoriser_les_espaces_naturels_par_la_gestion_des_prairies</t>
  </si>
  <si>
    <t>PRA3/ESP</t>
  </si>
  <si>
    <t>[MAEc 2023-2027] Gérer et préserver les prairies humides et les espaces naturels</t>
  </si>
  <si>
    <t xml:space="preserve">Rendez-vous collectif </t>
  </si>
  <si>
    <t>Rendez-vous technique individuel</t>
  </si>
  <si>
    <t xml:space="preserve">Gestion et préservation des prairies humides les espaces naturels par la gestion des </t>
  </si>
  <si>
    <t xml:space="preserve">- Accueil stagiaires et présentation
- Rappel du cahier des charges : QCM 
- Echange collectif sur les MAE et sur la vallée 
- Identifier les enjeux écologiques des prairies humides
- Visite de terrain : caractériser la végétation des prairies humides et échange sur les propriétés agroécologiques 
- Evaluation des acquis : QCM </t>
  </si>
  <si>
    <t xml:space="preserve">7h </t>
  </si>
  <si>
    <t>MHU1, MHU2, ESP 1 à 4, HBV2, HBV3, CIFF, IAE1, IAE2</t>
  </si>
  <si>
    <t xml:space="preserve">10 agriculteurs par formation </t>
  </si>
  <si>
    <t xml:space="preserve">Gestion et préservation des prairies humides </t>
  </si>
  <si>
    <t>MHU1, MHU2, ESP 1 à 4, CIFF</t>
  </si>
  <si>
    <t>Visite de terrain - le pâturage des pelouses caclaires</t>
  </si>
  <si>
    <t>Visite d'un site de pelouses  avec temps d'échanges entre éleveurs et CEN sur la gestion du pâturage</t>
  </si>
  <si>
    <t>1/2 journée</t>
  </si>
  <si>
    <t>Ensemble des MAEc ouvertes dans ce PAEC</t>
  </si>
  <si>
    <t>La flore indicatrices de mes pelouses/landes</t>
  </si>
  <si>
    <t xml:space="preserve">Découvert d'espèces caractéristiques des pelouses et des espèces indicatrices en lien avec les pratiques de pâturage/fauche </t>
  </si>
  <si>
    <t>Diagnostiquer l'état structural de son sol et pérenniser sa fertilité</t>
  </si>
  <si>
    <t>Savoir analyser l'état de son sol agricole, les différents indicateurs de sa fertilisé et les méthodes d'ACS pour l'améliorer. Demi journée théorie+ demi journée en plaine</t>
  </si>
  <si>
    <t>Une journée</t>
  </si>
  <si>
    <t>SDC FER</t>
  </si>
  <si>
    <t xml:space="preserve">Autonomie azotée dans les système agricoles : ACS, labour, agriculture raisonnée </t>
  </si>
  <si>
    <t>Acquérir l'autonomie azotée pour les parcelles en ACS avec plusieurs méthodes : travail du sol, couverts, limitation des intrants, rotations. Demi journée théorie+ demi journée en plaine</t>
  </si>
  <si>
    <t>FER, COV, SDC</t>
  </si>
  <si>
    <t>Couverts végétaux : comment les choisir et les réussir ?</t>
  </si>
  <si>
    <t>Journée théorique sur le choix et les différents avantages/inconvénients des différents types mélanges de couverts. Adaptation à la situation des parcelles et du type de sol</t>
  </si>
  <si>
    <t>SDC, COV</t>
  </si>
  <si>
    <t>Appréhender la fertilisation minérale et organique en agriculture de conservation des sols</t>
  </si>
  <si>
    <t>Journée théorique sur l'adaptation de la fertilisation générale à un passage en ACS</t>
  </si>
  <si>
    <t>Valoriser les arbres et les haies de son exploitation</t>
  </si>
  <si>
    <t>Partie théorique sur les avantages des arbres et des haies sur l'exploitation, leurs entretiens et la valorisation possible selon les débouchés voulus. Demi journée théorique + demi journée demonstration entretien</t>
  </si>
  <si>
    <t>Demi journée tour de plaine ACS</t>
  </si>
  <si>
    <t>Tour de plaine sur les parcelles en ACS d'agriculteurs locaux</t>
  </si>
  <si>
    <t>Demi-journée</t>
  </si>
  <si>
    <t>Appui sur le catalogue de formation régional : offre très large sur différentes thématiques liées aux MAEC proposées sur le PAEC EAU - Catalogue actualisé tous les ans - Formations en lien avec la transition agro-écologique, le changement climatique, l'autonomie alimentaire, l'agriculture de conservation, ...
Formations innovantes, appui sur les expérimentations et études menées au sein du réseau des Chambres d'agriculture.</t>
  </si>
  <si>
    <t>Formations associant techniques, mises en pratqiue, visites d'exploitation. 
Formations FMD proposées (Formation Mixte digitale).</t>
  </si>
  <si>
    <t>1 j</t>
  </si>
  <si>
    <t>Réseau des Groupes de Développement</t>
  </si>
  <si>
    <t>Réunions thématiques animées par des conseillers spécialisés</t>
  </si>
  <si>
    <t>0,5 j</t>
  </si>
  <si>
    <t>Collectifs animés par des conseillers de la Chambre d'agriculture - Réunions et formations sur les techniques et systèmes innovants réduisant l’usage des produits phytosanitaires tout en promouvant des techniques économiquement, environnementalement et socialement performantes</t>
  </si>
  <si>
    <t>Formations - Réunions techniques avec tour de plaine</t>
  </si>
  <si>
    <t>Formation : 
Thématiques :
- Rotation, agronomie, système de culture ;
- Cultures BNI (itinéraires technique, résultats d’essais filière, débouché ;
- Aménagement du territoire, biodiversité/auxiliaires, haies, types de couverts ; 
- Désherbage mécanique
- Calcul des IFT.</t>
  </si>
  <si>
    <t>1 jour</t>
  </si>
  <si>
    <t>MAEC Eau – Réduction des herbicides – Grandes Cultures</t>
  </si>
  <si>
    <t>Formation : 
Thématiques :
- Bilan fourrager (méteil, mélanges prairiaux, ration, concentrés…)
- Choix des couverts/intercultures ;
- Calcul des IFT.</t>
  </si>
  <si>
    <t xml:space="preserve">MAEC Climat – Bien-être animal – autonomie fourragère – élevage d’herbivores
MAEC Biodiversité -Création de couverts d’intérêt faunistique et floristique favorables aux pollinisateurs et aux oiseaux communs des milieux agricoles
MAEC Biodiversité - Protection des espèces
</t>
  </si>
  <si>
    <t>Formation : 
Thématiques :
- Aménagement du territoire ;
- Biodiversité/auxiliaires ;
- Haies ;
- Types de couverts/prairies ;
- Choix des couverts/intercultures ;
- Calcul des IFT.</t>
  </si>
  <si>
    <t xml:space="preserve">MAEC Biodiversité - Protection des espèces
MAEC Biodiversité -Création de couverts d’intérêt faunistique et floristique favorables aux pollinisateurs et aux oiseaux communs des milieux agricoles
MAEC Biodiversité - Entretien durable des infrastructures agroécologiques
</t>
  </si>
  <si>
    <t>Réunion collective : 
En fonction du nombre d’exploitants engagés, le format VIVEA ne sera peut-être pas réalisable. Dans ce cas, il sera proposé une demi-journée collective d’échanges de pratique et de sensibilisation sur des thématiques techniques en lien avec les MAEC souscrites.</t>
  </si>
  <si>
    <t>0,5 jour</t>
  </si>
  <si>
    <t>Toutes les MAEC</t>
  </si>
  <si>
    <t>si nécessaire</t>
  </si>
  <si>
    <t>Rencontre individuelle : 
La priorité sera donnée à la réalisation de formations collectives. Cependant, si cela est nécessaire et en dernier recours, des rencontres individuelles pourront être proposées à certains agriculteurs de manière à respecter les délais de réalisation de formation en lien avec leur MAEC.</t>
  </si>
  <si>
    <t>Pratiquer le désherbage mixte sur mon exploitation</t>
  </si>
  <si>
    <t>Selon le contenu de la formation</t>
  </si>
  <si>
    <t>1 journée</t>
  </si>
  <si>
    <t>Réduction des pesticides Niveau 2 et niveau 3</t>
  </si>
  <si>
    <t xml:space="preserve">Connaitre, observer et valoriser les auxilliaires </t>
  </si>
  <si>
    <t>Intérêt des couverts agronomiques et valorisation en élevage</t>
  </si>
  <si>
    <t>Découvrir les principaux auxilliaires des cultures</t>
  </si>
  <si>
    <t>Consevoir un projet agroforestier</t>
  </si>
  <si>
    <t>Choisir et réussir ses couverts végétaux</t>
  </si>
  <si>
    <t>Optimiser sa fertilisation azotée</t>
  </si>
  <si>
    <t>Optimisier la gestion de sa fertilisation azotée du colza</t>
  </si>
  <si>
    <t>Azote: fertiliser avec agilité en grandes cultures</t>
  </si>
  <si>
    <t>Agir sur le carbone, c'est bon pour le climat</t>
  </si>
  <si>
    <t>Pdécouvrir l'utilisation des huiles essentielles  et la géobiologie bien être animal</t>
  </si>
  <si>
    <t>Autonomie fourragère - élevages herbivores Niveau 2 et 3 ( HBV2/3)</t>
  </si>
  <si>
    <t>Comprendre et calculer les rations des bovins</t>
  </si>
  <si>
    <t>Connaitre, oberver et valoriser les auxilliaires</t>
  </si>
  <si>
    <t>Pratiquer le désherbage mixte sur son exploitation</t>
  </si>
  <si>
    <t>Toute autre formation sur ces thématiques pouvant voir le jour en cours de programmation</t>
  </si>
  <si>
    <t>Découvrir l'apiculture et l'intérêt des abeilles</t>
  </si>
  <si>
    <t>Création de couvert d'intérêt faunistique et floristique (CIFF)</t>
  </si>
  <si>
    <t>Entretien de ligneux, mares  (IAE1/2)</t>
  </si>
  <si>
    <t>visites d'essais ; démonstration couvert/ binage/semis sous couvert/destruction couvert....
Réunions d'échanges sur la thématique</t>
  </si>
  <si>
    <t>Tour de plaine - échange collectif</t>
  </si>
  <si>
    <t>les 10 mesures proposées dans le PAEC</t>
  </si>
  <si>
    <t>La Chambre d’agriculture propose depuis plusieurs années un catalogue de formations à l’échelle des Hauts de France, avec une offre très large, répartie en différentes thématiques (agriculture de conservation et couverts, techniques de production, agriculture biologique, alimentation et gestion technico-économique des ateliers bovins, …)
La Chambre d’agriculture pourra s’appuyer sur les GEDA Scarpe Hainaut et GEDA de Lille, pour accompagner les exploitations engagées en MAEC. En effet, un programme technique est établi annuellement en réponse aux besoins des adhérents. Des échanges pourront se faire avec les conseillers des GEDA pour proposer des actions techniques et adaptées au contexte du PAEC</t>
  </si>
  <si>
    <t>"Gestion et préservation des prairies humides "</t>
  </si>
  <si>
    <t>MHU</t>
  </si>
  <si>
    <t xml:space="preserve">"Découvrir l'utilisation des huiles essentielles et la géobiologies-bien être animal" </t>
  </si>
  <si>
    <t xml:space="preserve">7 h </t>
  </si>
  <si>
    <t>PRA</t>
  </si>
  <si>
    <t xml:space="preserve">" Valoriser les arbres et les haies de son exploitation " </t>
  </si>
  <si>
    <t>IAE</t>
  </si>
  <si>
    <t xml:space="preserve">PHY </t>
  </si>
  <si>
    <t xml:space="preserve">" Connaitre, observer et valoriser les auxillaires des cultures" </t>
  </si>
  <si>
    <t xml:space="preserve">IAE </t>
  </si>
  <si>
    <t>" interet des couverts agronomiques et valorisation en élévage "</t>
  </si>
  <si>
    <t xml:space="preserve">"Comprendre et calculer les rations des bovins viandes" </t>
  </si>
  <si>
    <t xml:space="preserve">" Concevoir un projet agroforestier" </t>
  </si>
  <si>
    <t xml:space="preserve">"Optimiser sa fertilisation azotée" </t>
  </si>
  <si>
    <t xml:space="preserve">4 h </t>
  </si>
  <si>
    <t xml:space="preserve">"Optimiser la gestion de sa fertilisation azotée du colza" </t>
  </si>
  <si>
    <t xml:space="preserve">"Azote: fertiliser avec agilité en grandes cultures" </t>
  </si>
  <si>
    <t xml:space="preserve">Agir sur le carbone, c'est bon pour le climat </t>
  </si>
  <si>
    <t>1  jour</t>
  </si>
  <si>
    <t>Objectif de 0 agriculteur, sauf si nécessaire</t>
  </si>
  <si>
    <t>Pâtur'ajuste : journées d’échange, tours de prairies avec reconnaissance des espèces floristiques, conduite du pâturage,</t>
  </si>
  <si>
    <t>Tour de plaine, collectif</t>
  </si>
  <si>
    <t>MHU1 et 2</t>
  </si>
  <si>
    <t>Gestion du parasitisme</t>
  </si>
  <si>
    <t>Théorie, échange collectif</t>
  </si>
  <si>
    <t>Pâtur’ajuste : apéro-prairies</t>
  </si>
  <si>
    <t>HBV, ESP, MHU</t>
  </si>
  <si>
    <t>Journée technique prairie humide</t>
  </si>
  <si>
    <t>HBV, ESP,  MHU, IAE</t>
  </si>
  <si>
    <t>Gestion des prairies engagées en MAEC</t>
  </si>
  <si>
    <t>HBV, ESP,  MHU</t>
  </si>
  <si>
    <t>STOCKAGE DES FOURRAGES : une donnée à ne pas sous-estimer</t>
  </si>
  <si>
    <t>Formation théorique technique sur les différentes formes de stockage  et visite d'exploitation</t>
  </si>
  <si>
    <t>Gestion des adventices dans les systèmes grandes cultures et LPC Bio</t>
  </si>
  <si>
    <t>Formation théorique sur les techniques mécaniques de gestion des adventices en GC bio</t>
  </si>
  <si>
    <t>PHY6 (bio)</t>
  </si>
  <si>
    <t>Formation sur la gestion des prairies paturées ou de fauche, adaptée au contexte local</t>
  </si>
  <si>
    <t>7h ou 4h</t>
  </si>
  <si>
    <t>ESP</t>
  </si>
  <si>
    <t>Améliorer ses prairies pour gagner en autonomie fourragère</t>
  </si>
  <si>
    <t>Formation transversale sur l'autonomie fourragère et la gestion des prairies</t>
  </si>
  <si>
    <t>ESP,  HBV</t>
  </si>
  <si>
    <t>Maladies des céréales</t>
  </si>
  <si>
    <t>Formation théorique et pratique sur la reconnaissance des maladies des céréales et différentes stratégies de protection</t>
  </si>
  <si>
    <t>Reconnaître les adventices et stratégie désherbage</t>
  </si>
  <si>
    <t>Formation théorique et pratique sur la reconnaissance des adventices et différentes stratégies de destruction</t>
  </si>
  <si>
    <t>7H</t>
  </si>
  <si>
    <t>Sécuriser son système de fourrage pour une exploitation plus rentable</t>
  </si>
  <si>
    <t>Acquérir plus d'autonomie fourragère à l'échelle de l'exploitation</t>
  </si>
  <si>
    <t>HBV, ESP</t>
  </si>
  <si>
    <t>Gestion des prairies par et pour les chevaux</t>
  </si>
  <si>
    <t>HBV, ESP, PRA3, MHU</t>
  </si>
  <si>
    <t>MHU1 et 2, PRA 3</t>
  </si>
  <si>
    <t>HBV, ESP, PRA3, MHU, IAE</t>
  </si>
  <si>
    <t>ESP, Pra3</t>
  </si>
  <si>
    <t>ESP, Pra3, HBV</t>
  </si>
  <si>
    <t>PHY4,6</t>
  </si>
  <si>
    <t xml:space="preserve">"Découvrir l'utilisation des huiles essentielles et la géobiologie bien-être animal" </t>
  </si>
  <si>
    <t>" Valoriser les arbres et les haies de son exploitation "</t>
  </si>
  <si>
    <t>" Connaitre, observer et valoriser les axillaires des cultures"</t>
  </si>
  <si>
    <t>" intérêt des couverts agronomiques et valorisation en élevage "</t>
  </si>
  <si>
    <t>"Comprendre et calculer les rations des bovins viandes"</t>
  </si>
  <si>
    <t>"Découvrir l'apiculture et l'intérêt des abeilles pour l'agriculture"</t>
  </si>
  <si>
    <t>" Découvrir les principaux auxiliaires des cultures"</t>
  </si>
  <si>
    <t>" Concevoir un projet agroforestier"</t>
  </si>
  <si>
    <t>" Choisir et réussir ses couverts végétaux "</t>
  </si>
  <si>
    <t>Théorie et échanges collectifs et individuels</t>
  </si>
  <si>
    <t>"Optimiser la gestion de sa fertilisation azotée du colza"</t>
  </si>
  <si>
    <t>"Azote: fertiliser avec agilité en grandes cultures"</t>
  </si>
  <si>
    <t>Gestion du paturage</t>
  </si>
  <si>
    <t>Tour de plaine et échanges collectifs</t>
  </si>
  <si>
    <t>0,5 jrs</t>
  </si>
  <si>
    <t>HBV 1 - 2 -3</t>
  </si>
  <si>
    <t>Gestion des infrastrcuture écologique</t>
  </si>
  <si>
    <t>Tour de plaine et échange au pied des haies</t>
  </si>
  <si>
    <t>IAE 1 et 2</t>
  </si>
  <si>
    <t>Gestion de la fauche - préservation de la biodiversité</t>
  </si>
  <si>
    <t>ESP 2 - 3- 4 MHU1 - 2</t>
  </si>
  <si>
    <t>Valorisation des Prairies et autonomie fourragère</t>
  </si>
  <si>
    <t>HBV 1 -2 -3</t>
  </si>
  <si>
    <t xml:space="preserve">Programme Herbe et Autonomie fourragère </t>
  </si>
  <si>
    <t xml:space="preserve">0,5 J </t>
  </si>
  <si>
    <t>HBV/ESP/MHU/CPRA</t>
  </si>
  <si>
    <t xml:space="preserve">Les rencontres prairies </t>
  </si>
  <si>
    <t>Les journées "agri" (vie du sol, biodiversité, ..)</t>
  </si>
  <si>
    <t xml:space="preserve">1 J </t>
  </si>
  <si>
    <t xml:space="preserve">Journée technique (Démonstration matériel 
désherbage mécanique, …) </t>
  </si>
  <si>
    <t>HBV/ESP/MHU/CPRA/PHY</t>
  </si>
  <si>
    <t>Les journées "agri" (vie du sol, biodiversité,…)</t>
  </si>
  <si>
    <t xml:space="preserve">Journée technique (démonstration matériel
 désherbage mécanique, …) </t>
  </si>
  <si>
    <t>Durée de la formation envisagée en jours</t>
  </si>
  <si>
    <t xml:space="preserve">Remarque </t>
  </si>
  <si>
    <t>Systèmes fourragers herbagers (pâturage ou fourrages récoltés)
-formation ou temps collectifs Pâtur'ajuste
-temps collectifs sur l'autonomie fourragère et protéique
-gestion sanitaire en élevage à l'herbe</t>
  </si>
  <si>
    <t>Formation et échanges</t>
  </si>
  <si>
    <t>1/2j</t>
  </si>
  <si>
    <t>HBV, OUV, ESP, MHU</t>
  </si>
  <si>
    <t>dans le cadre du programme Prairies sur le bocage boulonnais ou du PMAZH sur l'audomarois et la slack; animation PNRCMO et chambre d'agriculture</t>
  </si>
  <si>
    <t>La préservation du tarier des prés par la gestion des prairies humides</t>
  </si>
  <si>
    <t>ESP, MHU</t>
  </si>
  <si>
    <t>dans le cadre du PMAZH slack; animation PNRCMO</t>
  </si>
  <si>
    <t>La biodiversité en zones humides (fossés, prairies), à préciser</t>
  </si>
  <si>
    <t>MHU, IAE3</t>
  </si>
  <si>
    <t>sur l'audomarois</t>
  </si>
  <si>
    <t>Gestion durable des haies</t>
  </si>
  <si>
    <t>dans le cadre du programme de plantation sur le Parc; animation PNRCMO</t>
  </si>
  <si>
    <t>Fertilité des sols en grandes cultures</t>
  </si>
  <si>
    <t>FER</t>
  </si>
  <si>
    <t>dans le cadre du programme Transae; animation PNRCMO</t>
  </si>
  <si>
    <t>Cultures biologiques</t>
  </si>
  <si>
    <t>Tours de plaine</t>
  </si>
  <si>
    <t>dans le cadre du programme Bio sur le Parc; animation BHDF et Chambre d'agriculture</t>
  </si>
  <si>
    <t>Agriculture de conservation des sols</t>
  </si>
  <si>
    <t>SDC</t>
  </si>
  <si>
    <t>dans le cadre du programme Transae; animation PNRCMO et APAD</t>
  </si>
  <si>
    <t>Bac de Baugy l'Hospice</t>
  </si>
  <si>
    <t xml:space="preserve">"Découvrir l'utilisation des huiles essentielles et la géobiologies-bien-être animal" </t>
  </si>
  <si>
    <t xml:space="preserve">Théorie, échanges collectifs et tours de plaine 
</t>
  </si>
  <si>
    <t>4h ou 7h</t>
  </si>
  <si>
    <t>"Agir sur le carbone, c'est bon pour le climat "</t>
  </si>
  <si>
    <t>-</t>
  </si>
  <si>
    <t>Formation d'une journée en groupe sur le thème : Pratiquer le désherbage mixte sur son exploitation (tour de plaine, démonstration et échanges collectif)</t>
  </si>
  <si>
    <t>PHY5 / PHY6</t>
  </si>
  <si>
    <t>Formation d'une journée en groupe sur le thème : Utiliser les leviers agronomiques dans son système de cultures  (tour de plaine et échanges collectif)</t>
  </si>
  <si>
    <t>Formation d'une journée en groupe sur le thème : Parfaire les rations de son troupeau en valoraisant sa propre production (formation en salle et échanges collectif)</t>
  </si>
  <si>
    <t>HBV1 / HBV2</t>
  </si>
  <si>
    <t>Formation d'une journée en groupe sur le thème : Changement climatique et gestion optimale du pâturage</t>
  </si>
  <si>
    <t>Formation d'une journée en groupe sur le thème : Augmenter les auxilières des cultures au sein de ses IAE</t>
  </si>
  <si>
    <t>CIFF / IAE1 / IAE2</t>
  </si>
  <si>
    <t>Formation d'une journée en groupe sur le thème : Entretenir ses haies de façon durable</t>
  </si>
  <si>
    <t>Formation d'une journée en groupe sur le thème : Améliorer ses techniques de semis direct afin de répondre au mieux aux exigences des MAEC</t>
  </si>
  <si>
    <t>Formation d'une journée en groupe sur le thème : La vie du sol, un élément incontournable de la réussite en semis direct</t>
  </si>
  <si>
    <t>Tour de plaine et échanges collectifs via le groupe d'agriculteur de la CCP (encadré par un technicien agricole et l'animatrice agricole, dispensé par la CCPP)</t>
  </si>
  <si>
    <t>NON mais gratuite</t>
  </si>
  <si>
    <t>ARB</t>
  </si>
  <si>
    <t>MAEC Eau – Réduction des herbicides – Grandes Cultures
MAEC Eau – Réduction des pesticides – Grandes Cultures</t>
  </si>
  <si>
    <t>MAEC Biodiversité -Création de couverts d’intérêt faunistique et floristique favorables aux pollinisateurs et aux oiseaux communs des milieux agricoles
MAEC Biodiversité - Protection des espèces</t>
  </si>
  <si>
    <t>Gestion des Prairies</t>
  </si>
  <si>
    <t>Théorie/ terrain et échanges collectifs</t>
  </si>
  <si>
    <t>1/2 journée ou journée complète (à définir)</t>
  </si>
  <si>
    <t>à définir</t>
  </si>
  <si>
    <t>MHUx / ESPx /PRA3</t>
  </si>
  <si>
    <t>Diagnostic prairial</t>
  </si>
  <si>
    <t>MHUx / PRA3</t>
  </si>
  <si>
    <t>Patu'Ajuste</t>
  </si>
  <si>
    <t>MHUx / PRA3 / IAE1</t>
  </si>
  <si>
    <t>Adaptation au changement Climatique</t>
  </si>
  <si>
    <t>ESPx / CPRA</t>
  </si>
  <si>
    <t>Gestion zones herbacées en milieu agricole</t>
  </si>
  <si>
    <t>Aménager son parcellaire</t>
  </si>
  <si>
    <t xml:space="preserve">Entretien des haies </t>
  </si>
  <si>
    <t>agroforesterie en grandes cultures</t>
  </si>
  <si>
    <t>Gestion réseau de haies</t>
  </si>
  <si>
    <t>Valorisation des haies</t>
  </si>
  <si>
    <t>Entretien et aménagement des mares</t>
  </si>
  <si>
    <t>Problématique de l'abreuvement en zones humides</t>
  </si>
  <si>
    <t>Nombre d'agriculteurs potentiels*</t>
  </si>
  <si>
    <t>Découvrir l'utilisation des huiles essentielles et la géobiologie-bien être animal</t>
  </si>
  <si>
    <t>Connaitre, observer et valoriser les auxillaires des cultures</t>
  </si>
  <si>
    <t>Découvrir l'apiculture et l'intérêt des abeilles pour l'agriculture</t>
  </si>
  <si>
    <t>Découvrir les principaux auxiliaires des cultures</t>
  </si>
  <si>
    <t>Concevoir un projet agroforestier</t>
  </si>
  <si>
    <t xml:space="preserve">Choisir et réussir ses couverts végétaux </t>
  </si>
  <si>
    <t>Optimiser la gestion de sa fertilisation azotée du colza</t>
  </si>
  <si>
    <t>OUV</t>
  </si>
  <si>
    <t xml:space="preserve">Théorie, échanges collectifs et tique </t>
  </si>
  <si>
    <t>4 h</t>
  </si>
  <si>
    <t>Nombre agriculteurs potentiels</t>
  </si>
  <si>
    <t>Aller vers un système polyculture élevage résiliant</t>
  </si>
  <si>
    <t>bilan fourrage, choix des intercultures, calcul IFT / 
salle</t>
  </si>
  <si>
    <t>1j</t>
  </si>
  <si>
    <t>CIFF, HBV2, HBV3, MHU1, MHU2, OUV1, OUV 2</t>
  </si>
  <si>
    <t>Favoriser la biodiversité sur mon exploitation, de la théorie à la conception</t>
  </si>
  <si>
    <t>aménagement de territoire, biodiversité/auxiliaires,haies, types de couverts/prairies, calucl IFT
salle</t>
  </si>
  <si>
    <t>CIFF, MHU1, MHU2, OUV1, OUV 2</t>
  </si>
  <si>
    <t>Plus d'agronomie dans son système cultural</t>
  </si>
  <si>
    <t>rotation/agronomie/système de culture,cultures BNI, aménagement du territoire, biodiversité/auxiliaires/haies/types de couvert
spécialisation : désherbage mécanique, calcul IFT
salle</t>
  </si>
  <si>
    <t>1j
spécialisa-tion 1/2j</t>
  </si>
  <si>
    <t>Ou formations sur les mêmes thématiques</t>
  </si>
  <si>
    <t>sur les 3 années</t>
  </si>
  <si>
    <t>Dans le cas où le nombre d'exploitaitons engagées ne permettrait pas la mise en place des formations, l'exploitant pourra participer à une 1/2 journée collective d'échanges de pratiques et de sensibilisation sur des thématiques techniques en lien avec la MAEC.
En dernier recours, des rencontres individuelles pourront être réalisées si aucune formation ou rendez-vous collectif n'est possible</t>
  </si>
  <si>
    <t>PAEC CMO Erosion</t>
  </si>
  <si>
    <t>enjeux secondaires : eau, prairies, biodiversité</t>
  </si>
  <si>
    <t xml:space="preserve">Dreuil-lès-Amiens, Saveuse, Dury, Rumigny, Cagny, Amiens, Pont-de-Metz, Salouël, Saint-Fuscien, Seux, Gentelles, Longueau, Grattepanche, Saint-Sauflieu, Creuse, Clairy-Saulchoix, Rivery, Argœuves, Bacouel-sur-Selle, Nampty, Lamotte-Brebière, Pissy, Ailly-sur-Somme, Sains-en-Amiénois, Fouencamps, Hébécourt, Fluy, Revelles, Quevauvillers, Saleux, Camon, Prouzel, Namps-Maisnil, Glisy, Ô-de-Selle, Ferrières, Vers-sur-Selle, Plachy-Buyon, Oresmaux, Blangy-Tronville, Fossemanant, Guignemicourt, Boves, Cottenchy, </t>
  </si>
  <si>
    <t xml:space="preserve">Hémévillers, Belloy, Margny-lès-Compiègne, Choisy-au-Bac, Lacroix-Saint-Ouen, Jaux, Clairoix, Compiègne, Venette, Vieux-Moulin, Maignelay-Montigny, Canly, Montgérain, Noroy, Bienville, Cuvilly, Armancourt, Ravenel, Estrées-Saint-Denis, Montmartin, Neufvy-sur-Aronde, Le Plessier-sur-Saint-Just, Léglantiers, Fouilleuse, Montiers, Morienval, Lieuvillers, Bailleul-le-Soc, Wacquemoulin, Antheuil-Portes, Gournay-sur-Aronde, Moyenneville, La Neuville-Roy, Baugy, Erquinvillers, Plainval, Saint-Martin-aux-Bois, Cernoy, Pronleroy, Lachelle, Braisnes-sur-Aronde, Grandvillers-aux-Bois, Coudun, Francières, Rouvillers, Cressonsacq, Tricot, Ménévillers, Lataule, Méry-la-Bataille, Monchy-Humières, Angivillers, Saint-Jean-aux-Bois, Le Meux, Pierrefonds, Arsy, Jonquières, Coivrel, Ressons-sur-Matz, Remy, </t>
  </si>
  <si>
    <t xml:space="preserve">Abancourt, Hornoy-le-Bourg, Marlers, Vraignes-lès-Hornoy, Fouilloy, Caulières, Morvillers-Saint-Saturnin, Éplessier, Saint-Thibault, Romescamps, Fourcigny, </t>
  </si>
  <si>
    <t xml:space="preserve">Méneslies, Le Mazis, Saint-Léger-sur-Bresle, Friaucourt, Le Quesne, Escles-Saint-Pierre, Saint-Quentin-la-Motte-Croix-au-Bailly, Oust-Marest, Arguel, Tilloy-Floriville, Frettemeule, Abancourt, Gamaches, Dargnies, Foucaucourt-Hors-Nesle, Offignies, Yzengremer, Martainneville, Rambures, Cerisy-Buleux, Senarpont, Inval-Boiron, Beauchamps, Gourchelles, Fressenneville, Neuville-Coppegueule, Saint-Aubin-Rivière, Quincampoix-Fleuzy, Bermesnil, Saint-Germain-sur-Bresle, Saint-Valery, Aigneville, Maisnières, Lannoy-Cuillère, Neslette, Tours-en-Vimeu, Embreville, Lafresguimont-Saint-Martin, Blargies, Nesle-l'Hôpital, Liomer, Gauville, Vismes, Brocourt, Villeroy, Morvillers-Saint-Saturnin, Bouttencourt, Buigny-lès-Gamaches, Beaucamps-le-Jeune, Bouillancourt-en-Séry, Bouvaincourt-sur-Bresle, Woincourt, Beaucamps-le-Vieux, Andainville, Le Translay, Ramburelles, Framicourt, Mers-les-Bains, </t>
  </si>
  <si>
    <t xml:space="preserve">Doméliers, Fléchy, Villers-Vicomte, Thieux, Cormeilles, Rouvroy-les-Merles, Troussencourt, Esquennoy, Puits-la-Vallée, Hardivillers, Maisoncelle-Tuilerie, Oursel-Maison, Bonvillers, Paillart, Beauvoir, Bonneuil-les-Eaux, Sainte-Eusoye, Folleville, Chepoix, Fontaine-Bonneleau, Saint-André-Farivillers, Breteuil, Le Crocq, Francastel, Froissy, Wavignies, La Faloise, Noyers-Saint-Martin, Vendeuil-Caply, Noirémont, Le Saulchoy, Ansauvillers, Campremy, Tartigny, Lachaussée-du-Bois-d'Écu, </t>
  </si>
  <si>
    <t xml:space="preserve">Ligescourt, Vaux-Marquenneville, Mareuil-Caubert, Abbeville, Bourseville, Neuilly-le-Dien, Ponches-Estruval, Estrées-lès-Crécy, Yvrench, Saint-Blimont, Friaucourt, Citerne, Limeux, Frucourt, Saint-Quentin-la-Motte-Croix-au-Bailly, Estrébœuf, Maison-Ponthieu, Condé-Folie, Franleu, Crécy-en-Ponthieu, Nibas, Long, Saigneville, Argoules, Vitz-sur-Authie, Longpré-les-Corps-Saints, Machiel, Yonval, Valines, Yzengremer, Béthencourt-sur-Mer, Mons-Boubert, Ochancourt, Gueschart, Liercourt, Fressenneville, Arrest, Chépy, Vaudricourt, Brailly-Cornehotte, Fontaine-sur-Somme, Ailly-le-Haut-Clocher, Tœufles, Tully, Moyenneville, Regnière-Écluse, Huchenneville, Doudelainville, Cahon, Brutelles, Huppy, Tours-en-Vimeu, Pendé, Woignarue, Friville-Escarbotin, Sorel-en-Vimeu, Lanchères, Ault, Le Boisle, Bray-lès-Mareuil, Machy, Miannay, Boufflers, Acheux-en-Vimeu, Cambron, Hallencourt, Dominois, Bailleul, Vron, Boismont, Vironchaux, Érondelle, Quesnoy-le-Montant, Ercourt, Woincourt, Béhen, Grébault-Mesnil, Mers-les-Bains, Nampont, Feuquières-en-Vimeu, </t>
  </si>
  <si>
    <t xml:space="preserve">Ligescourt, Forest-l'Abbaye, Vauchelles-les-Quesnoy, Drucat, Épagne-Épagnette, Mareuil-Caubert, Vercourt, Abbeville, Bourseville, Port-le-Grand, Yaucourt-Bussus, Neuilly-le-Dien, Estrées-lès-Crécy, Yvrench, Forest-Montiers, Saint-Blimont, Friaucourt, Bellancourt, Fontaine-sur-Maye, Cocquerel, Estrébœuf, Maison-Ponthieu, Condé-Folie, Crécy-en-Ponthieu, Pont-Remy, Nibas, Neufmoulin, Long, Saigneville, Argoules, Vitz-sur-Authie, Longpré-les-Corps-Saints, Machiel, Noyelles-sur-Mer, Yonval, Mons-Boubert, Ponthoile, Froyelles, Noyelles-en-Chaussée, Gueschart, Liercourt, Arrest, Vaudricourt, Oneux, Brailly-Cornehotte, Fontaine-sur-Somme, Ailly-le-Haut-Clocher, Buigny-l'Abbé, Moyenneville, Regnière-Écluse, Francières, Sailly-Flibeaucourt, Huchenneville, Eaucourt-sur-Somme, Saint-Riquier, Cahon, Brutelles, Nouvion, Yvrencheux, Domvast, Le Titre, Pendé, Woignarue, Villers-sur-Authie, Sorel-en-Vimeu, Lanchères, Ault, Le Boisle, Bray-lès-Mareuil, Machy, Arry, Miannay, Bernay-en-Ponthieu, Boufflers, Acheux-en-Vimeu, Millencourt-en-Ponthieu, Cambron, Hallencourt, Bailleul, Vron, Boismont, Vironchaux, Érondelle, Quesnoy-le-Montant, Grand-Laviers, Caours, Nampont, </t>
  </si>
  <si>
    <t xml:space="preserve">Franqueville, Montonvillers, Heuzecourt, Hérissart, Albert, Doullens, Drucat, Auchonvillers, Varennes, Raincheval, Villers-Bocage, Gorges, Yaucourt-Bussus, Berneuil, Ovillers-la-Boisselle, Buigny-Saint-Maclou, Surcamps, Thiepval, Vadencourt, Wargnies, Boisbergues, La Vicogne, Beaumetz, Puchevillers, Coulonvillers, Englebelmer, Lamotte-Buleux, Ergnies, Crécy-en-Ponthieu, Senlis-le-Sec, Millencourt, Terramesnil, Forceville, Baizieux, Bouquemaison, Flesselles, Vignacourt, Maison-Roland, Bertrancourt, Halloy-lès-Pernois, Gapennes, Colincamps, Talmas, Lanches-Saint-Hilaire, Humbercourt, Neuvillette, Vaux-en-Amiénois, Mesnil-Martinsart, Domléger-Longvillers, Hautvillers-Ouville, Berteaucourt-les-Dames, Domart-en-Ponthieu, Bussus-Bussuel, Mailly-Maillet, Contay, Cramont, Aveluy, Lucheux, Longuevillette, Neuilly-l'Hôpital, Bernaville, Ribeaucourt, Fienvillers, Ribemont-sur-Ancre, Toutencourt, Oneux, Épécamps, Bonneville, Mézerolles, Domesmont, Ailly-le-Haut-Clocher, Rubempré, Canchy, Belloy-sur-Somme, Gézaincourt, Agenvillers, Autheux, Grandcourt, Pozières, Brucamps, Acheux-en-Amiénois, Beaumont-Hamel, Le Meillard, Beaucourt-sur-l'Ancre, Dompierre-sur-Authie, Hem-Hardinval, Fransu, Bertangles, Occoches, Hédauville, Canaples, Bus-lès-Artois, Domqueur, Le Titre, Prouville, Gorenflos, Bresle, Pernois, Beauval, Fricourt, Outrebois, Mesnil-Domqueur, Bavelincourt, Warloy-Baillon, Hénencourt, Heilly, Bouzincourt, Beauquesne, Barly, Saint-Léger-lès-Domart, Candas, Fieffes-Montrelet, Vauchelles-lès-Domart, Contalmaison, Naours, </t>
  </si>
  <si>
    <t>LISTE COMMUNES</t>
  </si>
  <si>
    <t xml:space="preserve">Essuiles, Fouquerolles, Rémérangles, Lafraye, Haudivillers, Bresles, Bulles, Auneuil, La Rue-Saint-Pierre, Reuil-sur-Brêche, Montreuil-sur-Brêche, Litz, Le Fay-Saint-Quentin, </t>
  </si>
  <si>
    <t xml:space="preserve">Tracy-le-Mont, Berneuil-sur-Aisne, Morienval, Saint-Crépin-aux-Bois, Nampcel, Vassens, Audignicourt, Tracy-le-Val, Saint-Jean-aux-Bois, Pierrefonds, Attichy, Moulin-sous-Touvent, Autrêches, </t>
  </si>
  <si>
    <t xml:space="preserve">Saint-Aubin-en-Bray, Le Vauroux, Glatigny, Blacourt, Hodenc-en-Bray, Labosse, Espaubourg, Villembray, Lalande-en-Son, Savignies, Saint-Paul, Talmontiers, Puiseux-en-Bray, Saint-Germer-de-Fly, La Houssoye, Lalandelle, Le Vaumain, Flavacourt, Saint-Pierre-es-Champs, Villers-Saint-Barthélemy, Ons-en-Bray, Lhéraule, Le Coudray-Saint-Germer, Cuigy-en-Bray, Villers-sur-Auchy, Lachapelle-aux-Pots, Sérifontaine, </t>
  </si>
  <si>
    <t xml:space="preserve">Genech, Gondecourt, Phalempin, Templeuve-en-Pévèle, Camphin-en-Carembault, Chemy, Herrin, La Neuville, Ennevelin, Attiches, Tourmignies, Avelin, </t>
  </si>
  <si>
    <t xml:space="preserve">Saint-Aubin-en-Bray, Le Vauroux, Blacourt, Hodenc-en-Bray, Labosse, Espaubourg, Villembray, Lalande-en-Son, Saint-Germer-de-Fly, Lalandelle, Le Vaumain, Flavacourt, Villers-Saint-Barthélemy, Ons-en-Bray, Lhéraule, Le Coudray-Saint-Germer, Cuigy-en-Bray, Lachapelle-aux-Pots, Sérifontaine, </t>
  </si>
  <si>
    <t xml:space="preserve">Vrocourt, Hécourt, Laverrière, Buicourt, Crillon, Fontaine-Lavaganne, Élencourt, Glatigny, Blacourt, Escles-Saint-Pierre, Campeaux, La Neuville-sur-Oudeuil, Milly-sur-Thérain, Hodenc-en-Bray, Loueuse, Gerberoy, Dargies, Sommereux, Abancourt, Wambez, Saint-Maur, Saint-Omer-en-Chaussée, Lachapelle-sous-Gerberoy, Blicourt, Morvillers, Senantes, Lavacquerie, Hanvoile, Héricourt-sur-Thérain, Thérines, Rothois, Songeons, Gourchelles, Villembray, Formerie, Bonnières, Marseille-en-Beauvaisis, Poix-de-Picardie, Roy-Boissy, Escames, Villers-Vermont, Villers-sur-Bonnières, Achy, Martincourt, Gaudechart, Sarcus, Fouilloy, Mureaumont, Rotangy, Sully, Quincampoix-Fleuzy, Saint-Valery, Pisseleu, Belleuse, Canny-sur-Thérain, Fontaine-Bonneleau, Hannaches, Haute-Épine, Ernemont-Boutavent, Lannoy-Cuillère, Saint-Germer-de-Fly, Sentelie, Saint-Quentin-des-Prés, Bazancourt, Saint-Deniscourt, Fontenay-Torcy, Omécourt, Offoy, Saint-Samson-la-Poterie, Blargies, Luchy, Haucourt, Oudeuil, Morvillers-Saint-Saturnin, Lhéraule, Équennes-Éramecourt, Cuigy-en-Bray, Saint-Thibault, Hescamps, Villers-sur-Auchy, Daméraucourt, Romescamps, La Neuville-Vault, Prévillers, Thoix, </t>
  </si>
  <si>
    <t xml:space="preserve">Mesnil-Bruntel, Éterpigny, Sailly-le-Sec, Pargny, Biaches, Doingt, Eppeville, Ham, Péronne, Éclusier-Vaux, Sailly-Laurette, Vaire-sous-Corbie, Proyart, Athies, Bray-sur-Somme, Sancourt, Frise, Brie, Cerisy, Morcourt, Vaux-sur-Somme, Maricourt, Le Hamel, Offoy, Suzanne, Pithon, Curlu, Saint-Christ-Briost, Feuillères, Villers-Carbonnel, Cappy, Chipilly, La Neuville-lès-Bray, Cléry-sur-Somme, Falvy, Béthencourt-sur-Somme, Hem-Monacu, Hombleux, Ennemain, Cizancourt, Cartigny, </t>
  </si>
  <si>
    <t xml:space="preserve">Athies-sous-Laon, Laon, Chérêt, Festieux, Martigny-Courpierre, Parfondru, Veslud, Eppes, Orgeval, Bruyères-et-Montbérault, Montchâlons, Vorges, </t>
  </si>
  <si>
    <t xml:space="preserve">Sissonne, Montaigu, Samoussy, Liesse-Notre-Dame, Missy-lès-Pierrepont, Sainte-Preuve, Vesles-et-Caumont, Marchais, Mâchecourt, Chivres-en-Laonnois, Pierrepont, Grandlup-et-Fay, Gizy, </t>
  </si>
  <si>
    <t xml:space="preserve">Amigny-Rouy, Chauny, Ognes, Tergnier, Viry-Noureuil, Noyon, Salency, Servais, Andelain, Pontoise-lès-Noyon, Bichancourt, Pont-l'Évêque, Deuillet, Charmes, Varesnes, Bailly, Manicamp, Babœuf, Brétigny, Ribécourt-Dreslincourt, Béhéricourt, Morlincourt, Passel, Quierzy, Montmacq, Saint-Léger-aux-Bois, Thourotte, Saint-Paul-aux-Bois, Appilly, Abbécourt, Beautor, La Fère, Autreville, Pimprez, Sempigny, Condren, Marest-Dampcourt, Sinceny, Cambronne-lès-Ribécourt, Chiry-Ourscamp, </t>
  </si>
  <si>
    <t xml:space="preserve">Soues, Warsy, Becquigny, Cavillon, Hangest-sur-Somme, La Neuville-Sire-Bernard, Crouy-Saint-Pierre, Boussicourt, Chirmont, Remiencourt, Trois-Rivières, Braches, Thézy-Glimont, Caix, Ailly-sur-Noye, Fouencamps, Marcelcave, Berteaucourt-lès-Thennes, Bettencourt-Rivière, Dommartin, Oissy, Folleville, Hailles, Guyencourt-sur-Noye, Morisel, Guillaucourt, Le Mesge, Arvillers, Cayeux-en-Santerre, Wiencourt-l'Équipée, Chaussoy-Epagny, Hiermont, Ignaucourt, Riencourt, Hangard, La Faloise, Davenescourt, Thennes, Aubercourt, Domart-sur-la-Luce, Moreuil, Airaines, Boves, Cottenchy, Démuin, </t>
  </si>
  <si>
    <t xml:space="preserve">Dreuil-lès-Amiens, Drucat, Épagne-Épagnette, Mareuil-Caubert, Montigny-sur-l'Hallue, Cagny, Amiens, Abbeville, Bourdon, Soues, Warsy, Longueau, Béhencourt, Cocquerel, Rivery, Argœuves, Becquigny, Hangest-sur-Somme, Condé-Folie, Marquivillers, Pont-Remy, Neufmoulin, Long, Lamotte-Brebière, Saint-Sauveur, Crouy-Saint-Pierre, Longpré-les-Corps-Saints, Hornoy-le-Bourg, Picquigny, Fouilloy, Roye, Halloy-lès-Pernois, Ville-le-Marclet, Contay, Thézy-Glimont, La Chaussée-Tirancourt, L'Étoile, Liercourt, Vecquemont, Ailly-sur-Somme, Caix, Aubigny, L'Échelle-Saint-Aurin, Fouencamps, Querrieu, Fontaine-sur-Somme, Bettencourt-Rivière, Belloy-sur-Somme, Flixecourt, Folleville, Saint-Vaast-en-Chaussée, Eaucourt-sur-Somme, Camon, Saint-Riquier, Arvillers, Cayeux-en-Santerre, Canaples, Guerbigny, Glisy, Villers-lès-Roye, Pont-Noyelles, Bray-lès-Mareuil, Yzeux, Bavelincourt, Daours, Corbie, Davenescourt, Saint-Mard, Breilly, Beaucourt-sur-l'Hallue, Fréchencourt, Érondelle, Andechy, Blangy-Tronville, Caours, Boves, Bussy-lès-Daours, </t>
  </si>
  <si>
    <t xml:space="preserve">Aubrometz, Beaurainville, Diéval, Béthencourt, Loon-Plage, Armbouts-Cappel, Armentières, Merville, Bourbourg, Cappelle-la-Grande, Caudry, Coudekerque-Branche, Erquinghem-Lys, Estaires, Grande-Synthe, Grand-Fort-Philippe, Leffrinckoucke, Looberghe, Morbecque, Nieppe, Saint-Georges-sur-l'Aa, Saint-Jans-Cappel, Téteghem-Coudekerque-Village, Marck, Anzin-Saint-Aubin, Arques, Barlin, Berck, Campagne-lès-Wardrecques, Coulogne, Étaples, Groffliers, Guarbecque, Guemps, Haillicourt, Isbergues, Maisnil-lès-Ruitz, Oye-Plage, Ramecourt, Saint-Laurent-Blangy, Sangatte, Le Touquet-Paris-Plage, Tubersent, Steenwerck, Bimont, Dunkerque, Ourton, Galametz, Willeman, Neuilly-le-Dien, Bailleul, Ponches-Estruval, Neulette, Magnicourt-sur-Canche, Bernâtre, Saint-Denœux, Rougefay, Neuville-Bourjonval, Éclimeux, Viesly, Ligny-sur-Canche, Cappelle-Brouck, Rebreuve-sur-Canche, Boubers-sur-Canche, Hernicourt, Incourt, Maizicourt, La Comté, Bécourt, Hazebrouck, Béalcourt, Fresnoy, Conchy-sur-Canche, Houvin-Houvigneul, Lorgies, Hermin, Monts-en-Ternois, Campagne-lès-Hesdin, Buneville, Bours, Bourthes, Aumerval, Moncheaux-lès-Frévent, Marquion, Calais, Lestrem, Boyaval, Hucqueliers, Souastre, Ostreville, Uxem, Frévent, Vieux-Berquin, Rœux, Ledinghem, Metz-en-Couture, Pierremont, Huclier, Sachin, Argoules, Warhem, Vitz-sur-Authie, Saint-Amand, Hestrus, Aix-en-Ergny, Sainte-Austreberthe, Havrincourt, Nortkerque, Marconne, Sailly-sur-la-Lys, Magnicourt-en-Comte, Saint-Venant, Maisnil, Auxi-le-Château, Warlincourt-lès-Pas, Noyelle-Vion, Airon-Notre-Dame, Sains-lès-Pernes, Neuville-au-Cornet, Sars-le-Bois, Wallon-Cappel, Tortefontaine, Herlin-le-Sec, Séricourt, Loison-sur-Créquoise, Auchy-lès-Hesdin, Nédon, La Loge, Berles-au-Bois, Renescure, Killem, Thun-Saint-Martin, Clenleu, Vieille-Église, Rumilly, Conteville-en-Ternois, Auchy-au-Bois, Thiennes, Érin, Frévillers, Blaringhem, Watten, Boffles, Acq, Bailleul-lès-Pernes, Marest, Sempy, Roquetoire, Bezinghem, Méteren, Fontaine-Notre-Dame, Sainte-Marie-Kerque, Beugin, Bierne, Regnauville, Thiembronne, Marles-sur-Canche, Parenty, Offin, Hermaville, Nœux-lès-Auxi, Waben, Villers-Plouich, Créquy, Trescault, Thièvres, Linzeux, Buire-le-Sec, Étrun, Vieil-Hesdin, Westrehem, Athies, Vacquerie-le-Boucq, Saint-Pierre-Brouck, Marant, Nuncq-Hautecôte, Ardres, Baralle, Marenla, Saint-Michel-sous-Bois, Lisbourg, Millam, Saint-Josse, Hesdin, Ruitz, Bergueneuse, Wambercourt, Vacqueriette-Erquières, Duisans, Maresville, Gaudiempré, Anneux, Gravelines, Pas-en-Artois, Pelves, Saint-Georges, Embry, Gouzeaucourt, Villers-au-Bois, Saint-Rémy-au-Bois, Hénu, Wail, Habarcq, Gouy-en-Ternois, Wavrans-sur-Ternoise, Conchil-le-Temple, Maintenay, Monchy-Cayeux, Tramecourt, Humbert, Bernieulles, Fortel-en-Artois, Noyelles-lès-Humières, Cormont, Audruicq, Croix-en-Ternois, Spycker, Ham-en-Artois, Linghem, Wamin, Vaulx, Enquin-sur-Baillons, Haute-Avesnes, Plouvain, Caumont, Famechon, Haravesnes, Ruminghem, Willencourt, Hesmond, Mont-Saint-Éloi, Ghyvelde, Fampoux, Gennes-Ivergny, Crépy, Wicquinghem, Sains-lès-Marquion, Quœux-Haut-Maînil, Humières, Lesdain, Inxent, Œuf-en-Ternois, Bonnières, Guinecourt, Orville, Anvin, Guisy, Fontaine-lès-Boulans, Récourt, Nédonchel, Sailly-au-Bois, Avesnes, Brouckerque, Villers-Guislain, Lespinoy, Chérisy, Tilly-Capelle, Beaumerie-Saint-Martin, Saudemont, Flêtre, Quilen, Brias, Fiefs, Racquinghem, Thièvres, Tollent, Huby-Saint-Leu, Montcavrel, Eps, Pernes, Fillièvres, Roëllecourt, Feuchy, Bouin-Plumoison, Humerœuille, Les Attaques, Beauvoir-Wavans, Grigny, Campagne-lès-Boulonnais, Maisoncelle, Beussent, Ligny-lès-Aire, Febvin-Palfart, Caullery, Gauchin-Verloingt, Béalencourt, Haverskerque, Fontaine-lès-Hermans, Teneur, Blangy-sur-Ternoise, Maninghem, Chériennes, Lattre-Saint-Quentin, Le Ponchel, Wismes, Valhuon, Tangry, Hauteville, Aubin-Saint-Vaast, Esnes, Villers-l'Hôpital, Vaudringhem, Équirre, Saint-Léger-lès-Authie, Beutin, Brimeux, Fosseux, Sarton, Heuchin, Prédefin, Fleury, Hiermont, Cucq, Ergny, Fressin, Mont-Bernanchon, Le Boisle, Bermicourt, Saint-Acheul, Ambrines, Élincourt, Gauchin-Légal, Fresnicourt-le-Dolmen, Amettes, Wardrecques, Labroye, Estréelles, Buire-au-Bois, Ambricourt, Recques-sur-Course, Frohen-sur-Authie, Saint-Omer-Capelle, Remaisnil, Torcy, Sibiville, Fontaine-l'Étalon, Gouy-Saint-André, Boufflers, Crèvecœur-sur-l'Escaut, Attin, Troisvaux, Walincourt-Selvigny, Wancourt, Cantaing-sur-Escaut, Naves, Dominois, Rebreuve-Ranchicourt, Bergues, Bouret-sur-Canche, Beauvois, Pressy, Lebiez, Montigny-en-Cambrésis, Alette, Guémappe, Authie, Caucourt, Berlencourt-le-Cauroy, Berthen, Estrée, Couin, Barly, Holque, Cavron-Saint-Martin, Blingel, Douriez, Bréxent-Énocq, Le Parcq, Hoymille, Zoteux, Marœuil, Azincourt, Saulchoy, Neuville-sous-Montreuil, Foufflin-Ricametz, Saint-Folquin, Eswars, Merlimont, Quaëdypre, Royon, Zuydcoote, Coigneux, Rollancourt, Aix-en-Issart, Preures, Herly, Rang-du-Fliers, Ruyaulcourt, Longvilliers, Bray-Dunes, Maresquel-Ecquemicourt, Steenbecque, Craywick, Contes, </t>
  </si>
  <si>
    <t xml:space="preserve">Radinghem, Pys, Busnes, Busigny, Cassel, Beaumont-en-Cambrésis, La Bassée, Bauvin, Cambrai, Cuincy, Dechy, Montay, Douai, Neuville-Saint-Rémy, Niergnies, Escaudœuvres, Flers-en-Escrebieux, Herzeele, Hondeghem, Jeumont, Lambres-lez-Douai, Marpent, Proville, Saint-Python, Sainghin-en-Weppes, Solesmes, Wormhout, Aire-sur-la-Lys, Achicourt, Agny, Aix-Noulette, Amplier, Angres, Annezin, Auchel, Avion, Barlin, Calonne-Ricouart, Béthune, Beuvry, Billy-Berclau, Billy-Montigny, Blendecques, Bouvigny-Boyeffles, Bully-les-Mines, Burbure, Camiers, Courrières, Carvin, Divion, Drouvin-le-Marais, Éleu-dit-Leauwette, Douvrin, Drocourt, Grenay, Étaples, Fouquières-lès-Lens, Cauchy-à-la-Tour, Guînes, Haillicourt, Marles-les-Mines, Hames-Boucres, Harnes, Hulluch, Hénin-Beaumont, Hersin-Coupigny, Isbergues, Houdain, Labourse, Lambres, Loison-sous-Lens, Lapugnoy, Lefaux, Lens, Liévin, Lillers, Mazingarbe, Méricourt, Meurchin, Nœux-les-Mines, Noyelles-sous-Lens, Pont-à-Vendin, Rouvroy, Sailly-Labourse, Sains-en-Gohelle, Saint-Michel-sur-Ternoise, Saint-Omer, Saint-Pol-sur-Ternoise, Sallaumines, Tubersent, Vendin-lès-Béthune, Vendin-le-Vieil, Vermelles, Vimy, Wingles, Violaines, Wittes, Éperlecques, Rumilly-en-Cambrésis, Gavrelle, Noordpeene, Eringhem, Bruay-la-Buissière, Doullens, Grouches-Luchuel, Dainville, Ledringhem, Simencourt, Reumont, Coquelles, Vincly, Masnières, Ourton, Séranvillers-Forenville, Lauwin-Planque, Mametz, Montrécourt, Noyelles-sur-Escaut, Estevelles, Oppy, Lebucquière, Bambecque, Ternas, Saint-Augustin, Vendhuile, Frémicourt, Neuville-Vitasse, Coupelle-Vieille, Bersillies, Thélus, Esquelbecq, Roussent, Éterpigny, Gouves, Villers-au-Flos, Noyelles-sous-Bellonne, Le Quesnoy-en-Artois, Rivière, Haynecourt, Villers-Outréaux, Saint-Léger, Agnez-lès-Duisans, Saint-Benin, Pihen-lès-Guînes, Cambrin, Loos-en-Gohelle, Boiry-Notre-Dame, Courcelette, Mencas, Bénifontaine, La Comté, Wanquetin, Bécourt, Hazebrouck, Sauchy-Lestrée, Assevent, Pommereuil, Lorgies, Laires, Beaudignies, Inchy-en-Artois, Bourthes, Erchin, Blessy, Bollezeele, Forest-en-Cambrésis, Balinghem, Marquion, Zuytpeene, Arnèke, Serques, Grincourt-lès-Pas, Boeschepe, Caffiers, Calais, Bavinchove, Bugnicourt, Hucqueliers, Hordain, Rexpoëde, Souastre, Bienvillers-au-Bois, Servins, Souchez, Lépine, Brebières, Estrées, Bellinghem, Festubert, Abancourt, Épinoy, Saint-Inglevert, Écuires, Troisvilles, La Calotterie, Verchocq, Landrethun-lès-Ardres, Haplincourt, Colline-Beaumont, Bissezeele, Vis-en-Artois, Warhem, Rombly, Ochtezeele, Béthonsart, Havrincourt, Saint-Souplet, Romeries, Verchin, Saint-Hilaire-Cottes, Brêmes, Zermezeele, Malincourt, Avesnes-les-Aubert, Frencq, Colleret, Vertain, Warlincourt-lès-Pas, Gœulzin, Esquerchin, Airon-Notre-Dame, Bantouzelle, Houlle, Étaing, Aubencheul-au-Bac, Hendecourt-lès-Cagnicourt, Givenchy-en-Gohelle, Tortequesne, Godewaersvelde, Saint-Martin-sur-Écaillon, Adinfer, Ablain-Saint-Nazaire, Bailleul-Sir-Berthoult, Mazinghem, Raillencourt-Sainte-Olle, Aubigny-en-Artois, Barastre, Berles-au-Bois, Killem, Thun-Saint-Martin, Vieil-Moutier, Élesmes, Pihem, Rumilly, Saint-Tricat, Rieux-en-Cambrésis, Haucourt, Blaringhem, Watten, Villers-Sire-Nicole, Artres, Tigny-Noyelle, Marest, Verchain-Maugré, Haisnes, Allouagne, Iwuy, Villers-Brûlin, Lozinghem, Quiéry-la-Motte, Roquetoire, Bezinghem, Cléty, Neuville-en-Avesnois, Fontaine-Notre-Dame, Wasnes-au-Bac, Sorrus, Wailly-Beaucamp, Beugin, Warlencourt-Eaucourt, Sepmeries, Thiembronne, Oudezeele, Boussois, Lugy, Hermaville, Waben, Hendecourt-lès-Ransart, Wemaers-Cappel, Créquy, Oost-Cappel, Douchy-lès-Ayette, Lucheux, La Madelaine-sous-Montreuil, Pitgam, Ecquedecques, Escalles, Neuvireuil, Palluel, Buire-le-Sec, Blairville, Lederzeele, Oxelaëre, Boisjean, Sauchy-Cauchy, Bailleulmont, Lisbourg, Millam, Saint-Josse, Merck-Saint-Liévin, Cambligneul, Givenchy-lès-la-Bassée, Clerques, Féchain, Duisans, Gaudiempré, Pas-en-Artois, Labeuvrière, Saint-Martin-d'Hardinghem, Pelves, Humbercamps, Villers-au-Bois, Autingues, Authieule, Habarcq, Mondicourt, Conchil-le-Temple, Saint-Vaast-en-Cambrésis, Rodelinghem, Couturelle, Bantigny, Cantin, Maintenay, Beaurains, Nempont-Saint-Firmin, Vendegies-sur-Écaillon, Hervelinghen, Vendegies-au-Bois, Nieurlet, Flesquières, Rimboval, Thun-l'Évêque, Ham-en-Artois, Linghem, Gouy-sous-Bellonne, Montreuil-sur-Mer, Berneville, Enquin-sur-Baillons, Plouvain, Ribécourt-la-Tour, Roucourt, Honnechy, Hem-Lenglet, Sancourt, Courset, Bermerain, Saulzoir, Bonningues-lès-Calais, Croisilles, Dohem, Crépy, Beaumetz-lès-Aire, Avesnes-le-Sec, Cuinchy, Fauquembergues, Biache-Saint-Vaast, Sainte-Marie-Cappel, Verton, Halinghen, Campigneulles-les-Petites, Haspres, Lesdain, Senlecques, Rémy, Estrée-Blanche, Pommier, Liettres, Doignies, Bailleulval, Terdeghem, Orville, Arleux, Ficheux, Puisieux, Wylder, Bourecq, Fontaine-lès-Boulans, Acheville, Quérénaing, Récourt, Monchy-le-Preux, Les Rues-des-Vignes, Arras, Estrun, Canlers, Broxeele, Sailly-lez-Cambrai, Savy-Berlette, Wulverdinghe, Chérisy, Wailly, Ecques, Beaumerie-Saint-Martin, Saudemont, Mazinghien, Fressies, Gosnay, Matringhem, Racquinghem, Nielles-lès-Ardres, Férin, Quend, Bavincourt, Audincthun, Hermies, Bourlon, Dehéries, Paillencourt, Norrent-Fontes, Berles-Monchel, Crochte, Febvin-Palfart, Bertry, Saint-Aubert, Lécluse, Willerval, Nielles-lès-Calais, Hamblain-les-Prés, Bois-Bernard, Bellonne, Courchelettes, Hondschoote, Ouve-Wirquin, Lespesses, Wismes, Villers-en-Cauchies, West-Cappel, Recquignies, Widehem, Tincques, Coupelle-Neuve, Hardifort, Tilloy-lès-Mofflaines, Martinpuich, Louches, Villers-sur-Authie, Erny-Saint-Julien, Beutin, Brimeux, Oblinghem, Marcoing, Capelle, Fouquières-lès-Béthune, Heuchin, Prédefin, Vaudricourt, Cucq, Beugny, Miraumont, Halloy, Floringhem, Hinges, Dennebrœucq, Auchy-les-Mines, Élincourt, Fresnicourt-le-Dolmen, Gonnehem, Provin, Bomy, Haussy, Basseux, Camblain-Châtelain, Vieux-Reng, Merckeghem, Buysscheure, Quiestède, Farbus, Brunémont, Hantay, Quernes, Carency, Verquin, Renty, Beaumetz-lès-Cambrai, Bazuel, Camblain-l'Abbé, Wavrechain-sous-Faulx, Saint-Sylvestre-Cappel, Bertincourt, Torcy, Mœuvres, Pommera, Landrethun-le-Nord, Reclinghem, Fréthun, Honnecourt-sur-Escaut, Fresnes-lès-Montauban, Crèvecœur-sur-l'Escaut, Thérouanne, Troisvaux, Inchy, Walincourt-Selvigny, Saulty, Neuville-Saint-Vaast, Rumaucourt, Beaumetz-lès-Loges, Gouy-en-Artois, Dury, Winnezeele, Fresnoy-en-Gohelle, Banteux, Rebreuve-Ranchicourt, Fléchin, Lières, Volckerinckhove, Eecke, Clairmarais, Helfaut, Monchiet, Clary, Montenescourt, Escarmain, Enquin-lez-Guinegatte, Le Sars, Ruesnes, Noyelles-lès-Vermelles, Tournehem-sur-la-Hem, Arleux-en-Gohelle, Verquigneul, Houtkerque, Neuvilly, Campigneulles-les-Grandes, Maretz, Rubrouck, Mercatel, Berthen, Sommaing, Hézecques, Bullecourt, Aubigny-au-Bac, Airon-Saint-Vaast, Saint-Aubin, Bouchain, Zegerscappel, Avroult, Ramillies, Warlus, Fouquereuil, Peuplingues, Hamel, Ruisseauville, Maurois, Bréxent-Énocq, Senlis, Boursies, Oisy-le-Verger, Ames, Fruges, Coyecques, Corbehem, Neuville-sous-Montreuil, Beaurain, Annay, Ferfay, Le Cateau-Cambrésis, Merlimont, Heuringhem, Saint-Martin-Choquel, Delettes, Monchy-au-Bois, Chocques, Quaëdypre, Annequin, Royon, Vitry-en-Artois, Hesdigneul-lès-Béthune, Preures, Witternesse, Écourt-Saint-Quentin, Vélu, Herly, Rang-du-Fliers, Ruyaulcourt, Caëstre, Saint-Momelin, Staple, Wavrans-sur-l'Aa, Sailly-en-Ostrevent, Izel-lès-Équerchin, Steenvoorde, </t>
  </si>
  <si>
    <t xml:space="preserve">Briastre, Éperlecques, Flers, Hautecloque, Écoivres, Boubers-lès-Hesmond, Rebreuve-sur-Canche, Villers-Sir-Simon, Boubers-sur-Canche, Conchy-sur-Canche, Lignereuil, Canettemont, Capelle-lès-Hesdin, Avondance, Warluzel, Villers-Châtel, Rebreuviette, Liencourt, Sainte-Austreberthe, Béthonsart, Le Souich, Nortkerque, Marconne, Bouquemaison, Mingoval, Noyelle-Vion, Blangerval-Blangermont, Tortefontaine, Humbercourt, Sains-lès-Fressin, Frévillers, Brévillers, Avesnes-le-Comte, Héricourt, Frévin-Capelle, Bezinghem, Chelers, Denier, Regnauville, Parenty, Offin, Créquy, Nuncq-Hautecôte, Vaulx-Vraucourt, Saint-Michel-sous-Bois, Hesdin, Sus-Saint-Léger, Cambligneul, Izel-lès-Hameau, Wambercourt, Grand-Rullecourt, Monchel-sur-Canche, Embry, Capelle-Fermont, Humbert, Zutkerque, Cormont, Rimboval, Herlincourt, Ruminghem, Hesmond, Manin, Raye-sur-Authie, Doudeauville, Polincove, Noreuil, Mouriez, Ivergny, Agnières, Savy-Berlette, Estrée-Wamin, Quilen, Marconnelle, Dompierre-sur-Authie, Bouin-Plumoison, Zouafques, Berles-Monchel, Guigny, Barly, Muncq-Nieurlet, Tincques, Beaudricourt, Fressin, Labroye, Planques, Saulty, Recques-sur-Hem, Bouret-sur-Canche, Lebiez, Hubersent, Neuvilly, Givenchy-le-Noble, Berlencourt-le-Cauroy, Holque, Beaufort-Blavincourt, Douriez, Sombrin, Croisette, Royon, Herly, </t>
  </si>
  <si>
    <t xml:space="preserve">Chantilly, La Chapelle-en-Serval, Pontarmé, Senlis, Thiers-sur-Thève, Mont-l'Évêque, Orry-la-Ville, Fontaine-Chaalis, Mortefontaine, Plailly, Coye-la-Forêt, </t>
  </si>
  <si>
    <t xml:space="preserve">Chantilly, Cramoisy, Creil, Duvy, Gouvieux, Lamorlaye, Nogent-sur-Oise, Montataire, Précy-sur-Oise, Saint-Maximin, Villers-Saint-Paul, Fresnoy-le-Luat, Nanteuil-le-Haudouin, Silly-le-Long, Rosières, Versigny, Crouy-en-Thelle, Ognes, Ercuis, Verneuil-en-Halatte, Ormoy-Villers, Neuilly-en-Thelle, Chèvreville, Thiverny, Baron, Trumilly, Fontaine-Chaalis, Péroy-les-Gombries, Montagny-Sainte-Félicité, Ermenonville, Villers-sous-Saint-Leu, Montlognon, Auger-Saint-Vincent, Saint-Leu-d'Esserent, Blaincourt-lès-Précy, Cires-lès-Mello, Boran-sur-Oise, </t>
  </si>
  <si>
    <t xml:space="preserve">Nanteuil-Notre-Dame, Brécy, Rocourt-Saint-Martin, Courmont, Goussancourt, Cramaille, Seringes-et-Nesles, Mareuil-en-Dôle, Fère-en-Tardenois, Épieds, Dravegny, Trélou-sur-Marne, Bruyères-sur-Fère, Villeneuve-sur-Fère, Saponay, Le Charmel, Beuvardes, Bézu-Saint-Germain, Arcy-Sainte-Restitue, Coincy, Armentières-sur-Ourcq, Chéry-Chartreuve, Fresnes-en-Tardenois, Loupeigne, Grisolles, Mont-Saint-Père, Ronchères, Coulonges-Cohan, Sergy, Cierges, Villers-sur-Fère, Verdilly, </t>
  </si>
  <si>
    <t xml:space="preserve">Le Favril, Avesnes-sur-Helpe, La Longueville, Aulnoye-Aymeries, Avesnelles, Bachant, Berlaimont, Feignies, Féron, Ferrière-la-Grande, Ferrière-la-Petite, Fourmies, Glageon, Leval, Rousies, Saint-Hilaire-sur-Helpe, Trélon, Wignehies, Étrœungt, Amfroipret, Taisnières-en-Thiérache, Taisnières-sur-Hon, Limont-Fontaine, Houdain-lez-Bavay, La Groise, Gommegnies, Pommereuil, Beaudignies, Bettrechies, Bry, Forest-en-Cambrésis, Croix-Caluyau, Eccles, Raucourt-au-Bois, Willies, Prisches, Cerfontaine, Dimechaux, Boulogne-sur-Helpe, Saint-Remy-Chaussée, Hestrud, Maroilles, Wargnies-le-Petit, Damousies, Haut-Lieu, Beaurieux, Hon-Hergies, Villers-Pol, Colleret, Frasnoy, Ors, Semousies, Locquignol, Wargnies-le-Grand, Bousignies-sur-Roc, Petit-Fayt, Monceau-Saint-Waast, Grand-Fayt, Wallers-en-Fagne, Saint-Waast, Baives, Dimont, Neuville-en-Avesnois, Sepmeries, Aibes, Sains-du-Nord, Boussières-sur-Sambre, Bas-Lieu, Floursies, Catillon-sur-Sambre, Lez-Fontaine, Beugnies, Bérelles, Vendegies-au-Bois, Bousies, Bellignies, Jolimetz, Obies, Obrechies, Écuélin, La Flamengrie, Beaufort, Sassegnies, Fontaine-au-Bois, Felleries, Orsinval, Solrinnes, Hecq, Éclaibes, Jenlain, Larouillies, Sars-Poteries, Solre-le-Château, Hargnies, Wattignies-la-Victoire, Ghissignies, Cousolre, Poix-du-Nord, Mazinghien, Rainsars, Moustier-en-Fagne, Englefontaine, Choisies, Ohain, Eppe-Sauvage, Recquignies, Floyon, Dourlers, Potelle, Beaurepaire-sur-Sambre, Ramousies, Noyelles-sur-Sambre, Eth, Salesches, Clairfayts, Mecquignies, Gognies-Chaussée, Robersart, Cartignies, Louvignies-Quesnoy, Anor, Preux-au-Bois, Villereau, Bazuel, Maresches, Landrecies, Audignies, Pont-sur-Sambre, Bavay, Bermeries, Saint-Aubin, Le Quesnoy, Vieux-Mesnil, Ruesnes, Saint-Remy-du-Nord, Gussignies, Quiévelon, Flaumont-Waudrechies, Dompierre-sur-Helpe, Rejet-de-Beaulieu, Sémeries, Liessies, Preux-au-Sart, Marbaix, </t>
  </si>
  <si>
    <t xml:space="preserve">Séry-Magneval, Les Hauts-Talican, Athies-sous-Laon, Laon, Pasly, Chamouille, Happencourt, Beaurainville, Ambrief, Harponville, Briquemesnil-Floxicourt, Rouville, Essuiles, Montreuil-aux-Lions, Sailly-le-Sec, Bury, Allonne, Beaurepaire, Beauvais, Chamant, Creil, Duvy, Fouquenies, Gouvieux, Goincourt, Lacroix-Saint-Ouen, Monchy-Saint-Éloi, Montataire, Pontarmé, Pont-Sainte-Maxence, Russy-Bémont, Saint-Maximin, Senlis, Villers-Saint-Paul, Maisnil-lès-Ruitz, Ramecourt, Roucy, Clairoix, Bimont, Dhuizel, Royaucourt-et-Chailvet, Méneslies, Saint-Eugène, Compiègne, Courtemont-Varennes, Nanteuil-Notre-Dame, Ourton, Pancy-Courtecon, Maignelay-Montigny, Jumigny, Sissonne, Choqueuse-les-Bénards, Le Mazis, Heucourt-Croquoison, Doméliers, Juvigny, Ponches-Estruval, Étréjust, Thory, Éclusier-Vaux, Saint-Léger-sur-Bresle, Chaillevois, Mailly-Raineval, Crouy, Oulches-la-Vallée-Foulon, Vendières, Cambronne-lès-Clermont, Parnes, Fontaine-Lavaganne, Saint-Aubin-en-Bray, Lierville, Soues, Brécy, Sailly-Laurette, Rocourt-Saint-Martin, Bonneuil-en-Valois, Bièvres, Limeux, Courcelles-sous-Thoix, Haramont, Camelin, Le Vauroux, Hernicourt, Cuiry-lès-Chaudardes, Goudelancourt-lès-Berrieux, Le Quesne, Soupir, Buzancy, Saint-Vaast-de-Longmont, Craonne, Monthenault, Suzoy, Blacourt, La Comté, Paissy, Amifontaine, Versigny, Acy, Roberval, Escles-Saint-Pierre, Campagne-lès-Hesdin, Aumont-en-Halatte, Cramaille, Montaigu, Bours, Montigny-lès-Condé, Saint-Germain-la-Poterie, Selens, Mareuil-en-Dôle, Vierzy, Samoussy, Mercin-et-Vaux, Cavillon, Ully-Saint-Georges, Boyaval, Milly-sur-Thérain, Souastre, Épaux-Bézu, Chuignes, Chaourse, Harbonnières, Oust-Marest, Pinon, Hallivillers, Frévent, Monceau-lès-Leups, Bitry, Lachapelle-Saint-Pierre, Vivaise, Loueuse, Fourdrain, Mézières-en-Santerre, Arguel, Mareuil-sur-Ourcq, Parpeville, Paars, Landricourt, Festieux, Sainte-Croix, Bray-sur-Somme, Domptin, Hautevesnes, Monneville, Dargies, Houdancourt, Fontaine-Saint-Lucien, Allemant, La Neuville-Sire-Bernard, Avrechy, Villemontoire, Quincy-sous-le-Mont, Tilloy-Floriville, Frettemeule, Cessières-Suzy, Saint-Just-en-Chaussée, Mory-Montcrux, Courcelles-sous-Moyencourt, Frise, Abancourt, Angy, Gamaches, Ployart-et-Vaurseine, Colligis-Crandelain, Erquery, Thenelles, Vauxrezis, Ébouleau, Saint-Maur, Villers-sous-Ailly, Dannes, Boussicourt, Liancourt-Saint-Pierre, Presles-et-Boves, Auxi-le-Château, Chuignolles, Yonval, Saint-Omer-en-Chaussée, Dercy, Berneuil-sur-Aisne, Martigny-Courpierre, Labosse, Barzy-sur-Marne, Bouchon, Seraucourt-le-Grand, Broyes, Ploisy, Montgru-Saint-Hilaire, Senantes, Croutoy, Monthiers, Noroy-sur-Ourcq, Auchy-lès-Hesdin, Fère-en-Tardenois, Famechon, Aizy-Jouy, Senarpont, Inval-Boiron, Clenleu, Abbeville-Saint-Lucien, Maizy, Conteville-en-Ternois, Béthisy-Saint-Martin, Vailly-sur-Aisne, Héricourt-sur-Thérain, Serans, Renneval, Mesbrecourt-Richecourt, Boffles, Retheuil, Gondreville, Sancy-les-Cheminots, Cerisy, Beauchamps, Morcourt, Boissy-Fresnoy, Hadancourt-le-Haut-Clocher, Pommiers, Braches, Arrancy, Nizy-le-Comte, Maast-et-Violaine, Bezinghem, Ribécourt-Dreslincourt, Craonnelle, Danizy, Saint-Étienne-Roilaye, Latilly, Thézy-Glimont, Mont-l'Évêque, Gourchelles, Wissignicourt, Regnauville, Marles-sur-Canche, Breny, Lahoussoye, Saint-Vaast-lès-Mello, Dravegny, Nœux-lès-Auxi, Morienval, Belleau, Lalande-en-Son, Thièvres, Gilocourt, Bonnières, Fontaine-Uterte, Savignies, Borest, Courbes, Les Septvallons, Monampteuil, Marant, Marseille-en-Beauvaisis, Trélou-sur-Marne, La Malmaison, Aizelles, Vaux-sur-Somme, Le Mesnil-sur-Bulles, Neuville-Coppegueule, Gouy-les-Groseillers, Bruyères-sur-Fère, Mons-en-Laonnois, Bergueneuse, Villeneuve-sur-Fère, Wambercourt, Verneuil-en-Halatte, Ailly-sur-Noye, Saint-Rémy-au-Bois, Escames, Toutencourt, Nanteuil-la-Fosse, Fontaine-sous-Montdidier, Saint-Crépin-aux-Bois, Chézy-sur-Marne, Paillart, Achy, Monceaux, Bouconvillers, Pernant, Autheuil-en-Valois, Bernoy-le-Château, Bouconville-Vauclair, Vaucelles-et-Beffecourt, Coupru, Suzanne, Urcel, Dieudonné, Parcy-et-Tigny, Hermes, Saint-Aubin-Rivière, Longpont, Bernot, Ormoy-Villers, Famechon, Épagny, Pontpoint, Nampcel, Merlieux-et-Fouquerolles, Laniscourt, Moyencourt-lès-Poix, Fresnes-sous-Coucy, Pont-Saint-Mard, Curlu, Tœufles, Landifay-et-Bertaignemont, Berneuil-en-Bray, Concevreux, Pontru, Talmontiers, Moyenneville, Bonneuil-les-Eaux, Vivières, Quincampoix-Fleuzy, Beaurieux, Bermesnil, Gennes-Ivergny, Fignières, Coucy-la-Ville, Saponay, Le Charmel, Cys-la-Commune, Saint-Germain-sur-Bresle, Acy-en-Multien, Saint-Valery, Les Ageux, Saint-Aubin-Montenoy, Évergnicourt, Coyolles, Étinehem-Méricourt, Vassogne, Thibivillers, Vaudesson, Saint-Thomas, Folleville, Brumetz, Belleuse, Puiseux-en-Bray, Hénonville, Bussiares, Macquigny, Bouchavesnes-Bergen, Oulchy-la-Ville, Jaulgonne, Fresnoy-au-Val, Bazoches-et-Saint-Thibaut, Bonnières, Verberie, Chelles, Chermizy-Ailles, Orville, Anvin, Crépy, Fontaine-Bonneleau, Béthisy-Saint-Pierre, Ver-sur-Launette, Feigneux, Reuil-sur-Brêche, Vallées en Champagne, La Selve, La Ferté-Milon, Huchenneville, Ansacq, Avilly-Saint-Léonard, Sailly-au-Bois, Veuilly-la-Poterie, Muret-et-Crouttes, Lamécourt, Mortiers, Ferrières, Chéry-lès-Pouilly, Laversine, Maisnières, Villers-Guislain, Rochy-Condé, Tilly-Capelle, Saint-Erme-Outre-et-Ramecourt, Montjavoult, Chaumont-en-Vexin, Œuilly, Montigny-sur-Crécy, Quilen, Marchais, Welles-Pérennes, Croissy-sur-Celle, Chouy, Orrouy, Chartèves, Aisonville-et-Bernoville, Vichel-Nanteuil, Ernemont-Boutavent, Laval-en-Laonnois, Versigny, Vézaponin, Bazicourt, Fontaine-Chaalis, Chavignon, Le Mesge, Huby-Saint-Leu, Montcavrel, Couvrelles, Lannoy-Cuillère, Cappy, Beugneux, Saint-Germer-de-Fly, Maysel, Pernes, Laigneville, Ostel, Vez, Bailleul-sur-Thérain, Bézu-le-Guéry, Saint-Sauveur, Montigny-l'Allier, Chipilly, Villers-Saint-Sépulcre, Rozet-Saint-Albin, La Neuville-lès-Bray, Ermenonville, Arcy-Sainte-Restitue, Coincy, Molliens-Dreuil, Launoy, Travecy, Cayeux-en-Santerre, Beussent, Bouillancy, Chéry-Chartreuve, Le Quesnel-Aubry, Neslette, Teneur, Lavilletertre, Bougainville, Pontavert, Cléry-sur-Somme, Mézy-Moulins, Fournival, Fontenay-Torcy, Eppes, Mortefontaine, Villers-Saint-Frambourg-Ognon, Neuville-Bosc, Herchies, Nouvion-et-Catillon, Embreville, Gandelu, Crézancy, Lafresguimont-Saint-Martin, Lévignen, Licy-Clignon, Chevresis-Monceau, Brasseuse, Cerny-en-Laonnois, Lappion, Brimeux, Larbroye, Lhuys, Reilly, Saint-Samson-la-Poterie, Courcelles-sur-Vesle, Longueil-Annel, Saint-Félix, Heuchin, Bruys, Loupeigne, Droizy, Blargies, Nesle-l'Hôpital, Liomer, Montagny-en-Vexin, Vincy-Reuil-et-Magny, Verderel-lès-Sauqueuse, Néry, Riencourt, Fresnicourt-le-Dolmen, Hangard, Saint-Pierre-es-Champs, Cuise-la-Motte, Bucy-le-Long, Bourg-et-Comin, Gauville, Boncourt, Saint-Leu-d'Esserent, Trucy, Jouaignes, Neuville-sur-Ailette, Glaignes, Condé-en-Brie, Vendeuil, Frohen-sur-Authie, Remaisnil, Cœuvres-et-Valsery, Saintines, Gouy-Saint-André, Boufflers, La Croix-sur-Ourcq, Lesges, Bornel, Rousseloy, Davenescourt, Braine, Bagneux, Villiers-Saint-Denis, Warluis, Mont-Saint-Père, Anizy-le-Grand, Mortefontaine, Attin, Brocourt, Hannapes, Moulins, Bayencourt, Bouresches, Hem-Monacu, Monts, Louâtre, Villers-Saint-Barthélemy, Connigis, Maurepas, Noirémont, Bouret-sur-Canche, Charly-sur-Marne, Tupigny, Plailly, Neuilly-Saint-Front, Séry-lès-Mézières, Aubvillers, Rozières-sur-Crise, Chacrise, Montbavin, Monceau-le-Neuf-et-Faucouzy, Apremont, Pavant, Orgeval, Crèvecœur-le-Petit, Étaves-et-Bocquiaux, Heilly, Neuvillette, Bouttencourt, Aubenton, Buigny-lès-Gamaches, Audigny, Villeneuve-sur-Verberie, Coye-la-Forêt, Rhuis, Sauvillers-Mongival, Attichy, Domart-sur-la-Luce, Grand-Rozoy, Beaucamps-le-Jeune, Lhéraule, Chassemy, Courtemanche, Bruyères-et-Montbérault, Passy-sur-Marne, Barly, Cuissy-et-Geny, Cavron-Saint-Martin, Montchâlons, Cuigy-en-Bray, Pargnan, Le Cardonnois, Moulin-sous-Touvent, Braye-en-Laonnois, Chevregny, Villers-sur-Auchy, Guizancourt, Daméraucourt, Frémontiers, Beaucourt-en-Santerre, Serval, Boubiers, Andainville, Romescamps, Vendresse-Beaulne, Aubigny-en-Laonnois, Ambleny, Blanzy-lès-Fismes, Lachapelle-aux-Pots, Vorges, Novillers, Chavençon, Couvron-et-Aumencourt, Le Thuel, La Neuville-Vault, Mers-les-Bains, Auteuil, Moreuil, Cambronne-lès-Ribécourt, Oulchy-le-Château, Fresnoy-la-Rivière, Airaines, Sissy, Coigneux, Hondainville, Aix-en-Issart, Vauxaillon, Catheux, Nogent-l'Artaud, Mauregny-en-Haye, Mont-Saint-Martin, Regny, Rocquemont, Démuin, Mont-d'Origny, Berry-au-Bac, Thoix, Mont-Notre-Dame, Grivesnes, Ciry-Salsogne, Le Plessier-sur-Bulles, Maresquel-Ecquemicourt, Contes, </t>
  </si>
  <si>
    <t xml:space="preserve">Belleu, Brasles, Château-Thierry, Essômes-sur-Marne, Étampes-sur-Marne, Largny-sur-Automne, Villers-Cotterêts, Creil, Fouquenies, Gouvieux, Laboissière-en-Thelle, Monchy-Saint-Éloi, Pont-Sainte-Maxence, Russy-Bémont, Saint-Maximin, Saint-Eugène, Compiègne, Nesles-la-Montagne, Nogentel, Nanteuil-Notre-Dame, Sissonne, Saint-Aubin-en-Bray, Brécy, Rosières, Bonneuil-en-Valois, Chérêt, Blacourt, Amifontaine, Versigny, Montigny-lès-Condé, Saint-Germain-la-Poterie, Saulchery, Épaux-Bézu, Gury, Vauciennes, Festieux, Bresles, Neufvy-sur-Aronde, Saint-Maur, Courboin, Fère-en-Tardenois, Parfondru, Béthisy-Saint-Martin, Montiers, Veslud, Dravegny, Gilocourt, Bonnières, La Malmaison, Saint-Paul, Chézy-sur-Marne, Monceaux, Parcy-et-Tigny, Ormoy-Villers, Nampcel, Landifay-et-Bertaignemont, Gournay-sur-Aronde, Saponay, Les Ageux, Baugy, Coyolles, Chevincourt, Béthisy-Saint-Pierre, Baron, Feigneux, Marchais, Chierry, Montfaucon, Bazicourt, Essises, Fontaine-Chaalis, Couvrelles, Péroy-les-Gombries, Vez, Arcy-Sainte-Restitue, Coincy, Chéry-Chartreuve, Lataule, Montlognon, Flavacourt, Licy-Clignon, Auger-Saint-Vincent, Courmelles, Longueil-Annel, Bruys, Loupeigne, Néry, Pargny-la-Dhuys, Jouaignes, Mont-Saint-Père, Ons-en-Bray, Monceau-le-Neuf-et-Faucouzy, Lhéraule, Bruyères-et-Montbérault, Montchâlons, Cuigy-en-Bray, Moulin-sous-Touvent, Septmonts, Lachapelle-aux-Pots, Vorges, Montlevon, Mauregny-en-Haye, Verdilly, Mont-Saint-Martin, Rocquemont, Berry-au-Bac, Mont-Notre-Dame, </t>
  </si>
  <si>
    <t xml:space="preserve">Bouvigny-Boyeffles, Camiers, Le Hamel, Maisnil-lès-Ruitz, Saveuse, Doullens, Dury, Grouches-Luchuel, Mareuil-Caubert, Abbeville, Pont-de-Metz, Rubescourt, Saint-Fuscien, Port-le-Grand, Bourdon, Doméliers, Forest-Montiers, Méréaucourt, Sailly-Laurette, Montdidier, Grattepanche, Saint-Sauflieu, Cocquerel, Creuse, Hangest-sur-Somme, Condé-Folie, Souchez, Harbonnières, Marquivillers, Nampty, Long, Ayencourt, Essigny-le-Petit, Le Mesnil-Conteville, Sommereux, Crouy-Saint-Pierre, Longpré-les-Corps-Saints, Hornoy-le-Bourg, Troussencourt, Dannes, Yonval, Picquigny, Montigny-en-Arrouaise, Bantouzelle, Cempuis, Essertaux, Ablain-Saint-Nazaire, Famechon, Marlers, La Chaussée-Tirancourt, L'Étoile, Liercourt, Caix, Hardivillers, Maisoncelle-Tuilerie, Sains-en-Amiénois, Poix-de-Picardie, Paillart, Beauvoir, Fontaine-sur-Somme, Moyencourt-lès-Poix, Mesnil-Saint-Georges, Fontaine-Notre-Dame, Moyenneville, Sainte-Eusoye, Hébécourt, Blangy-sous-Poix, Fauquembergues, Étinehem-Méricourt, Fluy, Revelles, Saint-André-Farivillers, Les Rues-des-Vignes, Ferrières, Camon, Welles-Pérennes, Breteuil, Croixrault, Chipilly, Arvillers, Namps-Maisnil, Guerbigny, Widehem, Assainvillers, Bosquel, Ô-de-Selle, Vers-sur-Selle, Camblain-Châtelain, Yzeux, Bavelincourt, Marcy, Renty, Daours, Wavrechain-sous-Faulx, Corbie, Honnecourt-sur-Escaut, Vendeuil-Caply, Cambron, Banteux, Rebreuve-Ranchicourt, Faverolles, Beaucourt-sur-l'Hallue, Crèvecœur-le-Petit, Royaucourt, Éplessier, Érondelle, Plachy-Buyon, Équennes-Éramecourt, Courtemanche, Grand-Laviers, Hescamps, Romescamps, Boves, Nampont, Lachapelle, </t>
  </si>
  <si>
    <t xml:space="preserve">Grouches-Luchuel, Buigny-Saint-Maclou, Boisbergues, Rebreuve-sur-Canche, Puchevillers, Rebreuviette, Bouquemaison, Lanches-Saint-Hilaire, Humbercourt, Regnauville, Parenty, Saint-Michel-sous-Bois, Bernaville, Embry, Toutencourt, Mézerolles, Domesmont, Hesmond, Autheux, Beaumont-Hamel, Hem-Hardinval, Occoches, Guigny, Outrebois, Warloy-Baillon, Grand-Laviers, </t>
  </si>
  <si>
    <t xml:space="preserve">Éparcy, Hirson, Neuve-Maison, Saint-Michel, Monceau-sur-Oise, Houry, La Hérie, Watigny, Logny-lès-Aubenton, Bancigny, Voharies, Montigny-le-Franc, Laigny, Lerzy, Rougeries, Fontaine-lès-Vervins, Mont-Saint-Jean, Coingt, Landouzy-la-Ville, Crupilly, Proix, Noyales, Noircourt, Sons-et-Ronchères, La Vallée-au-Blé, Lesquielles-Saint-Germain, Wimy, Chaourse, Iviers, Puisieux-et-Clanlieu, Ohis, Sorbais, Mondrepuis, Autreppes, Montloué, Rozoy-sur-Serre, Seboncourt, Gergny, Malzy, Berlancourt, Vadencourt, Leschelle, Erloy, La Ville-aux-Bois-lès-Dizy, Housset, Marfontaine, Étreux, Hauteville, Tavaux-et-Pontséricourt, Montigny-en-Arrouaise, Englancourt, Morgny-en-Thiérache, Jeantes, Buironfosse, Wiège-Faty, Brunehamel, Landouzy-la-Cour, Renneval, Agnicourt-et-Séchelles, Chevennes, Fontenelle, La Neuville-lès-Dorengt, Clermont-les-Fermes, Bucy-lès-Pierrepont, Grougis, Cuiry-lès-Iviers, La Capelle, Chéry-lès-Rozoy, Grandrieux, Villers-lès-Guise, Berlise, Lemé, Harcigny, Prisces, Bucilly, Barzy-en-Thiérache, Thiernu, Raillimont, La Flamengrie, Buire, Les Autels, Saint-Gobert, Bernot, Iron, Froidestrées, Gronard, Landifay-et-Bertaignemont, Vénérolles, Vervins, Grand-Verly, Fesmy-le-Sart, Lislet, Besmont, Leuze, Dorengt, Macquigny, Effry, Dohis, Voulpaix, Beaumé, Nampcelles-la-Cour, Flavigny-le-Grand-et-Beaurain, Le Nouvion-en-Thiérache, Aisonville-et-Bernoville, Franqueville, Cilly, Résigny, Dizy-le-Gros, Guise, Origny-en-Thiérache, Rogny, Vigneux-Hocquet, Braye-en-Thiérache, Saint-Clément, Chigny, Sainte-Geneviève, Marly-Gomont, Lugny, Rouvroy-sur-Serre, Hary, Saint-Pierre-lès-Franqueville, Esquéhéries, Clairfontaine, Sains-Richaumont, Chevresis-Monceau, Romery, Bergues-sur-Sambre, Origny-Sainte-Benoite, La Bouteille, Saint-Algis, La Neuville-Housset, Vincy-Reuil-et-Magny, Montcornet, Anor, Boncourt, Sommeron, Plomion, Le Sourd, Dolignon, Haution, Burelles, Hannapes, Petit-Verly, Soize, Archon, Étréaupont, Tupigny, Lavaqueresse, Parfondeval, Monceau-le-Neuf-et-Faucouzy, Any-Martin-Rieux, Étaves-et-Bocquiaux, Aubenton, Audigny, Oisy, Dagny-Lambercy, Martigny, Mennevret, Colonfay, Luzoir, Gercy, Le Thuel, Boué, Proisy, Thenailles, Mont-d'Origny, </t>
  </si>
  <si>
    <t xml:space="preserve">Éparcy, Hirson, Saint-Michel, La Hérie, Logny-lès-Aubenton, Landouzy-la-Ville, Crupilly, La Vallée-au-Blé, Lesquielles-Saint-Germain, Puisieux-et-Clanlieu, Parpeville, Malzy, Leschelle, Housset, Wiège-Faty, Le Hérie-la-Viéville, Chevennes, Villers-lès-Guise, Lemé, Bucilly, Buire, Iron, Landifay-et-Bertaignemont, Voulpaix, Flavigny-le-Grand-et-Beaurain, Origny-en-Thiérache, Chigny, Marly-Gomont, Sains-Richaumont, Romery, Origny-Sainte-Benoite, Le Sourd, Haution, Lavaqueresse, Monceau-le-Neuf-et-Faucouzy, Any-Martin-Rieux, Aubenton, Audigny, Colonfay, Proisy, </t>
  </si>
  <si>
    <t xml:space="preserve">Vaux-Andigny, Seboncourt, Saint-Souplet, Wassigny, La Vallée-Mulâtre, Molain, Mennevret, </t>
  </si>
  <si>
    <t xml:space="preserve">Noircourt, Montloué, Rozoy-sur-Serre, Morgny-en-Thiérache, Cuiry-lès-Iviers, Berlise, Lislet, Montcornet, Dolignon, Soize, Archon, </t>
  </si>
  <si>
    <t xml:space="preserve">Beuvry-la-Forêt, Bruay-sur-l'Escaut, Coutiches, Lecelles, Raimbeaucourt, Roost-Warendin, Rumegies, Faumont, Landas, Saméon, Sars-et-Rosières, Orchies, Nomain, Rosult, </t>
  </si>
  <si>
    <t xml:space="preserve">Loffre, Aniche, Auberchicourt, Anzin, Aubry-du-Hainaut, Aulnoy-lez-Valenciennes, Beuvrages, Beuvry-la-Forêt, Bruay-sur-l'Escaut, Bruille-lez-Marchiennes, Guesnain, Coutiches, Cuincy, Dechy, Denain, Douai, Douchy-les-Mines, Haulchin, Erre, Escaudain, Escautpont, Haveluy, Fenain, Hergnies, Flers-en-Escrebieux, Flines-lez-Raches, Fresnes-sur-Escaut, Lecelles, Lewarde, Lallaing, Lambres-lez-Douai, Marly, Montigny-en-Ostrevent, Nivelle, Odomez, Onnaing, Quarouble, Pecquencourt, Petite-Forêt, Prouvy, Quiévrechain, Râches, La Sentinelle, Raimbeaucourt, Raismes, Rieulay, Rombies-et-Marchipont, Roost-Warendin, Saint-Saulve, Waziers, Sin-le-Noble, Somain, Thivencelle, Trith-Saint-Léger, Valenciennes, Wallers, Émerchicourt, Lauwin-Planque, Bouvignies, Marchiennes, Bellaing, Vieux-Condé, Saint-Amand-les-Eaux, Hornaing, Thun-Saint-Amand, Erchin, Bugnicourt, Hérin, Faumont, Masny, Rœulx, Gœulzin, Vred, Hasnon, Crespin, Rouvignies, Sebourg, Saint-Aybert, Brillon, Flines-lès-Mortagne, Lourches, Cantin, Abscon, Marquette-en-Ostrevant, Oisy, Mortagne-du-Nord, Roucourt, Maulde, Villers-au-Tertre, Wavrechain-sous-Denain, Warlaing, Férin, Château-l'Abbaye, Marcq-en-Ostrevent, Wandignies-Hamage, Saultain, Tilloy-lez-Marchiennes, Sars-et-Rosières, Condé-sur-l'Escaut, Vicq, Fressain, Écaillon, Bousignies, Mastaing, Bruille-Saint-Amand, Anhiers, Rosult, Hélesmes, Monchecourt, Millonfosse, </t>
  </si>
  <si>
    <t xml:space="preserve">Courcelles-Epayelles, Belloy, Choisy-au-Bac, Noyon, Le Ployron, Candor, Montgérain, Hainvillers, Le Plessis-Brion, Pontoise-lès-Noyon, Caisnes, Cuvilly, Tracy-le-Mont, Pont-l'Évêque, Tilloloy, Biermont, Gury, Rollot, Fresnières, Canny-sur-Matz, Mortemer, Ognolles, Varesnes, Giraumont, Bailly, Boulogne-la-Grasse, Campagne, Brétigny, Amy, Conchy-les-Pots, Roye-sur-Matz, Vignemont, Passel, Montmacq, Marquéglise, Saint-Léger-aux-Bois, Thourotte, Lagny, Appilly, Avricourt, Élincourt-Sainte-Marguerite, Piennes-Onvillers, Saint-Crépin-aux-Bois, Antheuil-Portes, Vandélicourt, Nampcel, Beaulieu-les-Fontaines, Laberlière, Mélicocq, Chevincourt, Pimprez, Crapeaumesnil, Margny-sur-Matz, Carlepont, Sempigny, Tracy-le-Val, Tricot, Lataule, Lassigny, Écuvilly, Méry-la-Bataille, Marest-sur-Matz, La Neuville-sur-Ressons, Mareuil-la-Motte, Villers-sur-Coudun, Longueil-Annel, Ricquebourg, Monchy-Humières, Catigny, Plessis-de-Roye, Dives, Beuvraignes, Le Frestoy-Vaux, Orvillers-Sorel, Coivrel, Ressons-sur-Matz, Rethondes, Cambronne-lès-Ribécourt, Chiry-Ourscamp, Machemont, </t>
  </si>
  <si>
    <t xml:space="preserve">Amy, </t>
  </si>
  <si>
    <t xml:space="preserve">Esches, Laboissière-en-Thelle, Méru, Lormaison, La Drenne, Corbeil-Cerf, Sainte-Geneviève, Dieudonné, Le Coudray-sur-Thelle, Noailles, Mortefontaine-en-Thelle, Saint-Crépin-Ibouvillers, Silly-Tillard, Andeville, Bornel, Novillers, </t>
  </si>
  <si>
    <t xml:space="preserve">Pys, Neuville-Saint-Amand, Saint-Quentin, Goyencourt, Courcelles-Epayelles, Remaugies, Mesnil-Bruntel, Briquemesnil-Floxicourt, Éterpigny, Hérissart, Pargny, Dreuil-lès-Amiens, Saveuse, Doingt, Péronne, Montigny-sur-l'Hallue, Amiens, Pont-de-Metz, Rubescourt, Rouvroy, Velennes, Gauchy, Le Ployron, Hamelet, Bourdon, Mouflers, Grivillers, Pierregot, Surcamps, Carrépuis, Lignières, Seux, Vadencourt, Hainvillers, La Hérelle, Wargnies, Jumel, Warsy, Bettencourt-Saint-Ouen, La Vicogne, Sailly-Laurette, Aizecourt-le-Haut, Montdidier, Champien, Grattepanche, Saint-Sauflieu, Courcelette, Havernas, Béhencourt, Molliens-au-Bois, Creuse, Argœuves, Matigny, Becquigny, Tilloloy, Hangest-sur-Somme, Bacouel-sur-Selle, Fieulaine, Bucquoy, Marquivillers, Rollot, Proyart, Harly, Templeux-la-Fosse, Nampty, Fresnières, Long, Ayencourt, Lamotte-Brebière, Essigny-le-Petit, Rouvroy-en-Santerre, Canny-sur-Matz, Laboissière-en-Santerre, Bray-sur-Somme, Saint-Sauveur, Crouy-Saint-Pierre, Baizieux, Longavesnes, Fonsomme, Longpré-les-Corps-Saints, Liéramont, Mortemer, Ognolles, Laucourt, Fescamps, Flesselles, Villers-sous-Ailly, Brie, Saisseval, Hancourt, Quivières, Picquigny, Montigny-en-Arrouaise, Bouchon, Longueval, Essertaux, Fouilloy, Gruny, Roye, Parvillers-le-Quesnoy, Halloy-lès-Pernois, Talmas, Boulogne-la-Grasse, Monsures, Rainneville, Godenvillers, Rethonvillers, Morcourt, Amy, Ville-le-Marclet, Conchy-les-Pots, Buire-Courcelles, Contay, Warlencourt-Eaucourt, Lahoussoye, La Chaussée-Tirancourt, Morlancourt, Rogy, Flers-sur-Noye, Marquaix, Pissy, L'Étoile, Plainville, Méaulte, Vecquemont, Rouy-le-Petit, Vaux-sur-Somme, Ailly-sur-Somme, Saint-Gratien, Ailly-sur-Noye, Bovelles, Saint-Ouen, Armancourt, Aubigny, Franvillers, Toutencourt, Piennes-Onvillers, L'Échelle-Saint-Aurin, Offoy, Achiet-le-Petit, Querrieu, Fouquescourt, Bonneville, Mesnil-Saint-Laurent, Cardonnette, Roisel, Dancourt-Popincourt, Moyencourt-lès-Poix, Beaulieu-les-Fontaines, Mesnil-Saint-Georges, Homblières, Rubempré, Saint-Christ-Briost, Fontaine-Notre-Dame, Belloy-sur-Somme, Fignières, Fresnoy-le-Grand, Bonnay, Flixecourt, Étinehem-Méricourt, Villers-Faucon, Fluy, Revelles, Crémery, Belleuse, Fresnoy-au-Val, Grandcourt, Pozières, Bus-la-Mésière, Brucamps, Puisieux, Crapeaumesnil, Driencourt, Quevauvillers, Ferrières, Mirvaux, Prouzel, Beaumont-Hamel, Voyennes, Sains-Morainvillers, Buverchy, Welles-Pérennes, Croissy-sur-Celle, Beaucourt-sur-l'Ancre, Domfront, Chipilly, Bussu, Libermont, Fleury, Arvillers, Rouy-le-Grand, Tricot, Fourdrinoy, Canaples, Moyencourt, Namps-Maisnil, Guerbigny, Assainvillers, Falvy, Damery, Conty, Martinpuich, Grévillers, Béthencourt-sur-Somme, Beauval, Bosquel, Villers-lès-Roye, Ô-de-Selle, Miraumont, Ferrières, Pont-Noyelles, Nurlu, Fresnoy-lès-Roye, Erches, Y, Bavelincourt, Marcy, Aizecourt-le-Bas, Daours, Tincourt-Boucly, Verpillières, Corbie, Ételfay, Allonville, Croix-Moligneaux, Hombleux, Saint-Mard, Beuvraignes, Breilly, Le Frestoy-Vaux, Faverolles, Beaucourt-sur-l'Hallue, Fréchencourt, Contre, Crèvecœur-le-Petit, Royaucourt, Le Sars, Dompierre, Plachy-Buyon, Courtemanche, Croix-Fonsomme, Irles, Andechy, Le Cardonnois, Oresmaux, Frémontiers, Bouchoir, Candas, Blangy-Tronville, Fieffes-Montrelet, Urvillers, Vauchelles-lès-Domart, Frétoy-le-Château, Fossemanant, Contalmaison, Guignemicourt, Ercheu, Villecourt, Bussy-lès-Daours, Naours, Cartigny, </t>
  </si>
  <si>
    <t xml:space="preserve">Brunvillers-la-Motte, Ravenel, Saint-Just-en-Chaussée, Le Plessier-sur-Saint-Just, Plainval, Catillon-Fumechon, Wavignies, Quinquempoix, Ansauvillers, </t>
  </si>
  <si>
    <t xml:space="preserve">Crépy-en-Valois, Séry-Magneval, Les Hauts-Talican, Beaumont-les-Nonains, Belleu, Amigny-Rouy, Athies-sous-Laon, Laon, Omissy, Pasly, Vauxbuin, Soissons, Villers-Cotterêts, Chamouille, Prémontré, Villers-Campsart, Quincy-Basse, Ambrief, Harponville, Briquemesnil-Floxicourt, Ève, Rouville, Essuiles, Sailly-le-Sec, Bailleval, Agnetz, Allonne, Beauvais, Chamant, Chantilly, Courteuil, Clermont, Creil, Duvy, Fouquenies, Gouvieux, Goincourt, Lacroix-Saint-Ouen, Lamorlaye, Pontarmé, Pont-Sainte-Maxence, Russy-Bémont, Saint-Maximin, Senlis, Vineuil-Saint-Firmin, Aux Marais, Roucy, Bargny, Estrées-sur-Noye, Albert, Dhuizel, Woirel, Royaucourt-et-Chailvet, Fresnoy-le-Luat, Nanteuil-le-Haudouin, Raray, Pancy-Courtecon, Jumigny, Sissonne, Servais, Braye, Heucourt-Croquoison, Juvigny, Aulnois-sous-Laon, Métigny, Saint-Remy-en-l'Eau, Étréjust, Chaillevois, Thiepval, Crouy, Vadencourt, Condé-sur-Aisne, Oulches-la-Vallée-Foulon, Tannières, Gentelles, Soues, Boursonne, Saint-Léger-en-Bray, Rosières, Sailly-Laurette, Andelain, Bonneuil-en-Valois, Bièvres, Pargny-Filain, Haramont, Camelin, Chérêt, Le Vauroux, Chavigny, Lierval, Cuiry-lès-Chaudardes, Goudelancourt-lès-Berrieux, Soupir, Buzancy, Saint-Vaast-de-Longmont, Craonne, Bazentin, Valescourt, Monthenault, Verneuil-sur-Serre, Prémont, Bichancourt, Paissy, Goussancourt, Ormoy-le-Davien, Versigny, Acy, Roberval, Auchy-la-Montagne, Aumont-en-Halatte, Cramaille, Montaigu, Seringes-et-Nesles, Saint-Germain-la-Poterie, Réez-Fosse-Martin, Avesnes-Chaussoy, Selens, Mareuil-en-Dôle, Vierzy, Samoussy, Becquigny, Mercin-et-Vaux, Deuillet, Cavillon, Milly-sur-Thérain, Thiers-sur-Thève, Vaire-sous-Corbie, Pinon, Vézilly, Ponchon, Monceau-lès-Leups, Bitry, Vauciennes, Laversines, Chalandry, Bohain-en-Vermandois, Septvaux, Fourdrain, Fitz-James, Arguel, Mareuil-sur-Ourcq, Parpeville, Paars, Landricourt, Festieux, Sainte-Croix, Seboncourt, Fontaine-le-Sec, Fontaine-Saint-Lucien, Allemant, Le Plessis-Belleville, Avrechy, Villemontoire, Quincy-sous-le-Mont, Saint-Gobain, Cessières-Suzy, Saint-Just-en-Chaussée, Jumencourt, La Drenne, Courcelles-sous-Moyencourt, Hornoy-le-Bourg, Ployart-et-Vaurseine, Colligis-Crandelain, Erquery, Bresles, Thenelles, Vauxrezis, Neufchâtel-sur-Aisne, Cuts, Boussicourt, Crécy-sur-Serre, Presles-et-Boves, Abbecourt, Variscourt, Manicamp, Béthancourt-en-Valois, Trosly-Loire, Remiencourt, Saint-Omer-en-Chaussée, Foucaucourt-Hors-Nesle, Liesse-Notre-Dame, Martigny-Courpierre, Blicourt, Châtillon-sur-Oise, Presles-et-Thierny, Frettecuisse, Fresnoy-Andainville, Belloy-Saint-Léonard, Étouvelles, Trois-Rivières, Ploisy, Betz, Cachy, Fère-en-Tardenois, Pignicourt, Molinchart, Aizy-Jouy, Senarpont, Mesnil-Martinsart, Abbeville-Saint-Lucien, Corbeny, Maizy, Béthisy-Saint-Martin, Vailly-sur-Aisne, Marolles, Folembray, Berrieux, Mesbrecourt-Richecourt, Gratibus, Retheuil, Gondreville, Sancy-les-Cheminots, Cerisy, Brétigny, Morcourt, Blérancourt, Boissy-Fresnoy, Pommiers, Juvincourt-et-Damary, Arrancy, Laffaux, Maast-et-Violaine, Craonnelle, Fressancourt, Thézy-Glimont, Mont-l'Évêque, Bulles, Aveluy, Guny, Wissignicourt, Barbery, Missy-lès-Pierrepont, Lahoussoye, Veslud, Nouvion-le-Vineux, Dravegny, Morienval, Morlancourt, Frocourt, Nouvion-le-Comte, Quierzy, Soucy, Gilocourt, Bonnières, Fontaine-Uterte, Savignies, Borest, Courbes, Les Septvallons, Monampteuil, Dommiers, Auneuil, Étouy, Saint-Paul, Aizelles, Saint-Rémy-Blanzy, Vaux-sur-Somme, Le Mesnil-sur-Bulles, Bourguignon-sous-Coucy, Mons-en-Laonnois, Meurival, Authuille, Breuil-le-Sec, Saint-Paul-aux-Bois, Verneuil-en-Halatte, Bassoles-Aulers, Vic-sur-Aisne, Morsain, Montagne-Fayel, Ribemont-sur-Ancre, Le Mont-Saint-Adrien, Nanteuil-la-Fosse, Fontaine-sous-Montdidier, Montgobert, Le Hamel, Cutry, Pernant, Autheuil-en-Valois, Bernoy-le-Château, Bouconville-Vauclair, Marcelcave, Becquigny, Vaucelles-et-Beffecourt, Bourguignon-sous-Montbavin, Villeneuve-sur-Aisne, Saint-Nicolas-aux-Bois, Urcel, Parcy-et-Tigny, Berny-Rivière, Sermoise, Condé-sur-Suippe, Hermes, Ormoy-Villers, Épagny, Pontpoint, Merlieux-et-Fouquerolles, Bettencourt-Rivière, Chaudun, Ressons-le-Long, Allery, Laniscourt, Moyencourt-lès-Poix, Fresnes-sous-Coucy, Pont-Saint-Mard, Rotangy, Mesnil-Saint-Georges, Berneuil-en-Bray, Concevreux, Saint-Sulpice, La Rue-Saint-Pierre, Saint-Bandry, La Neuville-en-Hez, Barisis-aux-Bois, Le Coudray-sur-Thelle, Beaurieux, Bermesnil, Fignières, Autreville, Coucy-la-Ville, Cys-la-Commune, Noailles, Acy-en-Multien, Vauxtin, Forceville-en-Vimeu, Saint-Aubin-Montenoy, Bertaucourt-Epourdon, Wiry-au-Mont, Bonnay, Évergnicourt, Coyolles, Étavigny, Oissy, Vassogne, Courtrizy-et-Fussigny, Vaudesson, Saint-Thomas, Fresnoy-au-Val, Bazoches-et-Saint-Thibaut, Verberie, Chermizy-Ailles, Verneuil-sous-Coucy, Crépy, Épaumesnil, Béthisy-Saint-Pierre, Ver-sur-Launette, Clacy-et-Thierret, Baron, Feigneux, Reuil-sur-Brêche, Bucy-lès-Cerny, Muidorge, Montreuil-sur-Brêche, La Ferté-Milon, Ansacq, Guyencourt-sur-Noye, Avilly-Saint-Léonard, Trumilly, Vassens, Muret-et-Crouttes, Lamécourt, Quevauvillers, Morcourt, Varinfroy, Laversine, Méricourt-l'Abbé, Moussy-Verneuil, Beaumont-Hamel, Nourard-le-Franc, Rochy-Condé, Guillaucourt, Saint-Erme-Outre-et-Ramecourt, Œuilly, Montigny-sur-Crécy, Marchais, Orrouy, Filain, Bouillancourt-la-Bataille, Laval-en-Laonnois, Versigny, Vézaponin, Fontaine-Chaalis, Chavignon, Le Mesge, Le Plessier-Huleu, Couvrelles, Péroy-les-Gombries, Besmé, Fleurines, Thury-en-Valois, Montagny-Sainte-Félicité, Coucy-lès-Eppes, Ostel, Vez, Chézy-en-Orxois, Remaucourt, Bailleul-sur-Thérain, Rully, Saint-Sauveur, Montigny-l'Allier, Fresneville, Ermenonville, Arcy-Sainte-Restitue, Rainvillers, Molliens-Dreuil, Celles-sur-Aisne, Launoy, Neuville-sur-Margival, Bouillancy, Chéry-Chartreuve, Vaumoise, Le Quesnel-Aubry, Fourdrinoy, Wiencourt-l'Équipée, Avelesges, Ribemont, Pont-Arcy, Cuvergnon, Boullarre, Bougainville, Pontavert, Nampteuil-sous-Muret, Fournival, Montlognon, Barenton-Cel, Viel-Arcy, Eppes, Mortefontaine, Hartennes-et-Taux, Villers-Saint-Frambourg-Ognon, Froidmont-Cohartille, Herchies, Nouvion-et-Catillon, Lévignen, Chevresis-Monceau, Brasseuse, Silly-Tillard, Cerny-en-Laonnois, Saint-Martin-le-Nœud, Auger-Saint-Vincent, Courmelles, Lhuys, Courcelles-sur-Vesle, Saint-Félix, Bruys, Loupeigne, Origny-Sainte-Benoite, Droizy, Chaudardes, Nesle-l'Hôpital, Verderel-lès-Sauqueuse, Néry, Riencourt, Sinceny, Pierrefitte-en-Beauvaisis, Champs, Luchy, Bucy-le-Long, Bourg-et-Comin, Antilly, Montigny-Lengrain, Puiseux-en-Retz, Billy-sur-Aisne, Saint-Mard, Hodenc-l'Évêque, Litz, Trucy, Jouaignes, Neuville-sur-Ailette, Glaignes, Cuisy-en-Almont, Rouvres-en-Multien, Brancourt-en-Laonnois, Cœuvres-et-Valsery, Saint-Jean-aux-Bois, Osly-Courtil, Saintines, Saint-Maulvis, Lesges, Davenescourt, Brenelle, Braine, Neufchelles, Bagneux, Warluis, Anizy-le-Grand, Lesdins, La Villeneuve-sous-Thury, Courtieux, Laleu, Juvignies, Moulins, Noirémont, Troissereux, Plailly, Fontenoy, Ivors, Séry-lès-Mézières, Villeroy, Chavonne, Rozières-sur-Crise, Chacrise, Barenton-sur-Serre, Montbavin, Coulonges-Cohan, Villers-Bretonneux, Thury-sous-Clermont, Apremont, Pierremande, Orgeval, Coucy-le-Château-Auffrique, Villers-Hélon, Étaves-et-Bocquiaux, Heilly, Leuilly-sous-Coucy, Neuvillette, Villeneuve-sur-Verberie, Coye-la-Forêt, Rhuis, Crécy-au-Mont, Grand-Rozoy, Marestmontiers, Cuiry-Housse, Chassemy, Courtemanche, Bruyères-et-Montbérault, Pierrepont, Cuissy-et-Geny, Tartiers, Montchâlons, Pargnan, Villers-Agron-Aiguizy, Chivy-lès-Étouvelles, Vergies, Le Cardonnois, Septmonts, Nointel, Braye-en-Laonnois, Chevregny, Serval, Andainville, Vendresse-Beaulne, Aubigny-en-Laonnois, Ambleny, Vorges, Contalmaison, Mérélessart, Couvron-et-Aumencourt, La Neuville-Vault, Éméville, Montépilloy, Barenton-Bugny, Auteuil, Fresnoy-la-Rivière, Airaines, Grandlup-et-Fay, Brie, Sissy, Aumont, Hondainville, Vauxaillon, Longueil-Sainte-Marie, Saint-Christophe-à-Berry, Mauregny-en-Haye, Saint-Pierre-Aigle, Mont-Saint-Martin, Regny, Rocquemont, Mont-d'Origny, Berry-au-Bac, Mont-Notre-Dame, Ciry-Salsogne, Le Plessier-sur-Bulles, Gizy, </t>
  </si>
  <si>
    <t xml:space="preserve">Brasles, Château-Thierry, Essômes-sur-Marne, Étampes-sur-Marne, Fossoy, Saint-Eugène, Nesles-la-Montagne, Nogentel, Montigny-lès-Condé, Saulchery, Épaux-Bézu, Étrépilly, Bonneil, Azy-sur-Marne, Courboin, Monthiers, Marolles, Épieds, Rozoy-Bellevalle, Latilly, Gland, Chézy-sur-Marne, Romeny-sur-Marne, Bézu-Saint-Germain, Vallées en Champagne, La Ferté-Milon, La Chapelle-sur-Chézy, Chierry, Blesmes, Montfaucon, Essises, Dhuys et Morin-en-Brie, Chézy-en-Orxois, Sommelans, Crézancy, Licy-Clignon, Bonnesvalyn, Pargny-la-Dhuys, Condé-en-Brie, Viffort, La Croix-sur-Ourcq, Grisolles, Mont-Saint-Père, L'Épine-aux-Bois, Viels-Maisons, Bouresches, Connigis, Charly-sur-Marne, Montlevon, Verdilly, </t>
  </si>
  <si>
    <t xml:space="preserve">Berck, Groffliers, Ponches-Estruval, Béalcourt, Argoules, Vitz-sur-Authie, Auxi-le-Château, Nœux-lès-Auxi, Waben, Thièvres, Maintenay, Willencourt, Gennes-Ivergny, Orville, Thièvres, Tollent, Beauvoir-Wavans, Le Ponchel, Saint-Léger-lès-Authie, Sarton, Le Boisle, Saint-Acheul, Labroye, Frohen-sur-Authie, Boufflers, Dominois, Authie, Couin, Douriez, Saulchoy, Coigneux, Nampont, </t>
  </si>
  <si>
    <t xml:space="preserve">Velennes, Choqueuse-les-Bénards, Élencourt, Courcelles-sous-Thoix, Famechon, Fontaine-Bonneleau, Croissy-sur-Celle, Fleury, Bergicourt, Contre, Guizancourt, Daméraucourt, Frémontiers, Catheux, Thoix, </t>
  </si>
  <si>
    <t>TBIN-Eau Seine Normandie</t>
  </si>
  <si>
    <t>PETP</t>
  </si>
  <si>
    <t>Pays de Thiérache - EAU AP</t>
  </si>
  <si>
    <t>Pays de Thiérache - EAU SN</t>
  </si>
  <si>
    <t>PETR DU PAYS DE THIERACHE - EAU AEAP</t>
  </si>
  <si>
    <t xml:space="preserve">Étrœungt, Saint-Souplet, Étreux, Saint-Martin-Rivière, Rocquigny, Fontenelle, La Capelle, Barzy-en-Thiérache, Papleux, La Flamengrie, Fesmy-le-Sart, Larouillies, Le Nouvion-en-Thiérache, Mazinghien, Floyon, Ribeauville, Cartignies, Oisy, Rejet-de-Beaulieu, </t>
  </si>
  <si>
    <t>N'existe plus</t>
  </si>
  <si>
    <t>PAEC du bassin versant de la Bresle - Biodiversité</t>
  </si>
  <si>
    <t>PAEC du bassin versant de la Bresle - Eau</t>
  </si>
  <si>
    <t>Parc Naturel Régional Baie de Somme Picardie maritime - Biodiversité</t>
  </si>
  <si>
    <t>Parc Naturel Régional Baie de Somme Picardie maritime - Eau et zone humide</t>
  </si>
  <si>
    <t>Communauté de communes du Pays de Bray - Biodiversité</t>
  </si>
  <si>
    <t>Communauté de communes du Pays de Bray - Eau</t>
  </si>
  <si>
    <t>Parc Naturel Régional des Caps et Marais d'Opale enjeu eau et zone humide</t>
  </si>
  <si>
    <t>Moyenne vallée de la Somme - Biodiversité</t>
  </si>
  <si>
    <t>Moyenne vallée de la Somme - Eau et zone humide</t>
  </si>
  <si>
    <t>Territoires du Nord-Pas de Calais Biodiversité</t>
  </si>
  <si>
    <t>Prairies de la Thève - Biodiversité</t>
  </si>
  <si>
    <t>Bassins d'alimentation de captage en ZPA du PNR Oise - Pays-de-France - Eau</t>
  </si>
  <si>
    <t>PAEC du bassin versant amont de l'Ourcq</t>
  </si>
  <si>
    <t>Pelouses et landes régionales - Eau AESN</t>
  </si>
  <si>
    <t>Pelouses et landes régionales - Eau AEAP</t>
  </si>
  <si>
    <t>Pays de Thiérache - Erosion</t>
  </si>
  <si>
    <t>PAEC du Pays de Sources et Vallées - Eau AESN</t>
  </si>
  <si>
    <t>03.44.43.19.80 courrier@sourcesetvallees.fr</t>
  </si>
  <si>
    <t>PAEC du Pays de Sources et Vallées - Eau AEAP</t>
  </si>
  <si>
    <t>03.44.43.19.80
service-eau@cc-oisepicarde.fr</t>
  </si>
  <si>
    <t>PAEC du bassin d'alimentation de captage des Sablons</t>
  </si>
  <si>
    <t>PAEC du SIEP du Santerre</t>
  </si>
  <si>
    <t>PAEC des aires d'alimentation de captage du territoire de l'USESA</t>
  </si>
  <si>
    <t>PAEC du Bassin d'alimentation de captage de Wiège-Faty</t>
  </si>
  <si>
    <t>800 €/ha 
ou 0,8 €/ml</t>
  </si>
  <si>
    <t>Montant/ha</t>
  </si>
  <si>
    <t>1. MHU1 &amp; MHU2
2. ESP1, ESP2, ESP3, ESP4
3. IAE1</t>
  </si>
  <si>
    <t>tg</t>
  </si>
  <si>
    <t>Territoire et Biodiversité - Eau AESN</t>
  </si>
  <si>
    <t>Pays de Thiérache - Eau AESN</t>
  </si>
  <si>
    <t>Pays de Thiérache - Eau AEAP</t>
  </si>
  <si>
    <t>Hélène LEDUC
hleduc@pevelecarembault.fr
06 70 94 43 01
Marie-Catherine DESPREZ  06.77.67.30.79  marie-catherine.desprez@npdc.chambagri.fr</t>
  </si>
  <si>
    <t>Marie-Catherine DESPREZ  06.77.67.30.79  marie-catherine.desprez@npdc.chambagri.fr</t>
  </si>
  <si>
    <t>X = 35%  Y = 25 W =2,1 Z =10</t>
  </si>
  <si>
    <t xml:space="preserve">Mis en défens 10% des surfaces engagées
Dates : 31 Août
Travail du sol : un renouvellment par travail superficiel du sol est autorisé aucours de l'engagement
Y= 60 U N  Z =pas de limitation   Z'= pas de limitation
Mg / Ca ? : pas de limitation 
</t>
  </si>
  <si>
    <t>Crépy-en-Valois, Séry-Magneval, Largny-sur-Automne, Essuiles, Bailleval, Agnetz, Allonne, Beauvais, Breuil-le-Vert, Chantilly, Clermont, Duvy, Fouquenies, Goincourt, Russy-Bémont, Tillé, Aux Marais, Silly-le-Long, Nivillers, Noroy, Saint-Léger-en-Bray, Bonneuil-en-Valois, Saint-Vaast-de-Longmont, Valescourt, Roberval, Saint-Germain-la-Poterie, Milly-sur-Thérain, Vauciennes, Laversines, Fitz-James, Fontaine-Saint-Lucien, Avrechy, La Drenne, Bresles, Béthancourt-en-Valois, Le Plessier-sur-Saint-Just, Saint-Omer-en-Chaussée, Abbeville-Saint-Lucien, Béthisy-Saint-Martin, Marolles, Fouilleuse, Bulles, Morienval, Frocourt, Lieuvillers, Gilocourt, Bonnières, Savignies, Auneuil, Étouy, Saint-Paul, Breuil-le-Sec, Hermes, Ormoy-Villers, Pontpoint, Guignecourt, Berneuil-en-Bray, Saint-Sulpice, La Rue-Saint-Pierre, La Neuville-en-Hez, Le Coudray-sur-Thelle, Erquinvillers, Coyolles, Étavigny, Cernoy, Verberie, Béthisy-Saint-Pierre, Feigneux, Orrouy, Péroy-les-Gombries, Vez, Bailleul-sur-Thérain, Saint-Sauveur, Rainvillers, Vaumoise, Boullarre, Montlognon, Herchies, Silly-Tillard, Saint-Martin-le-Nœud, Auger-Saint-Vincent, Néry, Luchy, Therdonne, Hodenc-l'Évêque, Litz, Glaignes, Saint-Jean-aux-Bois, Saintines, Warluis, Juvignies, Troissereux, Ivors, Thury-sous-Clermont, Villeneuve-sur-Verberie, Rhuis, Le Fay-Saint-Quentin, Airion, Auteuil, Fresnoy-la-Rivière, Hondainville, Longueil-Sainte-Marie, Rocquemont, Mauregny-en-Haye</t>
  </si>
  <si>
    <t>Bios sur AESN</t>
  </si>
  <si>
    <t>1 rue René Blondelle
02007 LAON CEDEX
Tél : 03 23 22 51 17
Port : 06 08 24 90 42
E-mail : marie.desmet@aisne.chambagri.fr</t>
  </si>
  <si>
    <r>
      <t xml:space="preserve">Date max implantation = 15 mai et dérogation au 15 juillet en cas de présence de cultures d'hiver
</t>
    </r>
    <r>
      <rPr>
        <sz val="10"/>
        <rFont val="Calibri"/>
        <family val="2"/>
      </rPr>
      <t>X = 5   Y = 20  Z = 0,1 ha</t>
    </r>
    <r>
      <rPr>
        <sz val="10"/>
        <color theme="1"/>
        <rFont val="Calibri"/>
        <family val="2"/>
      </rPr>
      <t xml:space="preserve">
Date sans intervention méca = 15 avril au 15 juillet</t>
    </r>
  </si>
  <si>
    <t>Ce zonage couvre des secteurs diversifiés avec des aires d'alimentation de captage, des milieux humides, côteaux calcaires, bocage, pieds de côteaux. Il est maillé par des zones à enjeux référencées par le Plan de Parc (corridors écologiques, coeurs de biodiversité) et par des zonages reconnus au niveau national (ZNIEFF, zone RAMSAR, Natura 2000).
Les enjeux sur ce zonage sont donc multiples : l'enjeu principal sur la qualité de l'eau, les zones humides et prairies, est complété par les enjeux secondaires de biodiversité, et érosion. Les mesures liées à l'élevage à l'herbe (HBV) permettent d'appuyer le maintien des prairies, et les fonctionnalités de ces dernières vis-à-vis du climat, de l'érosion des sols, du bien-être animal, de la qualité de l'eau et des milieux aquatiques, de la biodiversité. La mesure de création de prairies permanentes (CPRA) est peu contractualisée depuis la nouvelle programmation 2023. Mais elle reste un signal indiquant la volonté des pouvoirs publics d'appuyer l'herbe sur les territoires. Les mesures pour la gestion écologique des milieux prairiaux (ESP, MHU, OUV) appuient la préservation de la bioversité et des habitats prairiaux spécifiques, en particulier en zones humides et sur côteaux calcaires. Les mesures de gestion des IAE (IAE1, IAE3) favorisent la gestion écologique et durable des ligneux et fossés, en faveur de la biodiversité. 
Remarques importantes :
- Ce zonage comprend la zone à enjeu Eau et la zone à enjeu ZH et prairies de l'AEAP; la MAEC IAE3 (fossés) est nécesssaire sur ce zonage, en particulier sur le marais audomarois, situé en ZH.
- Initialement l'AEAP n'a pas ouvert la MAEC OUV2 (ouverture de prairies) sur ce zonage; cependant, cette mesure est nécessaire sur les milieux soumis à l'embroussaillement présents sur le zonage, notamment en zone côtière à Escalles (côteaux calcaires); par ailleurs, des parcelles également soumises à l'embroussaillement sont situées à cheval sur CMOB et CMOH (Tardinghen et Wissant); elles ont été fléchées sur CMOB; si nécessaire sur le plan financier, elles pourraient l'être sur CMOH.</t>
  </si>
  <si>
    <t>Acquin-Westbécourt, Alembon, Alincthun, Ambleteuse, Andres, Arques, Audembert, Baincthun, Balinghem, Bayenghem-lès-Éperlecques, Bazinghen, Bellebrune, Belle-et-Houllefort, Beuvrequen, Blendecques, Bléquin, Boisdinghem, Bouquehault, Bournonville, Boursin, Brunembert, Caffiers, Campagne-lès-Guines, Carly, Clairmarais, Clerques, Cléty, Colembert, Condette, Conteville-lès-Boulogne, Courset, Crémarest, Desvres, Dohem, Doudeauville, Echinghen, Elnes, Éperlecques, Escalles, Esquerdes, Fiennes, Guînes, Halinghen, Hallines, Hardinghen, Helfaut, Henneveux, Hermelinghen, Hervelinghen, Hesdigneul-lès-Boulogne, Hesdin-l'Abbé, Houlle, Isques, La Capelle-lès-Boulogne, Lacres, Landrethun-le-Nord, Landrethun-lès-Ardres, Le Wast, Leubringhen, Leulinghem, Leulinghen-Bernes, Licques, Longfossé, Longuenesse, Longueville, Lottinghen, Lumbres, Maninghen-Henne, Marquise, Menneville, Mentque-Nortbécourt, Moringhem, Moulle, Nabringhen, Nielles-lès-Bléquin, Nieurlet, Nordausques, Nort-Leulinghem, Offrethun, Ouve-Wirquin, Pernes-lès-Boulogne, Pihem, Pittefaux, Quelmes, Quercamps, Quesques, Questrecques, Remilly-Wirquin, Rety, Rinxent, Rodelinghem, Saint-Étienne-au-Mont, Saint-Inglevert, Saint-Martin-Choquel, Saint-Martin-lez-Tatinghem, Saint-Omer, Salperwick, Samer, Sanghen, Selles, Seninghem, Senlecques, Serques, Setques, Tilques, Tingry, Tournehem-sur-la-Hem, Verlincthun, Vieil-Moutier, Wacquinghen, Watten, Wavrans-sur-l'Aa, Wierre-au-Bois, Wierre-Effroy, Wimereux, Wimille, Wirwignes, Wisques, Wissant, Wizernes, Zouafques, Zudausques</t>
  </si>
  <si>
    <t>Ce zonage couvre des terrioires diversifiés, non couverts par les PAEC CMOH (Eau, ZH et Prairies) et CMOR (Erosion) : 
- élevage et polyculture en zone côtière, à Sangatte, au sein du site des Caps, classé Grand site de France
-élevage et polyculture en zone côtière, à Tardinghen, Audresselles, Audinghen, Dannes, Neufchatel-Hardelot, zones concernées par des enjeux de biodiversité (marais de Tardinghen) ou et de lutte contre les ruissellements et l'érosion des sols
- côteaux calcaires
- bassin versant de l'Aa (communes proches du Bléquin, affluent de l'Aa)
Les mesures liées à l'élevage à l'herbe (HBV) permettent d'appuyer le maintien des prairies, et les fonctionnalités de ces dernières vis-à-vis de la biodiversité et aussi du climat, de l'érosion des sols, du bien-être animal, de la qualité de l'eau et des milieux aquatiques. La mesure de création de prairies permanentes (CPRA) est peu contractualisée depuis la nouvelle programmation 2023. Mais elle reste un signal indiquant la volonté des pouvoirs publics d'appuyer l'herbe sur les territoires. Les mesures pour la gestion écologique des milieux prairiaux (ESP, MHU, OUV) appuient la préservation de la bioversité et des habitats prairiaux spécifiques, notamment en zones humides et sur les milieux soumis à une dynamique d'embroussaillement comme les côteaux calcaires ou les prairies côtières sur sable. La MAEC ligneux (IAE1) favorisent la biodiversité liée à la gestion durable des haies et arbres.</t>
  </si>
  <si>
    <t>16 communes : Affringues, Audinghen, Audresselles, Bayenghem-lès-Seninghem, Bouvelinghem, Coulomby, Dannes, Équihen-Plage, Ferques, Ledinghem, Nesles, Neufchâtel-Hardelot, Sangatte, Tardinghen, Vaudringhem, Wismes</t>
  </si>
  <si>
    <t>11 communes : Alquines, Audrehem, Bainghen, Bonningues-lès-Ardres, Escœuilles, Haut-Loquin, Herbinghen, Hocquinghen, Journy, Rebergues, Surques</t>
  </si>
  <si>
    <t>Ce zonage couvre des secteurs de polyculture et d'élevage sur le bassin versant de la Hem et ses affluents. L'enjeu de lutte contre l'érosion des sols et contre les phénomènes de ruissellement est donc essentiel,  pour le maintien de la qualité des milieux aquatiques vis-à-vis des polluants chimiques et MES. Les  MAEC ouvertes y contribuent :
- l'adaptation des pratiques agricoles en cultures, favorisant le semis direct et la couverture des sols (MAEC SDC)
- le maintien des prairies et de l'élevage à l'herbe (HBV, CPRA)
- le maintien des haies grâce à la gestion durable (IAE1)
Remarque importante :
Initialement l'AEAP n'a pas ouvert la MAEC OUV2 (ouverture de prairies) sur ce zonage; cependant, la présence de côteaux calcaires justifie l'ouverture de cette mesure, en appui à la préservation de la biodiversité sur ces milieux.</t>
  </si>
  <si>
    <t>Dates :
Travail du sol : autorisé
X = 0 
Y = 30 U, sauf sur parcelle humide ou périmètre rapproché de captage.
Z = Z'= 0 aucune fertilisation
Mg / Ca ? :</t>
  </si>
  <si>
    <t>X = 10% Y = 1% V = 1% W = 0,2% REH &gt;=100 Kg/ha
Dates = du 16 mars au 15 août</t>
  </si>
  <si>
    <t xml:space="preserve">Vercourt, Saint-Quentin-en-Tourmont, Port-le-Grand, Saigneville, Noyelles-sur-Mer, Ponthoile, Rue, Le Crotoy, Fort-Mahon-Plage, Quend, Brutelles, Pendé, Favières, Woignarue, Villers-sur-Authie, Lanchères, Cayeux-sur-Mer, Arry, Vron, Boismont, Saint-Valery-sur-Somme, Grand-Laviers, Nampont </t>
  </si>
  <si>
    <t xml:space="preserve">X ≤1,4 UGB/ha/an 
Y ≥0,2UGB/ha/an 
MHU1 : W ≤50kgN/ha/5ans - Limite de fertilisation P et K : P≤30kg/ha/an et K≤30kg/ha/an
MHU2 : Absence totale d'apport de fertilisants azotée minéraux et organiques (hors apport par paturage)
Z ≤1UGB/ha 
Période hivernale : 01/12 au 28/02
Interdiction Ca/Mg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</si>
</sst>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0\ &quot;€&quot;;[Red]\-#,##0\ &quot;€&quot;"/>
    <numFmt numFmtId="44" formatCode="_-* #,##0.00\ &quot;€&quot;_-;\-* #,##0.00\ &quot;€&quot;_-;_-* &quot;-&quot;??\ &quot;€&quot;_-;_-@_-"/>
    <numFmt numFmtId="43" formatCode="_-* #,##0.00_-;\-* #,##0.00_-;_-* &quot;-&quot;??_-;_-@_-"/>
    <numFmt numFmtId="164" formatCode="_-* #,##0\ &quot;€&quot;_-;\-* #,##0\ &quot;€&quot;_-;_-* &quot;-&quot;??\ &quot;€&quot;_-;_-@_-"/>
    <numFmt numFmtId="165" formatCode="_-* #,##0_-;\-* #,##0_-;_-* &quot;-&quot;??_-;_-@_-"/>
    <numFmt numFmtId="166" formatCode="_-* #,##0\ [$€-40C]_-;\-* #,##0\ [$€-40C]_-;_-* &quot;-&quot;??\ [$€-40C]_-;_-@_-"/>
    <numFmt numFmtId="167" formatCode="#,##0\ &quot;€&quot;"/>
    <numFmt numFmtId="168" formatCode="#,##0.00\ &quot;€&quot;"/>
  </numFmts>
  <fonts count="90">
    <font>
      <sz val="11"/>
      <color theme="1"/>
      <name val="Calibri"/>
      <family val="2"/>
      <scheme val="minor"/>
    </font>
    <font>
      <sz val="11"/>
      <color theme="0"/>
      <name val="Calibri"/>
      <family val="2"/>
      <scheme val="minor"/>
    </font>
    <font>
      <sz val="11"/>
      <color theme="2"/>
      <name val="Calibri"/>
      <family val="2"/>
      <scheme val="minor"/>
    </font>
    <font>
      <sz val="10"/>
      <color theme="1"/>
      <name val="Calibri"/>
      <family val="2"/>
      <scheme val="minor"/>
    </font>
    <font>
      <sz val="11"/>
      <color theme="2" tint="-9.9978637043366805E-2"/>
      <name val="Calibri"/>
      <family val="2"/>
      <scheme val="minor"/>
    </font>
    <font>
      <sz val="9"/>
      <color indexed="81"/>
      <name val="Tahoma"/>
      <family val="2"/>
    </font>
    <font>
      <sz val="10"/>
      <color rgb="FFFF0000"/>
      <name val="Calibri"/>
      <family val="2"/>
      <scheme val="minor"/>
    </font>
    <font>
      <sz val="11"/>
      <color theme="1"/>
      <name val="Calibri"/>
      <family val="2"/>
      <scheme val="minor"/>
    </font>
    <font>
      <u/>
      <sz val="11"/>
      <color theme="10"/>
      <name val="Calibri"/>
      <family val="2"/>
      <scheme val="minor"/>
    </font>
    <font>
      <sz val="14"/>
      <color theme="0"/>
      <name val="Calibri"/>
      <family val="2"/>
      <scheme val="minor"/>
    </font>
    <font>
      <sz val="12"/>
      <color rgb="FF002060"/>
      <name val="Calibri"/>
      <family val="2"/>
      <scheme val="minor"/>
    </font>
    <font>
      <u/>
      <sz val="11"/>
      <color theme="1"/>
      <name val="Calibri"/>
      <family val="2"/>
      <scheme val="minor"/>
    </font>
    <font>
      <u/>
      <sz val="11"/>
      <color theme="8" tint="-0.499984740745262"/>
      <name val="Calibri"/>
      <family val="2"/>
      <scheme val="minor"/>
    </font>
    <font>
      <sz val="11"/>
      <color rgb="FF000000"/>
      <name val="Calibri"/>
      <family val="2"/>
      <scheme val="minor"/>
    </font>
    <font>
      <u/>
      <sz val="11"/>
      <color rgb="FF000000"/>
      <name val="Calibri"/>
      <family val="2"/>
      <scheme val="minor"/>
    </font>
    <font>
      <b/>
      <sz val="12"/>
      <name val="Calibri"/>
      <family val="2"/>
      <scheme val="minor"/>
    </font>
    <font>
      <sz val="12"/>
      <name val="Calibri"/>
      <family val="2"/>
      <scheme val="minor"/>
    </font>
    <font>
      <sz val="11"/>
      <name val="Calibri"/>
      <family val="2"/>
      <scheme val="minor"/>
    </font>
    <font>
      <sz val="10"/>
      <name val="Calibri"/>
      <family val="2"/>
      <scheme val="minor"/>
    </font>
    <font>
      <b/>
      <sz val="9"/>
      <color indexed="81"/>
      <name val="Tahoma"/>
      <family val="2"/>
    </font>
    <font>
      <u/>
      <sz val="9"/>
      <color indexed="81"/>
      <name val="Tahoma"/>
      <family val="2"/>
    </font>
    <font>
      <sz val="9"/>
      <color rgb="FF000000"/>
      <name val="Marianne"/>
      <family val="3"/>
    </font>
    <font>
      <sz val="11"/>
      <color theme="8" tint="-0.499984740745262"/>
      <name val="Calibri"/>
      <family val="2"/>
      <scheme val="minor"/>
    </font>
    <font>
      <b/>
      <sz val="11"/>
      <color theme="1"/>
      <name val="Calibri"/>
      <family val="2"/>
      <scheme val="minor"/>
    </font>
    <font>
      <b/>
      <sz val="12"/>
      <color theme="1"/>
      <name val="Calibri"/>
      <family val="2"/>
      <scheme val="minor"/>
    </font>
    <font>
      <sz val="14"/>
      <color theme="1"/>
      <name val="Calibri"/>
      <family val="2"/>
      <scheme val="minor"/>
    </font>
    <font>
      <b/>
      <u/>
      <sz val="9"/>
      <color indexed="81"/>
      <name val="Tahoma"/>
      <family val="2"/>
    </font>
    <font>
      <sz val="11"/>
      <color theme="0"/>
      <name val="Calibri"/>
      <family val="2"/>
    </font>
    <font>
      <sz val="11"/>
      <color theme="1"/>
      <name val="Calibri"/>
      <family val="2"/>
    </font>
    <font>
      <sz val="11"/>
      <name val="Calibri"/>
      <family val="2"/>
    </font>
    <font>
      <u/>
      <sz val="11"/>
      <name val="Calibri"/>
      <family val="2"/>
    </font>
    <font>
      <sz val="11"/>
      <color rgb="FFFF0000"/>
      <name val="Calibri"/>
      <family val="2"/>
    </font>
    <font>
      <sz val="10"/>
      <color theme="1"/>
      <name val="Calibri"/>
      <family val="2"/>
    </font>
    <font>
      <b/>
      <u/>
      <sz val="11"/>
      <color rgb="FFFF0000"/>
      <name val="Calibri"/>
      <family val="2"/>
    </font>
    <font>
      <b/>
      <sz val="11"/>
      <color theme="1"/>
      <name val="Calibri"/>
      <family val="2"/>
    </font>
    <font>
      <sz val="12"/>
      <color theme="1"/>
      <name val="Calibri"/>
      <family val="2"/>
    </font>
    <font>
      <sz val="10"/>
      <color rgb="FFFF0000"/>
      <name val="Calibri"/>
      <family val="2"/>
    </font>
    <font>
      <sz val="11"/>
      <color theme="1"/>
      <name val="Calibri"/>
      <family val="2"/>
      <scheme val="minor"/>
    </font>
    <font>
      <b/>
      <sz val="11"/>
      <name val="Calibri"/>
      <family val="2"/>
    </font>
    <font>
      <sz val="10"/>
      <name val="Calibri"/>
      <family val="2"/>
    </font>
    <font>
      <b/>
      <u/>
      <sz val="11"/>
      <name val="Calibri"/>
      <family val="2"/>
    </font>
    <font>
      <sz val="11"/>
      <color theme="0"/>
      <name val="Calibri"/>
      <family val="2"/>
    </font>
    <font>
      <sz val="11"/>
      <color theme="1"/>
      <name val="Calibri"/>
      <family val="2"/>
    </font>
    <font>
      <sz val="11"/>
      <name val="Calibri"/>
      <family val="2"/>
    </font>
    <font>
      <u/>
      <sz val="11"/>
      <color theme="10"/>
      <name val="Calibri"/>
      <family val="2"/>
    </font>
    <font>
      <sz val="11"/>
      <color rgb="FFFF0000"/>
      <name val="Calibri"/>
      <family val="2"/>
    </font>
    <font>
      <b/>
      <u/>
      <sz val="11"/>
      <color rgb="FFFF0000"/>
      <name val="Calibri"/>
      <family val="2"/>
    </font>
    <font>
      <b/>
      <sz val="11"/>
      <color theme="1"/>
      <name val="Calibri"/>
      <family val="2"/>
    </font>
    <font>
      <sz val="10"/>
      <color theme="1"/>
      <name val="Calibri"/>
      <family val="2"/>
    </font>
    <font>
      <sz val="12"/>
      <color theme="1"/>
      <name val="Calibri"/>
      <family val="2"/>
    </font>
    <font>
      <sz val="10"/>
      <color rgb="FFFF0000"/>
      <name val="Calibri"/>
      <family val="2"/>
    </font>
    <font>
      <b/>
      <sz val="12"/>
      <color theme="1"/>
      <name val="Calibri"/>
      <family val="2"/>
    </font>
    <font>
      <sz val="10"/>
      <name val="Arial"/>
      <family val="2"/>
    </font>
    <font>
      <sz val="11"/>
      <color theme="8"/>
      <name val="Calibri"/>
      <family val="2"/>
    </font>
    <font>
      <sz val="8"/>
      <color theme="1"/>
      <name val="Calibri"/>
      <family val="2"/>
    </font>
    <font>
      <b/>
      <sz val="10"/>
      <color theme="1"/>
      <name val="Calibri"/>
      <family val="2"/>
    </font>
    <font>
      <u/>
      <sz val="11"/>
      <color theme="10"/>
      <name val="Calibri"/>
      <family val="2"/>
    </font>
    <font>
      <sz val="10"/>
      <color theme="1"/>
      <name val="Century Gothic"/>
      <family val="2"/>
    </font>
    <font>
      <sz val="11"/>
      <color theme="1"/>
      <name val="Calibri"/>
      <family val="2"/>
    </font>
    <font>
      <u/>
      <sz val="11"/>
      <name val="Calibri"/>
      <family val="2"/>
      <scheme val="minor"/>
    </font>
    <font>
      <b/>
      <sz val="14"/>
      <color theme="1"/>
      <name val="Calibri"/>
      <family val="2"/>
    </font>
    <font>
      <sz val="11"/>
      <color rgb="FFFFFFFF"/>
      <name val="Calibri"/>
      <family val="2"/>
    </font>
    <font>
      <b/>
      <sz val="14"/>
      <color theme="1"/>
      <name val="Calibri"/>
      <family val="2"/>
    </font>
    <font>
      <sz val="11"/>
      <color rgb="FFFFFFFF"/>
      <name val="Calibri"/>
      <family val="2"/>
    </font>
    <font>
      <sz val="11"/>
      <color rgb="FFFF0000"/>
      <name val="Calibri"/>
      <family val="2"/>
      <scheme val="minor"/>
    </font>
    <font>
      <sz val="12"/>
      <color rgb="FF000000"/>
      <name val="Calibri"/>
      <family val="2"/>
      <scheme val="minor"/>
    </font>
    <font>
      <sz val="14"/>
      <color rgb="FF000000"/>
      <name val="Arial"/>
      <family val="2"/>
    </font>
    <font>
      <sz val="11"/>
      <color theme="1"/>
      <name val="Calibri"/>
      <family val="2"/>
      <scheme val="minor"/>
    </font>
    <font>
      <sz val="11"/>
      <name val="Calibri"/>
      <family val="2"/>
    </font>
    <font>
      <u/>
      <sz val="11"/>
      <color theme="10"/>
      <name val="Calibri"/>
      <family val="2"/>
      <scheme val="minor"/>
    </font>
    <font>
      <sz val="11"/>
      <color theme="1"/>
      <name val="Calibri"/>
      <family val="2"/>
    </font>
    <font>
      <b/>
      <sz val="11"/>
      <color theme="1"/>
      <name val="Calibri"/>
      <family val="2"/>
    </font>
    <font>
      <b/>
      <sz val="10"/>
      <color rgb="FFFF0000"/>
      <name val="Calibri"/>
      <family val="2"/>
      <scheme val="minor"/>
    </font>
    <font>
      <b/>
      <sz val="11"/>
      <color rgb="FF000000"/>
      <name val="Calibri"/>
      <family val="2"/>
      <scheme val="minor"/>
    </font>
    <font>
      <sz val="11"/>
      <color theme="1"/>
      <name val="Calibri"/>
      <scheme val="minor"/>
    </font>
    <font>
      <u/>
      <sz val="11"/>
      <color theme="10"/>
      <name val="Calibri"/>
      <scheme val="minor"/>
    </font>
    <font>
      <sz val="11"/>
      <color theme="1"/>
      <name val="Calibri"/>
    </font>
    <font>
      <sz val="11"/>
      <name val="Calibri"/>
    </font>
    <font>
      <b/>
      <sz val="11"/>
      <color theme="1"/>
      <name val="Calibri"/>
    </font>
    <font>
      <sz val="9"/>
      <color rgb="FF000000"/>
      <name val="Docs-Calibri"/>
    </font>
    <font>
      <sz val="11"/>
      <color theme="8"/>
      <name val="Calibri"/>
      <family val="2"/>
      <scheme val="minor"/>
    </font>
    <font>
      <sz val="11"/>
      <color theme="1"/>
      <name val="Arial Narrow"/>
      <family val="2"/>
    </font>
    <font>
      <sz val="11"/>
      <color rgb="FF000000"/>
      <name val="Calibri"/>
      <charset val="1"/>
      <scheme val="minor"/>
    </font>
    <font>
      <sz val="11"/>
      <color rgb="FF000000"/>
      <name val="Calibri"/>
      <scheme val="minor"/>
    </font>
    <font>
      <sz val="9"/>
      <color rgb="FF1F1F1F"/>
      <name val="Google Sans"/>
      <charset val="1"/>
    </font>
    <font>
      <sz val="11"/>
      <color rgb="FF242424"/>
      <name val="Aptos Narrow"/>
      <charset val="1"/>
    </font>
    <font>
      <sz val="11"/>
      <color rgb="FF242424"/>
      <name val="Aptos Narrow"/>
      <family val="2"/>
    </font>
    <font>
      <sz val="11"/>
      <color rgb="FF000000"/>
      <name val="Calibri"/>
      <family val="2"/>
    </font>
    <font>
      <b/>
      <sz val="11"/>
      <color rgb="FF000000"/>
      <name val="Calibri"/>
      <family val="2"/>
    </font>
    <font>
      <sz val="11"/>
      <color theme="1"/>
      <name val="Sylfaen"/>
      <family val="1"/>
    </font>
  </fonts>
  <fills count="46">
    <fill>
      <patternFill patternType="none"/>
    </fill>
    <fill>
      <patternFill patternType="gray125"/>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8" tint="-0.49998474074526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B1EDDF"/>
        <bgColor indexed="64"/>
      </patternFill>
    </fill>
    <fill>
      <patternFill patternType="solid">
        <fgColor rgb="FF97E4FF"/>
        <bgColor indexed="64"/>
      </patternFill>
    </fill>
    <fill>
      <patternFill patternType="solid">
        <fgColor rgb="FFB4E43C"/>
        <bgColor indexed="64"/>
      </patternFill>
    </fill>
    <fill>
      <patternFill patternType="solid">
        <fgColor theme="7"/>
        <bgColor indexed="64"/>
      </patternFill>
    </fill>
    <fill>
      <patternFill patternType="solid">
        <fgColor rgb="FFB4C6E7"/>
        <bgColor indexed="64"/>
      </patternFill>
    </fill>
    <fill>
      <patternFill patternType="solid">
        <fgColor rgb="FFC5E0B3"/>
        <bgColor indexed="64"/>
      </patternFill>
    </fill>
    <fill>
      <patternFill patternType="solid">
        <fgColor rgb="FFFFE599"/>
        <bgColor indexed="64"/>
      </patternFill>
    </fill>
    <fill>
      <patternFill patternType="solid">
        <fgColor theme="7" tint="0.79998168889431442"/>
        <bgColor indexed="64"/>
      </patternFill>
    </fill>
    <fill>
      <patternFill patternType="solid">
        <fgColor rgb="FFFFC000"/>
        <bgColor indexed="64"/>
      </patternFill>
    </fill>
    <fill>
      <patternFill patternType="solid">
        <fgColor rgb="FFFEE2E5"/>
        <bgColor indexed="64"/>
      </patternFill>
    </fill>
    <fill>
      <patternFill patternType="solid">
        <fgColor rgb="FF92D050"/>
        <bgColor indexed="64"/>
      </patternFill>
    </fill>
    <fill>
      <patternFill patternType="solid">
        <fgColor theme="4"/>
        <bgColor indexed="64"/>
      </patternFill>
    </fill>
    <fill>
      <patternFill patternType="solid">
        <fgColor rgb="FF1F3864"/>
        <bgColor rgb="FF1F3864"/>
      </patternFill>
    </fill>
    <fill>
      <patternFill patternType="solid">
        <fgColor rgb="FFFBE4D5"/>
        <bgColor rgb="FFFBE4D5"/>
      </patternFill>
    </fill>
    <fill>
      <patternFill patternType="solid">
        <fgColor rgb="FFDEEAF6"/>
        <bgColor rgb="FFDEEAF6"/>
      </patternFill>
    </fill>
    <fill>
      <patternFill patternType="solid">
        <fgColor rgb="FFDDEBF7"/>
        <bgColor rgb="FFDDEBF7"/>
      </patternFill>
    </fill>
    <fill>
      <patternFill patternType="solid">
        <fgColor rgb="FFD8D8D8"/>
        <bgColor rgb="FFD8D8D8"/>
      </patternFill>
    </fill>
    <fill>
      <patternFill patternType="solid">
        <fgColor rgb="FFF4B083"/>
        <bgColor rgb="FFF4B083"/>
      </patternFill>
    </fill>
    <fill>
      <patternFill patternType="solid">
        <fgColor rgb="FFFFE598"/>
        <bgColor rgb="FFFFE598"/>
      </patternFill>
    </fill>
    <fill>
      <patternFill patternType="solid">
        <fgColor rgb="FFC5E0B3"/>
        <bgColor rgb="FFC5E0B3"/>
      </patternFill>
    </fill>
    <fill>
      <patternFill patternType="solid">
        <fgColor theme="0"/>
        <bgColor rgb="FF1F3864"/>
      </patternFill>
    </fill>
    <fill>
      <patternFill patternType="solid">
        <fgColor rgb="FFFFFF00"/>
        <bgColor indexed="64"/>
      </patternFill>
    </fill>
    <fill>
      <patternFill patternType="solid">
        <fgColor rgb="FFFDCFED"/>
        <bgColor indexed="64"/>
      </patternFill>
    </fill>
    <fill>
      <patternFill patternType="solid">
        <fgColor rgb="FF00B0F0"/>
        <bgColor indexed="64"/>
      </patternFill>
    </fill>
    <fill>
      <patternFill patternType="solid">
        <fgColor rgb="FF9CC2E5"/>
        <bgColor rgb="FF9CC2E5"/>
      </patternFill>
    </fill>
    <fill>
      <patternFill patternType="solid">
        <fgColor rgb="FFFFFF00"/>
        <bgColor rgb="FF9CC2E5"/>
      </patternFill>
    </fill>
    <fill>
      <patternFill patternType="solid">
        <fgColor theme="2" tint="-0.249977111117893"/>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0" tint="-0.34998626667073579"/>
        <bgColor indexed="64"/>
      </patternFill>
    </fill>
    <fill>
      <patternFill patternType="solid">
        <fgColor theme="0" tint="-0.34998626667073579"/>
        <bgColor rgb="FFF4B083"/>
      </patternFill>
    </fill>
    <fill>
      <patternFill patternType="solid">
        <fgColor rgb="FFD8D8D8"/>
        <bgColor indexed="64"/>
      </patternFill>
    </fill>
    <fill>
      <patternFill patternType="solid">
        <fgColor rgb="FFC9DAF8"/>
        <bgColor rgb="FFC9DAF8"/>
      </patternFill>
    </fill>
    <fill>
      <patternFill patternType="solid">
        <fgColor theme="2"/>
        <bgColor indexed="64"/>
      </patternFill>
    </fill>
    <fill>
      <patternFill patternType="solid">
        <fgColor rgb="FFFFFFFF"/>
        <bgColor indexed="64"/>
      </patternFill>
    </fill>
    <fill>
      <patternFill patternType="solid">
        <fgColor rgb="FFB7E1CD"/>
        <bgColor indexed="64"/>
      </patternFill>
    </fill>
    <fill>
      <patternFill patternType="solid">
        <fgColor rgb="FFF2F2F2"/>
        <bgColor indexed="64"/>
      </patternFill>
    </fill>
  </fills>
  <borders count="21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theme="1"/>
      </right>
      <top style="thin">
        <color theme="1"/>
      </top>
      <bottom style="thin">
        <color theme="1"/>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medium">
        <color rgb="FF000000"/>
      </left>
      <right/>
      <top style="medium">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medium">
        <color rgb="FF000000"/>
      </left>
      <right/>
      <top/>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style="medium">
        <color rgb="FF000000"/>
      </left>
      <right style="medium">
        <color rgb="FF000000"/>
      </right>
      <top style="medium">
        <color rgb="FF000000"/>
      </top>
      <bottom style="medium">
        <color rgb="FF000000"/>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top/>
      <bottom style="thin">
        <color rgb="FF000000"/>
      </bottom>
      <diagonal/>
    </border>
    <border>
      <left/>
      <right style="thin">
        <color rgb="FF000000"/>
      </right>
      <top/>
      <bottom/>
      <diagonal/>
    </border>
    <border>
      <left style="medium">
        <color rgb="FF000000"/>
      </left>
      <right style="medium">
        <color rgb="FF000000"/>
      </right>
      <top style="thin">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bottom/>
      <diagonal/>
    </border>
    <border>
      <left style="medium">
        <color rgb="FF000000"/>
      </left>
      <right style="medium">
        <color rgb="FF000000"/>
      </right>
      <top style="thin">
        <color rgb="FF000000"/>
      </top>
      <bottom/>
      <diagonal/>
    </border>
    <border>
      <left/>
      <right style="medium">
        <color rgb="FF000000"/>
      </right>
      <top/>
      <bottom/>
      <diagonal/>
    </border>
    <border>
      <left style="thin">
        <color rgb="FF000000"/>
      </left>
      <right/>
      <top/>
      <bottom style="thin">
        <color rgb="FF000000"/>
      </bottom>
      <diagonal/>
    </border>
    <border>
      <left/>
      <right style="medium">
        <color rgb="FF000000"/>
      </right>
      <top/>
      <bottom style="thin">
        <color rgb="FF000000"/>
      </bottom>
      <diagonal/>
    </border>
    <border>
      <left/>
      <right style="medium">
        <color rgb="FF000000"/>
      </right>
      <top style="thin">
        <color rgb="FF000000"/>
      </top>
      <bottom/>
      <diagonal/>
    </border>
    <border>
      <left/>
      <right/>
      <top style="medium">
        <color rgb="FF000000"/>
      </top>
      <bottom/>
      <diagonal/>
    </border>
    <border>
      <left/>
      <right style="medium">
        <color rgb="FF000000"/>
      </right>
      <top style="medium">
        <color rgb="FF000000"/>
      </top>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thin">
        <color rgb="FF000000"/>
      </top>
      <bottom/>
      <diagonal/>
    </border>
    <border>
      <left style="medium">
        <color rgb="FF000000"/>
      </left>
      <right style="medium">
        <color rgb="FF000000"/>
      </right>
      <top style="medium">
        <color indexed="64"/>
      </top>
      <bottom style="thin">
        <color rgb="FF000000"/>
      </bottom>
      <diagonal/>
    </border>
    <border>
      <left style="medium">
        <color rgb="FF000000"/>
      </left>
      <right/>
      <top style="medium">
        <color indexed="64"/>
      </top>
      <bottom style="thin">
        <color rgb="FF000000"/>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indexed="64"/>
      </left>
      <right/>
      <top style="thin">
        <color rgb="FF000000"/>
      </top>
      <bottom/>
      <diagonal/>
    </border>
    <border>
      <left/>
      <right style="medium">
        <color indexed="64"/>
      </right>
      <top style="thin">
        <color rgb="FF000000"/>
      </top>
      <bottom/>
      <diagonal/>
    </border>
    <border>
      <left style="medium">
        <color indexed="64"/>
      </left>
      <right/>
      <top style="medium">
        <color rgb="FF000000"/>
      </top>
      <bottom style="medium">
        <color rgb="FF000000"/>
      </bottom>
      <diagonal/>
    </border>
    <border>
      <left/>
      <right style="medium">
        <color indexed="64"/>
      </right>
      <top style="thin">
        <color rgb="FF000000"/>
      </top>
      <bottom style="thin">
        <color rgb="FF000000"/>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medium">
        <color rgb="FF000000"/>
      </left>
      <right/>
      <top style="thin">
        <color rgb="FF000000"/>
      </top>
      <bottom style="medium">
        <color indexed="64"/>
      </bottom>
      <diagonal/>
    </border>
    <border>
      <left style="medium">
        <color rgb="FF000000"/>
      </left>
      <right style="medium">
        <color rgb="FF000000"/>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rgb="FF000000"/>
      </top>
      <bottom style="thin">
        <color rgb="FF000000"/>
      </bottom>
      <diagonal/>
    </border>
    <border>
      <left style="medium">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medium">
        <color indexed="64"/>
      </left>
      <right style="medium">
        <color rgb="FF000000"/>
      </right>
      <top style="medium">
        <color indexed="64"/>
      </top>
      <bottom style="thin">
        <color rgb="FF000000"/>
      </bottom>
      <diagonal/>
    </border>
    <border>
      <left style="medium">
        <color indexed="64"/>
      </left>
      <right style="medium">
        <color rgb="FF000000"/>
      </right>
      <top/>
      <bottom style="thin">
        <color rgb="FF000000"/>
      </bottom>
      <diagonal/>
    </border>
    <border>
      <left style="medium">
        <color indexed="64"/>
      </left>
      <right style="medium">
        <color rgb="FF000000"/>
      </right>
      <top style="thin">
        <color rgb="FF000000"/>
      </top>
      <bottom style="medium">
        <color indexed="64"/>
      </bottom>
      <diagonal/>
    </border>
    <border>
      <left style="medium">
        <color indexed="64"/>
      </left>
      <right style="medium">
        <color rgb="FF000000"/>
      </right>
      <top style="thin">
        <color rgb="FF000000"/>
      </top>
      <bottom style="thin">
        <color rgb="FF000000"/>
      </bottom>
      <diagonal/>
    </border>
    <border>
      <left style="medium">
        <color indexed="64"/>
      </left>
      <right style="medium">
        <color rgb="FF000000"/>
      </right>
      <top style="thin">
        <color rgb="FF000000"/>
      </top>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indexed="64"/>
      </left>
      <right style="medium">
        <color rgb="FF000000"/>
      </right>
      <top style="medium">
        <color indexed="64"/>
      </top>
      <bottom style="medium">
        <color indexed="64"/>
      </bottom>
      <diagonal/>
    </border>
    <border>
      <left style="medium">
        <color indexed="64"/>
      </left>
      <right style="medium">
        <color rgb="FF000000"/>
      </right>
      <top style="thin">
        <color rgb="FF000000"/>
      </top>
      <bottom style="medium">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rgb="FF000000"/>
      </left>
      <right/>
      <top/>
      <bottom style="medium">
        <color rgb="FF000000"/>
      </bottom>
      <diagonal/>
    </border>
    <border>
      <left style="thin">
        <color rgb="FF000000"/>
      </left>
      <right/>
      <top style="medium">
        <color rgb="FF000000"/>
      </top>
      <bottom/>
      <diagonal/>
    </border>
    <border>
      <left/>
      <right style="medium">
        <color rgb="FF000000"/>
      </right>
      <top style="thin">
        <color rgb="FF000000"/>
      </top>
      <bottom style="thin">
        <color rgb="FF000000"/>
      </bottom>
      <diagonal/>
    </border>
    <border>
      <left style="medium">
        <color rgb="FF000000"/>
      </left>
      <right/>
      <top style="thin">
        <color indexed="64"/>
      </top>
      <bottom style="thin">
        <color rgb="FF000000"/>
      </bottom>
      <diagonal/>
    </border>
    <border>
      <left/>
      <right/>
      <top style="thin">
        <color indexed="64"/>
      </top>
      <bottom style="thin">
        <color rgb="FF000000"/>
      </bottom>
      <diagonal/>
    </border>
    <border>
      <left/>
      <right style="medium">
        <color indexed="64"/>
      </right>
      <top style="thin">
        <color indexed="64"/>
      </top>
      <bottom style="thin">
        <color rgb="FF000000"/>
      </bottom>
      <diagonal/>
    </border>
    <border>
      <left style="medium">
        <color rgb="FF000000"/>
      </left>
      <right/>
      <top style="thin">
        <color indexed="64"/>
      </top>
      <bottom style="thin">
        <color indexed="64"/>
      </bottom>
      <diagonal/>
    </border>
    <border>
      <left/>
      <right style="medium">
        <color indexed="64"/>
      </right>
      <top style="thin">
        <color rgb="FF000000"/>
      </top>
      <bottom style="thin">
        <color indexed="64"/>
      </bottom>
      <diagonal/>
    </border>
    <border>
      <left style="medium">
        <color rgb="FF000000"/>
      </left>
      <right style="medium">
        <color rgb="FF000000"/>
      </right>
      <top/>
      <bottom/>
      <diagonal/>
    </border>
    <border>
      <left/>
      <right style="medium">
        <color rgb="FF000000"/>
      </right>
      <top/>
      <bottom style="thin">
        <color indexed="64"/>
      </bottom>
      <diagonal/>
    </border>
    <border>
      <left/>
      <right style="medium">
        <color rgb="FF000000"/>
      </right>
      <top style="thin">
        <color rgb="FF000000"/>
      </top>
      <bottom style="medium">
        <color rgb="FF000000"/>
      </bottom>
      <diagonal/>
    </border>
    <border>
      <left style="medium">
        <color indexed="64"/>
      </left>
      <right style="medium">
        <color indexed="64"/>
      </right>
      <top style="medium">
        <color indexed="64"/>
      </top>
      <bottom style="medium">
        <color rgb="FF000000"/>
      </bottom>
      <diagonal/>
    </border>
    <border>
      <left style="thin">
        <color indexed="64"/>
      </left>
      <right/>
      <top style="thin">
        <color rgb="FF000000"/>
      </top>
      <bottom style="thin">
        <color rgb="FF000000"/>
      </bottom>
      <diagonal/>
    </border>
    <border>
      <left style="medium">
        <color indexed="64"/>
      </left>
      <right style="medium">
        <color indexed="64"/>
      </right>
      <top style="medium">
        <color rgb="FF000000"/>
      </top>
      <bottom style="medium">
        <color indexed="64"/>
      </bottom>
      <diagonal/>
    </border>
    <border>
      <left style="thin">
        <color rgb="FF000000"/>
      </left>
      <right/>
      <top style="thin">
        <color rgb="FF000000"/>
      </top>
      <bottom style="thick">
        <color rgb="FF000000"/>
      </bottom>
      <diagonal/>
    </border>
    <border>
      <left/>
      <right/>
      <top style="thin">
        <color rgb="FF000000"/>
      </top>
      <bottom style="thick">
        <color rgb="FF000000"/>
      </bottom>
      <diagonal/>
    </border>
    <border>
      <left/>
      <right style="thin">
        <color rgb="FF000000"/>
      </right>
      <top style="thin">
        <color rgb="FF000000"/>
      </top>
      <bottom style="thick">
        <color rgb="FF000000"/>
      </bottom>
      <diagonal/>
    </border>
    <border>
      <left style="thin">
        <color rgb="FF000000"/>
      </left>
      <right/>
      <top style="thin">
        <color rgb="FFCCCCCC"/>
      </top>
      <bottom style="thick">
        <color rgb="FF000000"/>
      </bottom>
      <diagonal/>
    </border>
    <border>
      <left/>
      <right/>
      <top style="thin">
        <color rgb="FFCCCCCC"/>
      </top>
      <bottom style="thick">
        <color rgb="FF000000"/>
      </bottom>
      <diagonal/>
    </border>
    <border>
      <left/>
      <right style="thin">
        <color rgb="FF000000"/>
      </right>
      <top style="thin">
        <color rgb="FFCCCCCC"/>
      </top>
      <bottom style="thick">
        <color rgb="FF000000"/>
      </bottom>
      <diagonal/>
    </border>
    <border>
      <left style="thin">
        <color rgb="FF000000"/>
      </left>
      <right style="thin">
        <color rgb="FFCCCCCC"/>
      </right>
      <top style="thin">
        <color rgb="FFCCCCCC"/>
      </top>
      <bottom style="thick">
        <color rgb="FF000000"/>
      </bottom>
      <diagonal/>
    </border>
    <border>
      <left style="thin">
        <color rgb="FFCCCCCC"/>
      </left>
      <right style="thin">
        <color rgb="FFCCCCCC"/>
      </right>
      <top style="thin">
        <color rgb="FFCCCCCC"/>
      </top>
      <bottom style="thick">
        <color rgb="FF000000"/>
      </bottom>
      <diagonal/>
    </border>
    <border>
      <left style="thin">
        <color rgb="FFCCCCCC"/>
      </left>
      <right style="thin">
        <color rgb="FF000000"/>
      </right>
      <top style="thin">
        <color rgb="FFCCCCCC"/>
      </top>
      <bottom style="thick">
        <color rgb="FF000000"/>
      </bottom>
      <diagonal/>
    </border>
    <border>
      <left style="thin">
        <color rgb="FF000000"/>
      </left>
      <right/>
      <top style="thin">
        <color rgb="FFCCCCCC"/>
      </top>
      <bottom style="thin">
        <color rgb="FF000000"/>
      </bottom>
      <diagonal/>
    </border>
    <border>
      <left/>
      <right/>
      <top style="thin">
        <color rgb="FFCCCCCC"/>
      </top>
      <bottom style="thin">
        <color rgb="FF000000"/>
      </bottom>
      <diagonal/>
    </border>
    <border>
      <left/>
      <right style="thin">
        <color rgb="FF000000"/>
      </right>
      <top style="thin">
        <color rgb="FFCCCCCC"/>
      </top>
      <bottom style="thin">
        <color rgb="FF000000"/>
      </bottom>
      <diagonal/>
    </border>
    <border>
      <left style="medium">
        <color rgb="FF000000"/>
      </left>
      <right style="medium">
        <color rgb="FF000000"/>
      </right>
      <top style="medium">
        <color rgb="FF000000"/>
      </top>
      <bottom/>
      <diagonal/>
    </border>
    <border>
      <left style="thin">
        <color indexed="64"/>
      </left>
      <right style="thin">
        <color theme="1"/>
      </right>
      <top style="thin">
        <color theme="1"/>
      </top>
      <bottom/>
      <diagonal/>
    </border>
    <border>
      <left style="thin">
        <color indexed="64"/>
      </left>
      <right style="thin">
        <color theme="1"/>
      </right>
      <top/>
      <bottom style="thin">
        <color theme="1"/>
      </bottom>
      <diagonal/>
    </border>
    <border>
      <left style="thin">
        <color indexed="64"/>
      </left>
      <right/>
      <top style="thin">
        <color theme="1"/>
      </top>
      <bottom/>
      <diagonal/>
    </border>
    <border>
      <left style="thin">
        <color indexed="64"/>
      </left>
      <right/>
      <top/>
      <bottom style="thin">
        <color theme="1"/>
      </bottom>
      <diagonal/>
    </border>
    <border>
      <left style="thin">
        <color rgb="FF000000"/>
      </left>
      <right style="thin">
        <color rgb="FF000000"/>
      </right>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thin">
        <color rgb="FF000000"/>
      </left>
      <right style="medium">
        <color indexed="64"/>
      </right>
      <top style="medium">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rgb="FF000000"/>
      </right>
      <top style="medium">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top style="thin">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indexed="64"/>
      </left>
      <right style="thin">
        <color indexed="64"/>
      </right>
      <top/>
      <bottom style="thin">
        <color theme="1"/>
      </bottom>
      <diagonal/>
    </border>
    <border>
      <left style="thin">
        <color indexed="64"/>
      </left>
      <right style="thin">
        <color indexed="64"/>
      </right>
      <top style="thin">
        <color theme="1"/>
      </top>
      <bottom/>
      <diagonal/>
    </border>
    <border>
      <left style="thick">
        <color rgb="FF000000"/>
      </left>
      <right style="thick">
        <color rgb="FF000000"/>
      </right>
      <top style="medium">
        <color rgb="FF000000"/>
      </top>
      <bottom style="medium">
        <color rgb="FF000000"/>
      </bottom>
      <diagonal/>
    </border>
    <border>
      <left style="thick">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style="thick">
        <color rgb="FF000000"/>
      </left>
      <right style="thick">
        <color rgb="FF000000"/>
      </right>
      <top style="medium">
        <color rgb="FFCCCCCC"/>
      </top>
      <bottom style="medium">
        <color rgb="FF000000"/>
      </bottom>
      <diagonal/>
    </border>
    <border>
      <left style="thick">
        <color rgb="FF000000"/>
      </left>
      <right/>
      <top/>
      <bottom style="medium">
        <color rgb="FF000000"/>
      </bottom>
      <diagonal/>
    </border>
    <border>
      <left/>
      <right style="thick">
        <color rgb="FF000000"/>
      </right>
      <top/>
      <bottom style="medium">
        <color rgb="FF000000"/>
      </bottom>
      <diagonal/>
    </border>
    <border>
      <left style="thick">
        <color rgb="FF000000"/>
      </left>
      <right/>
      <top style="medium">
        <color rgb="FF000000"/>
      </top>
      <bottom/>
      <diagonal/>
    </border>
    <border>
      <left/>
      <right style="thick">
        <color rgb="FF000000"/>
      </right>
      <top style="medium">
        <color rgb="FF000000"/>
      </top>
      <bottom/>
      <diagonal/>
    </border>
    <border>
      <left style="thick">
        <color rgb="FF000000"/>
      </left>
      <right/>
      <top/>
      <bottom/>
      <diagonal/>
    </border>
    <border>
      <left/>
      <right style="thick">
        <color rgb="FF000000"/>
      </right>
      <top/>
      <bottom/>
      <diagonal/>
    </border>
    <border>
      <left style="thick">
        <color rgb="FF000000"/>
      </left>
      <right style="thick">
        <color rgb="FF000000"/>
      </right>
      <top style="thick">
        <color rgb="FF000000"/>
      </top>
      <bottom style="medium">
        <color rgb="FF000000"/>
      </bottom>
      <diagonal/>
    </border>
    <border>
      <left style="thick">
        <color rgb="FF000000"/>
      </left>
      <right style="thick">
        <color rgb="FF000000"/>
      </right>
      <top style="medium">
        <color rgb="FFCCCCCC"/>
      </top>
      <bottom style="thick">
        <color rgb="FF000000"/>
      </bottom>
      <diagonal/>
    </border>
    <border>
      <left style="thick">
        <color rgb="FF000000"/>
      </left>
      <right style="thick">
        <color rgb="FF000000"/>
      </right>
      <top style="medium">
        <color rgb="FFCCCCCC"/>
      </top>
      <bottom/>
      <diagonal/>
    </border>
    <border>
      <left style="medium">
        <color rgb="FF000000"/>
      </left>
      <right/>
      <top/>
      <bottom style="medium">
        <color rgb="FF000000"/>
      </bottom>
      <diagonal/>
    </border>
    <border>
      <left/>
      <right style="medium">
        <color rgb="FF000000"/>
      </right>
      <top style="thin">
        <color rgb="FF000000"/>
      </top>
      <bottom style="thin">
        <color indexed="64"/>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style="thin">
        <color indexed="64"/>
      </right>
      <top style="thin">
        <color rgb="FF000000"/>
      </top>
      <bottom/>
      <diagonal/>
    </border>
    <border>
      <left/>
      <right style="thin">
        <color indexed="64"/>
      </right>
      <top/>
      <bottom style="thin">
        <color rgb="FF000000"/>
      </bottom>
      <diagonal/>
    </border>
    <border>
      <left style="medium">
        <color indexed="64"/>
      </left>
      <right style="medium">
        <color indexed="64"/>
      </right>
      <top/>
      <bottom/>
      <diagonal/>
    </border>
    <border>
      <left style="medium">
        <color indexed="64"/>
      </left>
      <right style="medium">
        <color indexed="64"/>
      </right>
      <top/>
      <bottom style="medium">
        <color rgb="FF000000"/>
      </bottom>
      <diagonal/>
    </border>
    <border>
      <left style="medium">
        <color indexed="64"/>
      </left>
      <right style="medium">
        <color indexed="64"/>
      </right>
      <top style="thin">
        <color indexed="64"/>
      </top>
      <bottom/>
      <diagonal/>
    </border>
    <border>
      <left style="medium">
        <color indexed="64"/>
      </left>
      <right style="medium">
        <color indexed="64"/>
      </right>
      <top style="thin">
        <color rgb="FF000000"/>
      </top>
      <bottom/>
      <diagonal/>
    </border>
    <border>
      <left style="medium">
        <color indexed="64"/>
      </left>
      <right style="medium">
        <color indexed="64"/>
      </right>
      <top style="medium">
        <color rgb="FF000000"/>
      </top>
      <bottom/>
      <diagonal/>
    </border>
    <border>
      <left style="thin">
        <color indexed="64"/>
      </left>
      <right/>
      <top/>
      <bottom style="medium">
        <color indexed="64"/>
      </bottom>
      <diagonal/>
    </border>
    <border>
      <left style="medium">
        <color rgb="FFCCCCCC"/>
      </left>
      <right style="medium">
        <color rgb="FFCCCCCC"/>
      </right>
      <top style="medium">
        <color rgb="FFCCCCCC"/>
      </top>
      <bottom style="medium">
        <color rgb="FFCCCCCC"/>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s>
  <cellStyleXfs count="19">
    <xf numFmtId="0" fontId="0" fillId="0" borderId="0"/>
    <xf numFmtId="0" fontId="8" fillId="0" borderId="0" applyNumberFormat="0" applyFill="0" applyBorder="0" applyAlignment="0" applyProtection="0"/>
    <xf numFmtId="0" fontId="37" fillId="0" borderId="0"/>
    <xf numFmtId="0" fontId="52"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8" fillId="0" borderId="0" applyNumberFormat="0" applyFill="0" applyBorder="0" applyAlignment="0" applyProtection="0"/>
    <xf numFmtId="0" fontId="67" fillId="0" borderId="0"/>
    <xf numFmtId="0" fontId="69" fillId="0" borderId="0" applyNumberFormat="0" applyFill="0" applyBorder="0" applyAlignment="0" applyProtection="0"/>
    <xf numFmtId="0" fontId="74" fillId="0" borderId="0"/>
    <xf numFmtId="44" fontId="7" fillId="0" borderId="0" applyFont="0" applyFill="0" applyBorder="0" applyAlignment="0" applyProtection="0"/>
    <xf numFmtId="0" fontId="75" fillId="0" borderId="0" applyNumberFormat="0" applyFill="0" applyBorder="0" applyAlignment="0" applyProtection="0"/>
    <xf numFmtId="0" fontId="74" fillId="0" borderId="0"/>
    <xf numFmtId="0" fontId="7" fillId="0" borderId="0"/>
    <xf numFmtId="43" fontId="7" fillId="0" borderId="0" applyFont="0" applyFill="0" applyBorder="0" applyAlignment="0" applyProtection="0"/>
    <xf numFmtId="44" fontId="74" fillId="0" borderId="0" applyFont="0" applyFill="0" applyBorder="0" applyAlignment="0" applyProtection="0"/>
    <xf numFmtId="9" fontId="7" fillId="0" borderId="0" applyFont="0" applyFill="0" applyBorder="0" applyAlignment="0" applyProtection="0"/>
  </cellStyleXfs>
  <cellXfs count="2714">
    <xf numFmtId="0" fontId="0" fillId="0" borderId="0" xfId="0"/>
    <xf numFmtId="0" fontId="0" fillId="0" borderId="0" xfId="0" applyAlignment="1">
      <alignment horizontal="left"/>
    </xf>
    <xf numFmtId="0" fontId="4" fillId="0" borderId="0" xfId="0" applyFont="1"/>
    <xf numFmtId="0" fontId="4" fillId="0" borderId="0" xfId="0" applyFont="1" applyBorder="1"/>
    <xf numFmtId="0" fontId="1" fillId="5" borderId="4" xfId="0" applyFont="1" applyFill="1" applyBorder="1" applyAlignment="1">
      <alignment horizontal="left"/>
    </xf>
    <xf numFmtId="0" fontId="1" fillId="5" borderId="9" xfId="0" applyFont="1" applyFill="1" applyBorder="1" applyAlignment="1">
      <alignment horizontal="left"/>
    </xf>
    <xf numFmtId="0" fontId="0" fillId="3" borderId="1" xfId="0" applyFill="1" applyBorder="1" applyAlignment="1">
      <alignment vertical="center"/>
    </xf>
    <xf numFmtId="0" fontId="0" fillId="7" borderId="1" xfId="0" applyFill="1" applyBorder="1" applyAlignment="1">
      <alignment vertical="center"/>
    </xf>
    <xf numFmtId="0" fontId="0" fillId="0" borderId="0" xfId="0" applyAlignment="1">
      <alignment horizontal="left" vertical="center"/>
    </xf>
    <xf numFmtId="0" fontId="2" fillId="0" borderId="0" xfId="0" applyFont="1"/>
    <xf numFmtId="0" fontId="0" fillId="8" borderId="0" xfId="0" applyFill="1"/>
    <xf numFmtId="0" fontId="8" fillId="0" borderId="0" xfId="1"/>
    <xf numFmtId="0" fontId="0" fillId="8" borderId="0" xfId="0" applyFill="1" applyAlignment="1">
      <alignment vertical="center"/>
    </xf>
    <xf numFmtId="0" fontId="12" fillId="0" borderId="0" xfId="1" applyFont="1"/>
    <xf numFmtId="0" fontId="14" fillId="0" borderId="0" xfId="1" applyFont="1"/>
    <xf numFmtId="0" fontId="13" fillId="0" borderId="0" xfId="0" applyFont="1"/>
    <xf numFmtId="0" fontId="16" fillId="0" borderId="0" xfId="0" applyFont="1" applyFill="1" applyBorder="1" applyAlignment="1">
      <alignment vertical="center"/>
    </xf>
    <xf numFmtId="0" fontId="0" fillId="0" borderId="0" xfId="0" applyFill="1" applyBorder="1"/>
    <xf numFmtId="0" fontId="15" fillId="0" borderId="0" xfId="0" applyFont="1" applyFill="1" applyBorder="1" applyAlignment="1">
      <alignment horizontal="left" vertical="center" wrapText="1"/>
    </xf>
    <xf numFmtId="0" fontId="0" fillId="0" borderId="0" xfId="0" applyAlignment="1">
      <alignment wrapText="1"/>
    </xf>
    <xf numFmtId="0" fontId="0" fillId="0" borderId="0" xfId="0" applyBorder="1"/>
    <xf numFmtId="0" fontId="0" fillId="0" borderId="0" xfId="0" applyFont="1"/>
    <xf numFmtId="0" fontId="7" fillId="8" borderId="0" xfId="0" applyFont="1" applyFill="1"/>
    <xf numFmtId="0" fontId="15" fillId="0" borderId="0" xfId="0" applyFont="1" applyFill="1" applyBorder="1" applyAlignment="1">
      <alignment horizontal="left" vertical="center" wrapText="1"/>
    </xf>
    <xf numFmtId="0" fontId="0" fillId="0" borderId="1" xfId="0" applyFill="1" applyBorder="1" applyAlignment="1">
      <alignment vertical="center" wrapText="1"/>
    </xf>
    <xf numFmtId="0" fontId="7" fillId="8" borderId="1" xfId="0" applyFont="1" applyFill="1" applyBorder="1" applyAlignment="1">
      <alignment horizontal="left" vertical="center" wrapText="1"/>
    </xf>
    <xf numFmtId="0" fontId="0" fillId="0" borderId="1" xfId="0" applyBorder="1" applyAlignment="1">
      <alignment vertical="center" wrapText="1"/>
    </xf>
    <xf numFmtId="0" fontId="0" fillId="0" borderId="1" xfId="0" applyBorder="1" applyAlignment="1">
      <alignment horizontal="center" vertical="center" wrapText="1"/>
    </xf>
    <xf numFmtId="9" fontId="0" fillId="0" borderId="1" xfId="0" applyNumberFormat="1" applyBorder="1" applyAlignment="1">
      <alignment horizontal="center" vertical="center" wrapText="1"/>
    </xf>
    <xf numFmtId="0" fontId="13" fillId="13" borderId="1" xfId="0" applyFont="1" applyFill="1" applyBorder="1" applyAlignment="1">
      <alignment horizontal="right" vertical="center" wrapText="1"/>
    </xf>
    <xf numFmtId="0" fontId="13" fillId="14" borderId="1" xfId="0" applyFont="1" applyFill="1" applyBorder="1" applyAlignment="1">
      <alignment vertical="center"/>
    </xf>
    <xf numFmtId="0" fontId="13" fillId="14" borderId="1" xfId="0" applyFont="1" applyFill="1" applyBorder="1" applyAlignment="1">
      <alignment vertical="center" wrapText="1"/>
    </xf>
    <xf numFmtId="0" fontId="11" fillId="0" borderId="0" xfId="1" applyFont="1"/>
    <xf numFmtId="0" fontId="7" fillId="0" borderId="0" xfId="0" applyFont="1"/>
    <xf numFmtId="0" fontId="0" fillId="0" borderId="0" xfId="0" applyFill="1" applyBorder="1" applyAlignment="1">
      <alignment vertical="center" wrapText="1"/>
    </xf>
    <xf numFmtId="0" fontId="0" fillId="0" borderId="0" xfId="0" applyFill="1" applyBorder="1" applyAlignment="1"/>
    <xf numFmtId="0" fontId="7" fillId="10" borderId="44" xfId="1" applyFont="1" applyFill="1" applyBorder="1" applyAlignment="1">
      <alignment vertical="center" wrapText="1"/>
    </xf>
    <xf numFmtId="0" fontId="0" fillId="0" borderId="1" xfId="0" applyFont="1" applyFill="1" applyBorder="1" applyAlignment="1">
      <alignment vertical="center" wrapText="1"/>
    </xf>
    <xf numFmtId="11" fontId="0" fillId="0" borderId="1" xfId="0" applyNumberFormat="1" applyFont="1" applyFill="1" applyBorder="1" applyAlignment="1">
      <alignment vertical="center"/>
    </xf>
    <xf numFmtId="0" fontId="0" fillId="2" borderId="1" xfId="0" applyFill="1" applyBorder="1" applyAlignment="1">
      <alignment vertical="center" wrapText="1"/>
    </xf>
    <xf numFmtId="0" fontId="0" fillId="0" borderId="0" xfId="0" applyFont="1" applyBorder="1" applyAlignment="1">
      <alignment vertical="center"/>
    </xf>
    <xf numFmtId="11" fontId="7" fillId="0" borderId="1" xfId="0" applyNumberFormat="1" applyFont="1" applyFill="1" applyBorder="1" applyAlignment="1">
      <alignment vertical="center" wrapText="1"/>
    </xf>
    <xf numFmtId="0" fontId="7" fillId="10" borderId="44" xfId="0" applyFont="1" applyFill="1" applyBorder="1" applyAlignment="1">
      <alignment vertical="center" wrapText="1"/>
    </xf>
    <xf numFmtId="0" fontId="7" fillId="0" borderId="1" xfId="0" applyFont="1" applyFill="1" applyBorder="1" applyAlignment="1">
      <alignment horizontal="left" vertical="center" wrapText="1"/>
    </xf>
    <xf numFmtId="0" fontId="7" fillId="8" borderId="1" xfId="0" applyFont="1" applyFill="1" applyBorder="1" applyAlignment="1">
      <alignment vertical="center" wrapText="1"/>
    </xf>
    <xf numFmtId="0" fontId="7" fillId="8" borderId="32" xfId="0" applyFont="1" applyFill="1" applyBorder="1" applyAlignment="1">
      <alignment vertical="center" wrapText="1"/>
    </xf>
    <xf numFmtId="0" fontId="0" fillId="0" borderId="0" xfId="0" applyAlignment="1">
      <alignment horizontal="left"/>
    </xf>
    <xf numFmtId="0" fontId="7" fillId="6" borderId="44" xfId="1" applyFont="1" applyFill="1" applyBorder="1" applyAlignment="1">
      <alignment vertical="center" wrapText="1"/>
    </xf>
    <xf numFmtId="0" fontId="7" fillId="9" borderId="44" xfId="1" applyFont="1" applyFill="1" applyBorder="1" applyAlignment="1">
      <alignment vertical="center"/>
    </xf>
    <xf numFmtId="0" fontId="7" fillId="10" borderId="44" xfId="0" applyFont="1" applyFill="1" applyBorder="1" applyAlignment="1">
      <alignment vertical="center"/>
    </xf>
    <xf numFmtId="0" fontId="7" fillId="10" borderId="44" xfId="1" applyFont="1" applyFill="1" applyBorder="1" applyAlignment="1">
      <alignment vertical="center"/>
    </xf>
    <xf numFmtId="0" fontId="7" fillId="11" borderId="44" xfId="1" applyFont="1" applyFill="1" applyBorder="1" applyAlignment="1">
      <alignment vertical="center" wrapText="1"/>
    </xf>
    <xf numFmtId="0" fontId="7" fillId="12" borderId="44" xfId="1" applyFont="1" applyFill="1" applyBorder="1" applyAlignment="1">
      <alignment vertical="center"/>
    </xf>
    <xf numFmtId="0" fontId="7" fillId="11" borderId="44" xfId="1" applyFont="1" applyFill="1" applyBorder="1" applyAlignment="1">
      <alignment vertical="center"/>
    </xf>
    <xf numFmtId="0" fontId="7" fillId="10" borderId="4" xfId="1" applyFont="1" applyFill="1" applyBorder="1" applyAlignment="1">
      <alignment vertical="center" wrapText="1"/>
    </xf>
    <xf numFmtId="0" fontId="0" fillId="0" borderId="0" xfId="0" applyAlignment="1">
      <alignment horizontal="left" vertical="center" wrapText="1"/>
    </xf>
    <xf numFmtId="0" fontId="1" fillId="0" borderId="0" xfId="0" applyFont="1" applyAlignment="1">
      <alignment horizontal="left"/>
    </xf>
    <xf numFmtId="0" fontId="1" fillId="5" borderId="1" xfId="0" applyFont="1" applyFill="1" applyBorder="1"/>
    <xf numFmtId="0" fontId="0" fillId="2" borderId="1" xfId="0" applyFont="1" applyFill="1" applyBorder="1" applyAlignment="1">
      <alignment vertical="center" wrapText="1"/>
    </xf>
    <xf numFmtId="0" fontId="0" fillId="16" borderId="1" xfId="0" applyFill="1" applyBorder="1"/>
    <xf numFmtId="0" fontId="0" fillId="8" borderId="0" xfId="0" applyFill="1" applyAlignment="1">
      <alignment horizontal="center"/>
    </xf>
    <xf numFmtId="0" fontId="0" fillId="0" borderId="0" xfId="0" applyFill="1"/>
    <xf numFmtId="0" fontId="0" fillId="0" borderId="0" xfId="0" applyAlignment="1">
      <alignment horizontal="center"/>
    </xf>
    <xf numFmtId="0" fontId="0" fillId="3" borderId="44" xfId="0" applyFont="1" applyFill="1" applyBorder="1" applyAlignment="1">
      <alignment vertical="center"/>
    </xf>
    <xf numFmtId="0" fontId="0" fillId="6" borderId="44" xfId="0" applyFill="1" applyBorder="1" applyAlignment="1">
      <alignment horizontal="left" vertical="center" wrapText="1"/>
    </xf>
    <xf numFmtId="0" fontId="0" fillId="2" borderId="44" xfId="0" applyFill="1" applyBorder="1" applyAlignment="1">
      <alignment wrapText="1"/>
    </xf>
    <xf numFmtId="0" fontId="0" fillId="0" borderId="26" xfId="0" applyFill="1" applyBorder="1" applyAlignment="1">
      <alignment horizontal="left" vertical="center" wrapText="1"/>
    </xf>
    <xf numFmtId="0" fontId="0" fillId="0" borderId="9" xfId="0" applyBorder="1" applyAlignment="1">
      <alignment horizontal="center" vertical="center"/>
    </xf>
    <xf numFmtId="0" fontId="0" fillId="0" borderId="0" xfId="0" applyAlignment="1">
      <alignment horizontal="center" vertical="center"/>
    </xf>
    <xf numFmtId="0" fontId="0" fillId="0" borderId="0" xfId="0" applyBorder="1" applyAlignment="1">
      <alignment horizontal="center" vertical="center"/>
    </xf>
    <xf numFmtId="0" fontId="22" fillId="0" borderId="0" xfId="0" applyFont="1"/>
    <xf numFmtId="0" fontId="0" fillId="0" borderId="1" xfId="0" applyFill="1" applyBorder="1" applyAlignment="1">
      <alignment wrapText="1"/>
    </xf>
    <xf numFmtId="0" fontId="0" fillId="18" borderId="1" xfId="0" applyFill="1" applyBorder="1" applyAlignment="1">
      <alignment vertical="center"/>
    </xf>
    <xf numFmtId="0" fontId="0" fillId="18" borderId="30" xfId="0" applyFill="1" applyBorder="1" applyAlignment="1">
      <alignment vertical="center"/>
    </xf>
    <xf numFmtId="0" fontId="0" fillId="3" borderId="51" xfId="0" applyFont="1" applyFill="1" applyBorder="1" applyAlignment="1">
      <alignment vertical="center"/>
    </xf>
    <xf numFmtId="0" fontId="0" fillId="3" borderId="45" xfId="0" applyFont="1" applyFill="1" applyBorder="1" applyAlignment="1">
      <alignment vertical="center"/>
    </xf>
    <xf numFmtId="0" fontId="0" fillId="3" borderId="45" xfId="0" applyFont="1" applyFill="1" applyBorder="1" applyAlignment="1">
      <alignment vertical="center" wrapText="1"/>
    </xf>
    <xf numFmtId="0" fontId="0" fillId="3" borderId="58" xfId="0" applyFont="1" applyFill="1" applyBorder="1" applyAlignment="1">
      <alignment vertical="center" wrapText="1"/>
    </xf>
    <xf numFmtId="0" fontId="0" fillId="6" borderId="45" xfId="0" applyFill="1" applyBorder="1" applyAlignment="1">
      <alignment horizontal="left" vertical="center" wrapText="1"/>
    </xf>
    <xf numFmtId="0" fontId="0" fillId="2" borderId="45" xfId="0" applyFill="1" applyBorder="1" applyAlignment="1">
      <alignment wrapText="1"/>
    </xf>
    <xf numFmtId="0" fontId="0" fillId="7" borderId="45" xfId="0" applyFont="1" applyFill="1" applyBorder="1" applyAlignment="1">
      <alignment vertical="center" wrapText="1"/>
    </xf>
    <xf numFmtId="0" fontId="0" fillId="7" borderId="36" xfId="0" applyFont="1" applyFill="1" applyBorder="1" applyAlignment="1">
      <alignment horizontal="left" vertical="center" wrapText="1"/>
    </xf>
    <xf numFmtId="0" fontId="0" fillId="3" borderId="2" xfId="0" applyFont="1" applyFill="1" applyBorder="1" applyAlignment="1">
      <alignment vertical="center"/>
    </xf>
    <xf numFmtId="0" fontId="0" fillId="0" borderId="25" xfId="0" applyFont="1" applyFill="1" applyBorder="1" applyAlignment="1">
      <alignment vertical="center" wrapText="1"/>
    </xf>
    <xf numFmtId="0" fontId="0" fillId="18" borderId="25" xfId="0" applyFill="1" applyBorder="1" applyAlignment="1">
      <alignment vertical="center"/>
    </xf>
    <xf numFmtId="0" fontId="0" fillId="3" borderId="55" xfId="0" applyFont="1" applyFill="1" applyBorder="1" applyAlignment="1">
      <alignment vertical="center"/>
    </xf>
    <xf numFmtId="0" fontId="0" fillId="7" borderId="44" xfId="0" applyFill="1" applyBorder="1" applyAlignment="1">
      <alignment vertical="center" wrapText="1"/>
    </xf>
    <xf numFmtId="0" fontId="0" fillId="7" borderId="4" xfId="0" applyFill="1" applyBorder="1" applyAlignment="1">
      <alignment horizontal="left" vertical="center" wrapText="1"/>
    </xf>
    <xf numFmtId="0" fontId="10" fillId="4" borderId="1" xfId="0" applyFont="1" applyFill="1" applyBorder="1" applyAlignment="1">
      <alignment horizontal="center" vertical="center"/>
    </xf>
    <xf numFmtId="0" fontId="0" fillId="8" borderId="0" xfId="0" applyFill="1" applyAlignment="1">
      <alignment horizontal="center" vertical="center"/>
    </xf>
    <xf numFmtId="0" fontId="7" fillId="10" borderId="1" xfId="1" applyFont="1" applyFill="1" applyBorder="1" applyAlignment="1">
      <alignment horizontal="center" vertical="center"/>
    </xf>
    <xf numFmtId="0" fontId="7" fillId="11" borderId="1" xfId="1" applyFont="1" applyFill="1" applyBorder="1" applyAlignment="1">
      <alignment horizontal="center" vertical="center"/>
    </xf>
    <xf numFmtId="0" fontId="7" fillId="10" borderId="1" xfId="1" applyFont="1" applyFill="1" applyBorder="1" applyAlignment="1">
      <alignment horizontal="center" vertical="center" wrapText="1"/>
    </xf>
    <xf numFmtId="0" fontId="0" fillId="0" borderId="0" xfId="0" applyAlignment="1">
      <alignment horizontal="left"/>
    </xf>
    <xf numFmtId="0" fontId="0" fillId="16" borderId="1" xfId="0" applyFill="1" applyBorder="1" applyAlignment="1">
      <alignment vertical="center"/>
    </xf>
    <xf numFmtId="0" fontId="0" fillId="8" borderId="1" xfId="0" applyFont="1" applyFill="1" applyBorder="1" applyAlignment="1">
      <alignment horizontal="left" vertical="center" wrapText="1"/>
    </xf>
    <xf numFmtId="0" fontId="0" fillId="0" borderId="11" xfId="0" applyBorder="1" applyAlignment="1">
      <alignment horizontal="left"/>
    </xf>
    <xf numFmtId="0" fontId="0" fillId="0" borderId="0" xfId="0" applyAlignment="1">
      <alignment horizontal="left"/>
    </xf>
    <xf numFmtId="0" fontId="0" fillId="3" borderId="1" xfId="0" applyFill="1" applyBorder="1" applyAlignment="1">
      <alignment horizontal="left" vertical="center"/>
    </xf>
    <xf numFmtId="0" fontId="0" fillId="7" borderId="1" xfId="0" applyFill="1" applyBorder="1" applyAlignment="1">
      <alignment horizontal="left" vertical="center" wrapText="1"/>
    </xf>
    <xf numFmtId="0" fontId="1" fillId="5" borderId="2" xfId="0" applyFont="1" applyFill="1" applyBorder="1" applyAlignment="1">
      <alignment horizontal="left"/>
    </xf>
    <xf numFmtId="0" fontId="0" fillId="0" borderId="1" xfId="0" applyFont="1" applyFill="1" applyBorder="1" applyAlignment="1">
      <alignment horizontal="left" vertical="center" wrapText="1"/>
    </xf>
    <xf numFmtId="0" fontId="1" fillId="5" borderId="59" xfId="0" applyFont="1" applyFill="1" applyBorder="1" applyAlignment="1">
      <alignment horizontal="left"/>
    </xf>
    <xf numFmtId="0" fontId="0" fillId="0" borderId="42" xfId="0" applyBorder="1" applyAlignment="1">
      <alignment horizontal="left"/>
    </xf>
    <xf numFmtId="0" fontId="1" fillId="5" borderId="40" xfId="0" applyFont="1" applyFill="1" applyBorder="1" applyAlignment="1">
      <alignment horizontal="left"/>
    </xf>
    <xf numFmtId="0" fontId="0" fillId="0" borderId="60" xfId="0" applyBorder="1" applyAlignment="1">
      <alignment horizontal="left"/>
    </xf>
    <xf numFmtId="0" fontId="0" fillId="0" borderId="8" xfId="0" applyBorder="1"/>
    <xf numFmtId="0" fontId="23" fillId="8" borderId="0" xfId="0" applyFont="1" applyFill="1" applyAlignment="1">
      <alignment vertical="center"/>
    </xf>
    <xf numFmtId="0" fontId="0" fillId="0" borderId="0" xfId="0" applyAlignment="1">
      <alignment horizontal="center"/>
    </xf>
    <xf numFmtId="0" fontId="27" fillId="21" borderId="61" xfId="0" applyFont="1" applyFill="1" applyBorder="1" applyAlignment="1">
      <alignment horizontal="center" vertical="center"/>
    </xf>
    <xf numFmtId="0" fontId="28" fillId="0" borderId="0" xfId="0" applyFont="1" applyAlignment="1">
      <alignment horizontal="left" vertical="center"/>
    </xf>
    <xf numFmtId="0" fontId="27" fillId="21" borderId="62" xfId="0" applyFont="1" applyFill="1" applyBorder="1" applyAlignment="1">
      <alignment horizontal="center" vertical="center"/>
    </xf>
    <xf numFmtId="0" fontId="29" fillId="0" borderId="65" xfId="0" applyFont="1" applyBorder="1" applyAlignment="1">
      <alignment horizontal="left" vertical="center"/>
    </xf>
    <xf numFmtId="0" fontId="27" fillId="21" borderId="66" xfId="0" applyFont="1" applyFill="1" applyBorder="1" applyAlignment="1">
      <alignment horizontal="center" vertical="center"/>
    </xf>
    <xf numFmtId="0" fontId="27" fillId="21" borderId="67" xfId="0" applyFont="1" applyFill="1" applyBorder="1" applyAlignment="1">
      <alignment horizontal="center" vertical="center"/>
    </xf>
    <xf numFmtId="0" fontId="28" fillId="0" borderId="0" xfId="0" applyFont="1" applyAlignment="1">
      <alignment horizontal="left" vertical="center" wrapText="1"/>
    </xf>
    <xf numFmtId="0" fontId="27" fillId="21" borderId="68" xfId="0" applyFont="1" applyFill="1" applyBorder="1" applyAlignment="1">
      <alignment horizontal="center" vertical="center"/>
    </xf>
    <xf numFmtId="0" fontId="30" fillId="0" borderId="65" xfId="0" applyFont="1" applyBorder="1" applyAlignment="1">
      <alignment horizontal="left" vertical="center"/>
    </xf>
    <xf numFmtId="0" fontId="27" fillId="21" borderId="61" xfId="0" applyFont="1" applyFill="1" applyBorder="1" applyAlignment="1">
      <alignment horizontal="center" vertical="center" wrapText="1"/>
    </xf>
    <xf numFmtId="0" fontId="29" fillId="0" borderId="69" xfId="0" applyFont="1" applyBorder="1" applyAlignment="1">
      <alignment horizontal="left" vertical="center" wrapText="1"/>
    </xf>
    <xf numFmtId="0" fontId="27" fillId="0" borderId="0" xfId="0" applyFont="1" applyAlignment="1">
      <alignment horizontal="center" vertical="center"/>
    </xf>
    <xf numFmtId="0" fontId="27" fillId="21" borderId="62" xfId="0" applyFont="1" applyFill="1" applyBorder="1" applyAlignment="1">
      <alignment horizontal="center" vertical="center" wrapText="1"/>
    </xf>
    <xf numFmtId="0" fontId="31" fillId="0" borderId="0" xfId="0" applyFont="1" applyAlignment="1">
      <alignment vertical="center"/>
    </xf>
    <xf numFmtId="0" fontId="29" fillId="0" borderId="69" xfId="0" applyFont="1" applyBorder="1" applyAlignment="1">
      <alignment vertical="center"/>
    </xf>
    <xf numFmtId="0" fontId="28" fillId="0" borderId="64" xfId="0" applyFont="1" applyBorder="1" applyAlignment="1">
      <alignment vertical="center" wrapText="1"/>
    </xf>
    <xf numFmtId="0" fontId="27" fillId="0" borderId="0" xfId="0" applyFont="1" applyAlignment="1">
      <alignment vertical="center"/>
    </xf>
    <xf numFmtId="0" fontId="27" fillId="0" borderId="0" xfId="0" applyFont="1" applyAlignment="1">
      <alignment vertical="center" wrapText="1"/>
    </xf>
    <xf numFmtId="0" fontId="33" fillId="0" borderId="0" xfId="0" applyFont="1" applyAlignment="1">
      <alignment vertical="center" wrapText="1"/>
    </xf>
    <xf numFmtId="0" fontId="27" fillId="21" borderId="73" xfId="0" applyFont="1" applyFill="1" applyBorder="1"/>
    <xf numFmtId="0" fontId="27" fillId="21" borderId="71" xfId="0" applyFont="1" applyFill="1" applyBorder="1" applyAlignment="1">
      <alignment horizontal="center"/>
    </xf>
    <xf numFmtId="0" fontId="28" fillId="23" borderId="78" xfId="0" applyFont="1" applyFill="1" applyBorder="1" applyAlignment="1">
      <alignment vertical="center"/>
    </xf>
    <xf numFmtId="0" fontId="28" fillId="23" borderId="61" xfId="0" applyFont="1" applyFill="1" applyBorder="1" applyAlignment="1">
      <alignment horizontal="left" vertical="center"/>
    </xf>
    <xf numFmtId="0" fontId="28" fillId="0" borderId="78" xfId="0" applyFont="1" applyBorder="1" applyAlignment="1">
      <alignment horizontal="left" vertical="center"/>
    </xf>
    <xf numFmtId="0" fontId="28" fillId="23" borderId="79" xfId="0" applyFont="1" applyFill="1" applyBorder="1" applyAlignment="1">
      <alignment vertical="center"/>
    </xf>
    <xf numFmtId="0" fontId="28" fillId="23" borderId="80" xfId="0" applyFont="1" applyFill="1" applyBorder="1" applyAlignment="1">
      <alignment vertical="center"/>
    </xf>
    <xf numFmtId="0" fontId="28" fillId="0" borderId="79" xfId="0" applyFont="1" applyBorder="1"/>
    <xf numFmtId="0" fontId="28" fillId="23" borderId="82" xfId="0" applyFont="1" applyFill="1" applyBorder="1" applyAlignment="1">
      <alignment vertical="center"/>
    </xf>
    <xf numFmtId="0" fontId="28" fillId="23" borderId="83" xfId="0" applyFont="1" applyFill="1" applyBorder="1" applyAlignment="1">
      <alignment vertical="center"/>
    </xf>
    <xf numFmtId="0" fontId="28" fillId="0" borderId="84" xfId="0" applyFont="1" applyBorder="1"/>
    <xf numFmtId="0" fontId="28" fillId="23" borderId="84" xfId="0" applyFont="1" applyFill="1" applyBorder="1" applyAlignment="1">
      <alignment vertical="center"/>
    </xf>
    <xf numFmtId="0" fontId="28" fillId="23" borderId="78" xfId="0" applyFont="1" applyFill="1" applyBorder="1" applyAlignment="1">
      <alignment vertical="center" wrapText="1"/>
    </xf>
    <xf numFmtId="0" fontId="28" fillId="23" borderId="82" xfId="0" applyFont="1" applyFill="1" applyBorder="1" applyAlignment="1">
      <alignment vertical="center" wrapText="1"/>
    </xf>
    <xf numFmtId="0" fontId="28" fillId="23" borderId="83" xfId="0" applyFont="1" applyFill="1" applyBorder="1" applyAlignment="1">
      <alignment vertical="center" wrapText="1"/>
    </xf>
    <xf numFmtId="0" fontId="35" fillId="24" borderId="78" xfId="0" applyFont="1" applyFill="1" applyBorder="1" applyAlignment="1">
      <alignment vertical="center"/>
    </xf>
    <xf numFmtId="0" fontId="35" fillId="24" borderId="84" xfId="0" applyFont="1" applyFill="1" applyBorder="1" applyAlignment="1">
      <alignment vertical="center"/>
    </xf>
    <xf numFmtId="0" fontId="35" fillId="24" borderId="87" xfId="0" applyFont="1" applyFill="1" applyBorder="1" applyAlignment="1">
      <alignment vertical="center"/>
    </xf>
    <xf numFmtId="0" fontId="28" fillId="23" borderId="83" xfId="0" applyFont="1" applyFill="1" applyBorder="1" applyAlignment="1">
      <alignment horizontal="left" vertical="center"/>
    </xf>
    <xf numFmtId="0" fontId="35" fillId="23" borderId="79" xfId="0" applyFont="1" applyFill="1" applyBorder="1" applyAlignment="1">
      <alignment vertical="center"/>
    </xf>
    <xf numFmtId="0" fontId="35" fillId="23" borderId="83" xfId="0" applyFont="1" applyFill="1" applyBorder="1" applyAlignment="1">
      <alignment vertical="center"/>
    </xf>
    <xf numFmtId="0" fontId="35" fillId="23" borderId="84" xfId="0" applyFont="1" applyFill="1" applyBorder="1" applyAlignment="1">
      <alignment vertical="center"/>
    </xf>
    <xf numFmtId="0" fontId="35" fillId="23" borderId="82" xfId="0" applyFont="1" applyFill="1" applyBorder="1" applyAlignment="1">
      <alignment vertical="center"/>
    </xf>
    <xf numFmtId="0" fontId="35" fillId="23" borderId="78" xfId="0" applyFont="1" applyFill="1" applyBorder="1" applyAlignment="1">
      <alignment vertical="center"/>
    </xf>
    <xf numFmtId="0" fontId="35" fillId="26" borderId="78" xfId="0" applyFont="1" applyFill="1" applyBorder="1" applyAlignment="1">
      <alignment vertical="center"/>
    </xf>
    <xf numFmtId="0" fontId="35" fillId="26" borderId="83" xfId="0" applyFont="1" applyFill="1" applyBorder="1" applyAlignment="1">
      <alignment vertical="center"/>
    </xf>
    <xf numFmtId="0" fontId="35" fillId="26" borderId="82" xfId="0" applyFont="1" applyFill="1" applyBorder="1" applyAlignment="1">
      <alignment vertical="center"/>
    </xf>
    <xf numFmtId="0" fontId="28" fillId="27" borderId="78" xfId="0" applyFont="1" applyFill="1" applyBorder="1" applyAlignment="1">
      <alignment wrapText="1"/>
    </xf>
    <xf numFmtId="0" fontId="28" fillId="27" borderId="83" xfId="0" applyFont="1" applyFill="1" applyBorder="1" applyAlignment="1">
      <alignment wrapText="1"/>
    </xf>
    <xf numFmtId="0" fontId="28" fillId="27" borderId="84" xfId="0" applyFont="1" applyFill="1" applyBorder="1" applyAlignment="1">
      <alignment wrapText="1"/>
    </xf>
    <xf numFmtId="0" fontId="28" fillId="27" borderId="87" xfId="0" applyFont="1" applyFill="1" applyBorder="1" applyAlignment="1">
      <alignment wrapText="1"/>
    </xf>
    <xf numFmtId="0" fontId="35" fillId="28" borderId="78" xfId="0" applyFont="1" applyFill="1" applyBorder="1" applyAlignment="1">
      <alignment vertical="center"/>
    </xf>
    <xf numFmtId="0" fontId="35" fillId="28" borderId="83" xfId="0" applyFont="1" applyFill="1" applyBorder="1" applyAlignment="1">
      <alignment vertical="center"/>
    </xf>
    <xf numFmtId="0" fontId="35" fillId="28" borderId="82" xfId="0" applyFont="1" applyFill="1" applyBorder="1" applyAlignment="1">
      <alignment vertical="center"/>
    </xf>
    <xf numFmtId="0" fontId="35" fillId="28" borderId="87" xfId="0" applyFont="1" applyFill="1" applyBorder="1" applyAlignment="1">
      <alignment vertical="center" wrapText="1"/>
    </xf>
    <xf numFmtId="0" fontId="28" fillId="28" borderId="83" xfId="0" applyFont="1" applyFill="1" applyBorder="1" applyAlignment="1">
      <alignment vertical="center" wrapText="1"/>
    </xf>
    <xf numFmtId="0" fontId="28" fillId="28" borderId="78" xfId="0" applyFont="1" applyFill="1" applyBorder="1" applyAlignment="1">
      <alignment horizontal="left" vertical="center"/>
    </xf>
    <xf numFmtId="0" fontId="28" fillId="28" borderId="83" xfId="0" applyFont="1" applyFill="1" applyBorder="1" applyAlignment="1">
      <alignment horizontal="left" vertical="center"/>
    </xf>
    <xf numFmtId="0" fontId="28" fillId="28" borderId="84" xfId="0" applyFont="1" applyFill="1" applyBorder="1" applyAlignment="1">
      <alignment horizontal="left" vertical="center"/>
    </xf>
    <xf numFmtId="0" fontId="28" fillId="28" borderId="82" xfId="0" applyFont="1" applyFill="1" applyBorder="1" applyAlignment="1">
      <alignment horizontal="left" vertical="center"/>
    </xf>
    <xf numFmtId="0" fontId="35" fillId="28" borderId="82" xfId="0" applyFont="1" applyFill="1" applyBorder="1" applyAlignment="1">
      <alignment vertical="center" wrapText="1"/>
    </xf>
    <xf numFmtId="0" fontId="28" fillId="28" borderId="78" xfId="0" applyFont="1" applyFill="1" applyBorder="1" applyAlignment="1">
      <alignment horizontal="left" vertical="center" wrapText="1"/>
    </xf>
    <xf numFmtId="0" fontId="28" fillId="28" borderId="83" xfId="0" applyFont="1" applyFill="1" applyBorder="1" applyAlignment="1">
      <alignment horizontal="left" vertical="center" wrapText="1"/>
    </xf>
    <xf numFmtId="0" fontId="28" fillId="28" borderId="84" xfId="0" applyFont="1" applyFill="1" applyBorder="1" applyAlignment="1">
      <alignment horizontal="left" vertical="center" wrapText="1"/>
    </xf>
    <xf numFmtId="0" fontId="35" fillId="28" borderId="83" xfId="0" applyFont="1" applyFill="1" applyBorder="1"/>
    <xf numFmtId="0" fontId="35" fillId="28" borderId="69" xfId="0" applyFont="1" applyFill="1" applyBorder="1" applyAlignment="1">
      <alignment horizontal="left" vertical="center" wrapText="1"/>
    </xf>
    <xf numFmtId="0" fontId="35" fillId="28" borderId="67" xfId="0" applyFont="1" applyFill="1" applyBorder="1" applyAlignment="1">
      <alignment horizontal="left" vertical="center" wrapText="1"/>
    </xf>
    <xf numFmtId="0" fontId="28" fillId="0" borderId="82" xfId="0" applyFont="1" applyBorder="1"/>
    <xf numFmtId="0" fontId="27" fillId="21" borderId="0" xfId="0" applyFont="1" applyFill="1" applyBorder="1" applyAlignment="1">
      <alignment horizontal="center" vertical="center" wrapText="1"/>
    </xf>
    <xf numFmtId="0" fontId="38" fillId="0" borderId="65" xfId="0" applyFont="1" applyBorder="1" applyAlignment="1">
      <alignment vertical="top"/>
    </xf>
    <xf numFmtId="0" fontId="28" fillId="0" borderId="69" xfId="0" applyFont="1" applyBorder="1" applyAlignment="1">
      <alignment horizontal="left" vertical="center" wrapText="1"/>
    </xf>
    <xf numFmtId="0" fontId="27" fillId="29" borderId="0" xfId="0" applyFont="1" applyFill="1" applyBorder="1" applyAlignment="1">
      <alignment horizontal="center" vertical="center" wrapText="1"/>
    </xf>
    <xf numFmtId="0" fontId="28" fillId="0" borderId="0" xfId="0" applyFont="1" applyBorder="1" applyAlignment="1">
      <alignment horizontal="left" vertical="center" wrapText="1"/>
    </xf>
    <xf numFmtId="0" fontId="29" fillId="0" borderId="0" xfId="0" applyFont="1" applyBorder="1"/>
    <xf numFmtId="0" fontId="0" fillId="0" borderId="0" xfId="0"/>
    <xf numFmtId="0" fontId="34" fillId="0" borderId="84" xfId="0" applyFont="1" applyBorder="1" applyAlignment="1">
      <alignment horizontal="center"/>
    </xf>
    <xf numFmtId="0" fontId="34" fillId="0" borderId="84" xfId="0" applyFont="1" applyBorder="1" applyAlignment="1">
      <alignment horizontal="center" vertical="center"/>
    </xf>
    <xf numFmtId="0" fontId="31" fillId="0" borderId="65" xfId="0" applyFont="1" applyBorder="1" applyAlignment="1">
      <alignment horizontal="left" vertical="center"/>
    </xf>
    <xf numFmtId="0" fontId="29" fillId="8" borderId="65" xfId="0" applyFont="1" applyFill="1" applyBorder="1" applyAlignment="1">
      <alignment horizontal="left" vertical="center"/>
    </xf>
    <xf numFmtId="0" fontId="28" fillId="8" borderId="69" xfId="0" applyFont="1" applyFill="1" applyBorder="1" applyAlignment="1">
      <alignment horizontal="left" vertical="center" wrapText="1"/>
    </xf>
    <xf numFmtId="0" fontId="29" fillId="0" borderId="70" xfId="0" applyFont="1" applyBorder="1"/>
    <xf numFmtId="0" fontId="29" fillId="0" borderId="85" xfId="0" applyFont="1" applyBorder="1"/>
    <xf numFmtId="0" fontId="40" fillId="0" borderId="65" xfId="0" applyFont="1" applyBorder="1" applyAlignment="1">
      <alignment horizontal="left" vertical="center"/>
    </xf>
    <xf numFmtId="0" fontId="28" fillId="0" borderId="63" xfId="0" applyFont="1" applyBorder="1" applyAlignment="1">
      <alignment vertical="center" wrapText="1"/>
    </xf>
    <xf numFmtId="0" fontId="37" fillId="0" borderId="0" xfId="2"/>
    <xf numFmtId="0" fontId="41" fillId="21" borderId="61" xfId="2" applyFont="1" applyFill="1" applyBorder="1" applyAlignment="1">
      <alignment horizontal="center" vertical="center"/>
    </xf>
    <xf numFmtId="0" fontId="42" fillId="0" borderId="0" xfId="2" applyFont="1" applyAlignment="1">
      <alignment horizontal="left" vertical="center"/>
    </xf>
    <xf numFmtId="0" fontId="41" fillId="21" borderId="62" xfId="2" applyFont="1" applyFill="1" applyBorder="1" applyAlignment="1">
      <alignment horizontal="center" vertical="center"/>
    </xf>
    <xf numFmtId="0" fontId="41" fillId="21" borderId="66" xfId="2" applyFont="1" applyFill="1" applyBorder="1" applyAlignment="1">
      <alignment horizontal="center" vertical="center"/>
    </xf>
    <xf numFmtId="0" fontId="41" fillId="21" borderId="67" xfId="2" applyFont="1" applyFill="1" applyBorder="1" applyAlignment="1">
      <alignment horizontal="center" vertical="center"/>
    </xf>
    <xf numFmtId="0" fontId="42" fillId="0" borderId="0" xfId="2" applyFont="1" applyAlignment="1">
      <alignment horizontal="left" vertical="center" wrapText="1"/>
    </xf>
    <xf numFmtId="0" fontId="41" fillId="21" borderId="68" xfId="2" applyFont="1" applyFill="1" applyBorder="1" applyAlignment="1">
      <alignment horizontal="center" vertical="center"/>
    </xf>
    <xf numFmtId="0" fontId="44" fillId="0" borderId="65" xfId="2" applyFont="1" applyBorder="1" applyAlignment="1">
      <alignment horizontal="left" vertical="center"/>
    </xf>
    <xf numFmtId="0" fontId="41" fillId="21" borderId="61" xfId="2" applyFont="1" applyFill="1" applyBorder="1" applyAlignment="1">
      <alignment horizontal="center" vertical="center" wrapText="1"/>
    </xf>
    <xf numFmtId="0" fontId="41" fillId="0" borderId="0" xfId="2" applyFont="1" applyAlignment="1">
      <alignment horizontal="center" vertical="center"/>
    </xf>
    <xf numFmtId="0" fontId="41" fillId="21" borderId="62" xfId="2" applyFont="1" applyFill="1" applyBorder="1" applyAlignment="1">
      <alignment horizontal="center" vertical="center" wrapText="1"/>
    </xf>
    <xf numFmtId="0" fontId="45" fillId="0" borderId="0" xfId="2" applyFont="1" applyAlignment="1">
      <alignment vertical="center"/>
    </xf>
    <xf numFmtId="0" fontId="41" fillId="0" borderId="0" xfId="2" applyFont="1" applyAlignment="1">
      <alignment vertical="center"/>
    </xf>
    <xf numFmtId="0" fontId="41" fillId="0" borderId="0" xfId="2" applyFont="1" applyAlignment="1">
      <alignment vertical="center" wrapText="1"/>
    </xf>
    <xf numFmtId="0" fontId="41" fillId="21" borderId="73" xfId="2" applyFont="1" applyFill="1" applyBorder="1"/>
    <xf numFmtId="0" fontId="41" fillId="21" borderId="71" xfId="2" applyFont="1" applyFill="1" applyBorder="1" applyAlignment="1">
      <alignment horizontal="center"/>
    </xf>
    <xf numFmtId="0" fontId="42" fillId="23" borderId="78" xfId="2" applyFont="1" applyFill="1" applyBorder="1" applyAlignment="1">
      <alignment vertical="center"/>
    </xf>
    <xf numFmtId="0" fontId="42" fillId="23" borderId="61" xfId="2" applyFont="1" applyFill="1" applyBorder="1" applyAlignment="1">
      <alignment horizontal="left" vertical="center"/>
    </xf>
    <xf numFmtId="0" fontId="42" fillId="0" borderId="78" xfId="2" applyFont="1" applyBorder="1" applyAlignment="1">
      <alignment horizontal="left" vertical="center"/>
    </xf>
    <xf numFmtId="0" fontId="42" fillId="23" borderId="79" xfId="2" applyFont="1" applyFill="1" applyBorder="1" applyAlignment="1">
      <alignment vertical="center"/>
    </xf>
    <xf numFmtId="0" fontId="42" fillId="23" borderId="80" xfId="2" applyFont="1" applyFill="1" applyBorder="1" applyAlignment="1">
      <alignment vertical="center"/>
    </xf>
    <xf numFmtId="0" fontId="42" fillId="0" borderId="79" xfId="2" applyFont="1" applyBorder="1"/>
    <xf numFmtId="0" fontId="42" fillId="23" borderId="82" xfId="2" applyFont="1" applyFill="1" applyBorder="1" applyAlignment="1">
      <alignment vertical="center"/>
    </xf>
    <xf numFmtId="0" fontId="42" fillId="23" borderId="83" xfId="2" applyFont="1" applyFill="1" applyBorder="1" applyAlignment="1">
      <alignment vertical="center"/>
    </xf>
    <xf numFmtId="0" fontId="42" fillId="0" borderId="84" xfId="2" applyFont="1" applyBorder="1"/>
    <xf numFmtId="0" fontId="42" fillId="23" borderId="84" xfId="2" applyFont="1" applyFill="1" applyBorder="1" applyAlignment="1">
      <alignment vertical="center"/>
    </xf>
    <xf numFmtId="0" fontId="42" fillId="23" borderId="78" xfId="2" applyFont="1" applyFill="1" applyBorder="1" applyAlignment="1">
      <alignment vertical="center" wrapText="1"/>
    </xf>
    <xf numFmtId="0" fontId="42" fillId="23" borderId="82" xfId="2" applyFont="1" applyFill="1" applyBorder="1" applyAlignment="1">
      <alignment vertical="center" wrapText="1"/>
    </xf>
    <xf numFmtId="0" fontId="42" fillId="23" borderId="83" xfId="2" applyFont="1" applyFill="1" applyBorder="1" applyAlignment="1">
      <alignment vertical="center" wrapText="1"/>
    </xf>
    <xf numFmtId="0" fontId="49" fillId="24" borderId="78" xfId="2" applyFont="1" applyFill="1" applyBorder="1" applyAlignment="1">
      <alignment vertical="center"/>
    </xf>
    <xf numFmtId="0" fontId="49" fillId="24" borderId="84" xfId="2" applyFont="1" applyFill="1" applyBorder="1" applyAlignment="1">
      <alignment vertical="center"/>
    </xf>
    <xf numFmtId="0" fontId="49" fillId="24" borderId="87" xfId="2" applyFont="1" applyFill="1" applyBorder="1" applyAlignment="1">
      <alignment vertical="center"/>
    </xf>
    <xf numFmtId="0" fontId="42" fillId="23" borderId="83" xfId="2" applyFont="1" applyFill="1" applyBorder="1" applyAlignment="1">
      <alignment horizontal="left" vertical="center"/>
    </xf>
    <xf numFmtId="0" fontId="49" fillId="23" borderId="79" xfId="2" applyFont="1" applyFill="1" applyBorder="1" applyAlignment="1">
      <alignment vertical="center"/>
    </xf>
    <xf numFmtId="0" fontId="49" fillId="23" borderId="83" xfId="2" applyFont="1" applyFill="1" applyBorder="1" applyAlignment="1">
      <alignment vertical="center"/>
    </xf>
    <xf numFmtId="0" fontId="49" fillId="23" borderId="84" xfId="2" applyFont="1" applyFill="1" applyBorder="1" applyAlignment="1">
      <alignment vertical="center"/>
    </xf>
    <xf numFmtId="0" fontId="49" fillId="23" borderId="82" xfId="2" applyFont="1" applyFill="1" applyBorder="1" applyAlignment="1">
      <alignment vertical="center"/>
    </xf>
    <xf numFmtId="0" fontId="49" fillId="23" borderId="78" xfId="2" applyFont="1" applyFill="1" applyBorder="1" applyAlignment="1">
      <alignment vertical="center"/>
    </xf>
    <xf numFmtId="0" fontId="49" fillId="26" borderId="78" xfId="2" applyFont="1" applyFill="1" applyBorder="1" applyAlignment="1">
      <alignment vertical="center"/>
    </xf>
    <xf numFmtId="0" fontId="49" fillId="26" borderId="83" xfId="2" applyFont="1" applyFill="1" applyBorder="1" applyAlignment="1">
      <alignment vertical="center"/>
    </xf>
    <xf numFmtId="0" fontId="49" fillId="26" borderId="82" xfId="2" applyFont="1" applyFill="1" applyBorder="1" applyAlignment="1">
      <alignment vertical="center"/>
    </xf>
    <xf numFmtId="0" fontId="42" fillId="27" borderId="78" xfId="2" applyFont="1" applyFill="1" applyBorder="1" applyAlignment="1">
      <alignment wrapText="1"/>
    </xf>
    <xf numFmtId="0" fontId="42" fillId="27" borderId="83" xfId="2" applyFont="1" applyFill="1" applyBorder="1" applyAlignment="1">
      <alignment wrapText="1"/>
    </xf>
    <xf numFmtId="0" fontId="42" fillId="27" borderId="84" xfId="2" applyFont="1" applyFill="1" applyBorder="1" applyAlignment="1">
      <alignment wrapText="1"/>
    </xf>
    <xf numFmtId="0" fontId="42" fillId="27" borderId="87" xfId="2" applyFont="1" applyFill="1" applyBorder="1" applyAlignment="1">
      <alignment wrapText="1"/>
    </xf>
    <xf numFmtId="0" fontId="49" fillId="28" borderId="78" xfId="2" applyFont="1" applyFill="1" applyBorder="1" applyAlignment="1">
      <alignment vertical="center"/>
    </xf>
    <xf numFmtId="0" fontId="49" fillId="28" borderId="83" xfId="2" applyFont="1" applyFill="1" applyBorder="1" applyAlignment="1">
      <alignment vertical="center"/>
    </xf>
    <xf numFmtId="0" fontId="49" fillId="28" borderId="82" xfId="2" applyFont="1" applyFill="1" applyBorder="1" applyAlignment="1">
      <alignment vertical="center"/>
    </xf>
    <xf numFmtId="0" fontId="49" fillId="28" borderId="87" xfId="2" applyFont="1" applyFill="1" applyBorder="1" applyAlignment="1">
      <alignment vertical="center" wrapText="1"/>
    </xf>
    <xf numFmtId="0" fontId="42" fillId="28" borderId="83" xfId="2" applyFont="1" applyFill="1" applyBorder="1" applyAlignment="1">
      <alignment vertical="center" wrapText="1"/>
    </xf>
    <xf numFmtId="0" fontId="42" fillId="28" borderId="78" xfId="2" applyFont="1" applyFill="1" applyBorder="1" applyAlignment="1">
      <alignment horizontal="left" vertical="center"/>
    </xf>
    <xf numFmtId="0" fontId="42" fillId="28" borderId="83" xfId="2" applyFont="1" applyFill="1" applyBorder="1" applyAlignment="1">
      <alignment horizontal="left" vertical="center"/>
    </xf>
    <xf numFmtId="0" fontId="42" fillId="28" borderId="84" xfId="2" applyFont="1" applyFill="1" applyBorder="1" applyAlignment="1">
      <alignment horizontal="left" vertical="center"/>
    </xf>
    <xf numFmtId="0" fontId="42" fillId="28" borderId="82" xfId="2" applyFont="1" applyFill="1" applyBorder="1" applyAlignment="1">
      <alignment horizontal="left" vertical="center"/>
    </xf>
    <xf numFmtId="0" fontId="49" fillId="28" borderId="82" xfId="2" applyFont="1" applyFill="1" applyBorder="1" applyAlignment="1">
      <alignment vertical="center" wrapText="1"/>
    </xf>
    <xf numFmtId="0" fontId="42" fillId="28" borderId="78" xfId="2" applyFont="1" applyFill="1" applyBorder="1" applyAlignment="1">
      <alignment horizontal="left" vertical="center" wrapText="1"/>
    </xf>
    <xf numFmtId="0" fontId="42" fillId="28" borderId="83" xfId="2" applyFont="1" applyFill="1" applyBorder="1" applyAlignment="1">
      <alignment horizontal="left" vertical="center" wrapText="1"/>
    </xf>
    <xf numFmtId="0" fontId="42" fillId="28" borderId="84" xfId="2" applyFont="1" applyFill="1" applyBorder="1" applyAlignment="1">
      <alignment horizontal="left" vertical="center" wrapText="1"/>
    </xf>
    <xf numFmtId="0" fontId="49" fillId="28" borderId="83" xfId="2" applyFont="1" applyFill="1" applyBorder="1"/>
    <xf numFmtId="0" fontId="49" fillId="28" borderId="69" xfId="2" applyFont="1" applyFill="1" applyBorder="1" applyAlignment="1">
      <alignment horizontal="left" vertical="center" wrapText="1"/>
    </xf>
    <xf numFmtId="0" fontId="49" fillId="28" borderId="67" xfId="2" applyFont="1" applyFill="1" applyBorder="1" applyAlignment="1">
      <alignment horizontal="left" vertical="center" wrapText="1"/>
    </xf>
    <xf numFmtId="0" fontId="42" fillId="0" borderId="82" xfId="2" applyFont="1" applyBorder="1"/>
    <xf numFmtId="0" fontId="29" fillId="0" borderId="65" xfId="2" applyFont="1" applyBorder="1" applyAlignment="1">
      <alignment horizontal="left" vertical="center"/>
    </xf>
    <xf numFmtId="0" fontId="28" fillId="0" borderId="69" xfId="2" applyFont="1" applyBorder="1" applyAlignment="1">
      <alignment horizontal="left" vertical="center" wrapText="1"/>
    </xf>
    <xf numFmtId="0" fontId="29" fillId="0" borderId="69" xfId="2" applyFont="1" applyBorder="1" applyAlignment="1">
      <alignment vertical="center"/>
    </xf>
    <xf numFmtId="0" fontId="28" fillId="0" borderId="84" xfId="2" applyFont="1" applyBorder="1"/>
    <xf numFmtId="0" fontId="37" fillId="0" borderId="0" xfId="2"/>
    <xf numFmtId="0" fontId="27" fillId="21" borderId="61" xfId="2" applyFont="1" applyFill="1" applyBorder="1" applyAlignment="1">
      <alignment horizontal="center" vertical="center"/>
    </xf>
    <xf numFmtId="0" fontId="28" fillId="0" borderId="0" xfId="2" applyFont="1" applyAlignment="1">
      <alignment horizontal="left" vertical="center"/>
    </xf>
    <xf numFmtId="0" fontId="27" fillId="21" borderId="62" xfId="2" applyFont="1" applyFill="1" applyBorder="1" applyAlignment="1">
      <alignment horizontal="center" vertical="center"/>
    </xf>
    <xf numFmtId="0" fontId="27" fillId="21" borderId="66" xfId="2" applyFont="1" applyFill="1" applyBorder="1" applyAlignment="1">
      <alignment horizontal="center" vertical="center"/>
    </xf>
    <xf numFmtId="0" fontId="27" fillId="21" borderId="67" xfId="2" applyFont="1" applyFill="1" applyBorder="1" applyAlignment="1">
      <alignment horizontal="center" vertical="center"/>
    </xf>
    <xf numFmtId="0" fontId="28" fillId="0" borderId="0" xfId="2" applyFont="1" applyAlignment="1">
      <alignment horizontal="left" vertical="center" wrapText="1"/>
    </xf>
    <xf numFmtId="0" fontId="27" fillId="21" borderId="68" xfId="2" applyFont="1" applyFill="1" applyBorder="1" applyAlignment="1">
      <alignment horizontal="center" vertical="center"/>
    </xf>
    <xf numFmtId="0" fontId="27" fillId="21" borderId="61" xfId="2" applyFont="1" applyFill="1" applyBorder="1" applyAlignment="1">
      <alignment horizontal="center" vertical="center" wrapText="1"/>
    </xf>
    <xf numFmtId="0" fontId="27" fillId="0" borderId="0" xfId="2" applyFont="1" applyAlignment="1">
      <alignment horizontal="center" vertical="center"/>
    </xf>
    <xf numFmtId="0" fontId="27" fillId="21" borderId="62" xfId="2" applyFont="1" applyFill="1" applyBorder="1" applyAlignment="1">
      <alignment horizontal="center" vertical="center" wrapText="1"/>
    </xf>
    <xf numFmtId="0" fontId="31" fillId="0" borderId="0" xfId="2" applyFont="1" applyAlignment="1">
      <alignment vertical="center"/>
    </xf>
    <xf numFmtId="0" fontId="27" fillId="0" borderId="0" xfId="2" applyFont="1" applyAlignment="1">
      <alignment vertical="center"/>
    </xf>
    <xf numFmtId="0" fontId="27" fillId="0" borderId="0" xfId="2" applyFont="1" applyAlignment="1">
      <alignment vertical="center" wrapText="1"/>
    </xf>
    <xf numFmtId="0" fontId="27" fillId="21" borderId="73" xfId="2" applyFont="1" applyFill="1" applyBorder="1"/>
    <xf numFmtId="0" fontId="27" fillId="21" borderId="71" xfId="2" applyFont="1" applyFill="1" applyBorder="1" applyAlignment="1">
      <alignment horizontal="center"/>
    </xf>
    <xf numFmtId="0" fontId="28" fillId="23" borderId="78" xfId="2" applyFont="1" applyFill="1" applyBorder="1" applyAlignment="1">
      <alignment vertical="center"/>
    </xf>
    <xf numFmtId="0" fontId="28" fillId="23" borderId="61" xfId="2" applyFont="1" applyFill="1" applyBorder="1" applyAlignment="1">
      <alignment horizontal="left" vertical="center"/>
    </xf>
    <xf numFmtId="0" fontId="28" fillId="0" borderId="78" xfId="2" applyFont="1" applyBorder="1" applyAlignment="1">
      <alignment horizontal="left" vertical="center"/>
    </xf>
    <xf numFmtId="0" fontId="28" fillId="23" borderId="79" xfId="2" applyFont="1" applyFill="1" applyBorder="1" applyAlignment="1">
      <alignment vertical="center"/>
    </xf>
    <xf numFmtId="0" fontId="28" fillId="23" borderId="80" xfId="2" applyFont="1" applyFill="1" applyBorder="1" applyAlignment="1">
      <alignment vertical="center"/>
    </xf>
    <xf numFmtId="0" fontId="28" fillId="0" borderId="79" xfId="2" applyFont="1" applyBorder="1"/>
    <xf numFmtId="0" fontId="28" fillId="23" borderId="82" xfId="2" applyFont="1" applyFill="1" applyBorder="1" applyAlignment="1">
      <alignment vertical="center"/>
    </xf>
    <xf numFmtId="0" fontId="28" fillId="23" borderId="83" xfId="2" applyFont="1" applyFill="1" applyBorder="1" applyAlignment="1">
      <alignment vertical="center"/>
    </xf>
    <xf numFmtId="0" fontId="28" fillId="0" borderId="84" xfId="2" applyFont="1" applyBorder="1"/>
    <xf numFmtId="0" fontId="28" fillId="23" borderId="84" xfId="2" applyFont="1" applyFill="1" applyBorder="1" applyAlignment="1">
      <alignment vertical="center"/>
    </xf>
    <xf numFmtId="0" fontId="28" fillId="23" borderId="78" xfId="2" applyFont="1" applyFill="1" applyBorder="1" applyAlignment="1">
      <alignment vertical="center" wrapText="1"/>
    </xf>
    <xf numFmtId="0" fontId="28" fillId="23" borderId="82" xfId="2" applyFont="1" applyFill="1" applyBorder="1" applyAlignment="1">
      <alignment vertical="center" wrapText="1"/>
    </xf>
    <xf numFmtId="0" fontId="28" fillId="23" borderId="83" xfId="2" applyFont="1" applyFill="1" applyBorder="1" applyAlignment="1">
      <alignment vertical="center" wrapText="1"/>
    </xf>
    <xf numFmtId="0" fontId="35" fillId="24" borderId="78" xfId="2" applyFont="1" applyFill="1" applyBorder="1" applyAlignment="1">
      <alignment vertical="center"/>
    </xf>
    <xf numFmtId="0" fontId="35" fillId="24" borderId="84" xfId="2" applyFont="1" applyFill="1" applyBorder="1" applyAlignment="1">
      <alignment vertical="center"/>
    </xf>
    <xf numFmtId="0" fontId="35" fillId="24" borderId="87" xfId="2" applyFont="1" applyFill="1" applyBorder="1" applyAlignment="1">
      <alignment vertical="center"/>
    </xf>
    <xf numFmtId="0" fontId="28" fillId="23" borderId="83" xfId="2" applyFont="1" applyFill="1" applyBorder="1" applyAlignment="1">
      <alignment horizontal="left" vertical="center"/>
    </xf>
    <xf numFmtId="0" fontId="35" fillId="23" borderId="79" xfId="2" applyFont="1" applyFill="1" applyBorder="1" applyAlignment="1">
      <alignment vertical="center"/>
    </xf>
    <xf numFmtId="0" fontId="35" fillId="23" borderId="83" xfId="2" applyFont="1" applyFill="1" applyBorder="1" applyAlignment="1">
      <alignment vertical="center"/>
    </xf>
    <xf numFmtId="0" fontId="35" fillId="23" borderId="84" xfId="2" applyFont="1" applyFill="1" applyBorder="1" applyAlignment="1">
      <alignment vertical="center"/>
    </xf>
    <xf numFmtId="0" fontId="35" fillId="23" borderId="82" xfId="2" applyFont="1" applyFill="1" applyBorder="1" applyAlignment="1">
      <alignment vertical="center"/>
    </xf>
    <xf numFmtId="0" fontId="35" fillId="23" borderId="78" xfId="2" applyFont="1" applyFill="1" applyBorder="1" applyAlignment="1">
      <alignment vertical="center"/>
    </xf>
    <xf numFmtId="0" fontId="35" fillId="26" borderId="78" xfId="2" applyFont="1" applyFill="1" applyBorder="1" applyAlignment="1">
      <alignment vertical="center"/>
    </xf>
    <xf numFmtId="0" fontId="35" fillId="26" borderId="83" xfId="2" applyFont="1" applyFill="1" applyBorder="1" applyAlignment="1">
      <alignment vertical="center"/>
    </xf>
    <xf numFmtId="0" fontId="35" fillId="26" borderId="82" xfId="2" applyFont="1" applyFill="1" applyBorder="1" applyAlignment="1">
      <alignment vertical="center"/>
    </xf>
    <xf numFmtId="0" fontId="28" fillId="27" borderId="78" xfId="2" applyFont="1" applyFill="1" applyBorder="1" applyAlignment="1">
      <alignment wrapText="1"/>
    </xf>
    <xf numFmtId="0" fontId="28" fillId="27" borderId="83" xfId="2" applyFont="1" applyFill="1" applyBorder="1" applyAlignment="1">
      <alignment wrapText="1"/>
    </xf>
    <xf numFmtId="0" fontId="28" fillId="27" borderId="84" xfId="2" applyFont="1" applyFill="1" applyBorder="1" applyAlignment="1">
      <alignment wrapText="1"/>
    </xf>
    <xf numFmtId="0" fontId="28" fillId="27" borderId="87" xfId="2" applyFont="1" applyFill="1" applyBorder="1" applyAlignment="1">
      <alignment wrapText="1"/>
    </xf>
    <xf numFmtId="0" fontId="35" fillId="28" borderId="78" xfId="2" applyFont="1" applyFill="1" applyBorder="1" applyAlignment="1">
      <alignment vertical="center"/>
    </xf>
    <xf numFmtId="0" fontId="35" fillId="28" borderId="83" xfId="2" applyFont="1" applyFill="1" applyBorder="1" applyAlignment="1">
      <alignment vertical="center"/>
    </xf>
    <xf numFmtId="0" fontId="35" fillId="28" borderId="82" xfId="2" applyFont="1" applyFill="1" applyBorder="1" applyAlignment="1">
      <alignment vertical="center"/>
    </xf>
    <xf numFmtId="0" fontId="35" fillId="28" borderId="87" xfId="2" applyFont="1" applyFill="1" applyBorder="1" applyAlignment="1">
      <alignment vertical="center" wrapText="1"/>
    </xf>
    <xf numFmtId="0" fontId="28" fillId="28" borderId="83" xfId="2" applyFont="1" applyFill="1" applyBorder="1" applyAlignment="1">
      <alignment vertical="center" wrapText="1"/>
    </xf>
    <xf numFmtId="0" fontId="28" fillId="28" borderId="78" xfId="2" applyFont="1" applyFill="1" applyBorder="1" applyAlignment="1">
      <alignment horizontal="left" vertical="center"/>
    </xf>
    <xf numFmtId="0" fontId="28" fillId="28" borderId="83" xfId="2" applyFont="1" applyFill="1" applyBorder="1" applyAlignment="1">
      <alignment horizontal="left" vertical="center"/>
    </xf>
    <xf numFmtId="0" fontId="28" fillId="28" borderId="84" xfId="2" applyFont="1" applyFill="1" applyBorder="1" applyAlignment="1">
      <alignment horizontal="left" vertical="center"/>
    </xf>
    <xf numFmtId="0" fontId="28" fillId="28" borderId="82" xfId="2" applyFont="1" applyFill="1" applyBorder="1" applyAlignment="1">
      <alignment horizontal="left" vertical="center"/>
    </xf>
    <xf numFmtId="0" fontId="35" fillId="28" borderId="82" xfId="2" applyFont="1" applyFill="1" applyBorder="1" applyAlignment="1">
      <alignment vertical="center" wrapText="1"/>
    </xf>
    <xf numFmtId="0" fontId="28" fillId="28" borderId="78" xfId="2" applyFont="1" applyFill="1" applyBorder="1" applyAlignment="1">
      <alignment horizontal="left" vertical="center" wrapText="1"/>
    </xf>
    <xf numFmtId="0" fontId="28" fillId="28" borderId="83" xfId="2" applyFont="1" applyFill="1" applyBorder="1" applyAlignment="1">
      <alignment horizontal="left" vertical="center" wrapText="1"/>
    </xf>
    <xf numFmtId="0" fontId="28" fillId="28" borderId="84" xfId="2" applyFont="1" applyFill="1" applyBorder="1" applyAlignment="1">
      <alignment horizontal="left" vertical="center" wrapText="1"/>
    </xf>
    <xf numFmtId="0" fontId="35" fillId="28" borderId="83" xfId="2" applyFont="1" applyFill="1" applyBorder="1"/>
    <xf numFmtId="0" fontId="35" fillId="28" borderId="69" xfId="2" applyFont="1" applyFill="1" applyBorder="1" applyAlignment="1">
      <alignment horizontal="left" vertical="center" wrapText="1"/>
    </xf>
    <xf numFmtId="0" fontId="35" fillId="28" borderId="67" xfId="2" applyFont="1" applyFill="1" applyBorder="1" applyAlignment="1">
      <alignment horizontal="left" vertical="center" wrapText="1"/>
    </xf>
    <xf numFmtId="0" fontId="28" fillId="0" borderId="82" xfId="2" applyFont="1" applyBorder="1"/>
    <xf numFmtId="0" fontId="28" fillId="0" borderId="83" xfId="2" applyFont="1" applyBorder="1"/>
    <xf numFmtId="0" fontId="29" fillId="0" borderId="65" xfId="2" applyFont="1" applyBorder="1" applyAlignment="1">
      <alignment horizontal="left" vertical="center"/>
    </xf>
    <xf numFmtId="0" fontId="30" fillId="0" borderId="65" xfId="2" applyFont="1" applyBorder="1" applyAlignment="1">
      <alignment horizontal="left" vertical="center"/>
    </xf>
    <xf numFmtId="0" fontId="29" fillId="0" borderId="69" xfId="2" applyFont="1" applyBorder="1" applyAlignment="1">
      <alignment vertical="center"/>
    </xf>
    <xf numFmtId="0" fontId="29" fillId="0" borderId="69" xfId="2" applyFont="1" applyBorder="1" applyAlignment="1">
      <alignment horizontal="left" vertical="center" wrapText="1"/>
    </xf>
    <xf numFmtId="0" fontId="28" fillId="0" borderId="83" xfId="0" applyFont="1" applyBorder="1"/>
    <xf numFmtId="0" fontId="0" fillId="0" borderId="0" xfId="0" applyFont="1" applyAlignment="1"/>
    <xf numFmtId="0" fontId="41" fillId="21" borderId="61" xfId="0" applyFont="1" applyFill="1" applyBorder="1" applyAlignment="1">
      <alignment horizontal="center" vertical="center"/>
    </xf>
    <xf numFmtId="0" fontId="42" fillId="0" borderId="0" xfId="0" applyFont="1" applyAlignment="1">
      <alignment horizontal="left" vertical="center"/>
    </xf>
    <xf numFmtId="0" fontId="41" fillId="21" borderId="62" xfId="0" applyFont="1" applyFill="1" applyBorder="1" applyAlignment="1">
      <alignment horizontal="center" vertical="center"/>
    </xf>
    <xf numFmtId="0" fontId="41" fillId="21" borderId="66" xfId="0" applyFont="1" applyFill="1" applyBorder="1" applyAlignment="1">
      <alignment horizontal="center" vertical="center"/>
    </xf>
    <xf numFmtId="0" fontId="41" fillId="21" borderId="67" xfId="0" applyFont="1" applyFill="1" applyBorder="1" applyAlignment="1">
      <alignment horizontal="center" vertical="center"/>
    </xf>
    <xf numFmtId="0" fontId="42" fillId="0" borderId="0" xfId="0" applyFont="1" applyAlignment="1">
      <alignment horizontal="left" vertical="center" wrapText="1"/>
    </xf>
    <xf numFmtId="0" fontId="41" fillId="21" borderId="68" xfId="0" applyFont="1" applyFill="1" applyBorder="1" applyAlignment="1">
      <alignment horizontal="center" vertical="center"/>
    </xf>
    <xf numFmtId="0" fontId="41" fillId="21" borderId="61" xfId="0" applyFont="1" applyFill="1" applyBorder="1" applyAlignment="1">
      <alignment horizontal="center" vertical="center" wrapText="1"/>
    </xf>
    <xf numFmtId="0" fontId="42" fillId="0" borderId="69" xfId="0" applyFont="1" applyBorder="1" applyAlignment="1">
      <alignment horizontal="left" vertical="center" wrapText="1"/>
    </xf>
    <xf numFmtId="0" fontId="41" fillId="0" borderId="0" xfId="0" applyFont="1" applyAlignment="1">
      <alignment horizontal="center" vertical="center"/>
    </xf>
    <xf numFmtId="0" fontId="41" fillId="21" borderId="62" xfId="0" applyFont="1" applyFill="1" applyBorder="1" applyAlignment="1">
      <alignment horizontal="center" vertical="center" wrapText="1"/>
    </xf>
    <xf numFmtId="0" fontId="45" fillId="0" borderId="0" xfId="0" applyFont="1" applyAlignment="1">
      <alignment vertical="center"/>
    </xf>
    <xf numFmtId="0" fontId="42" fillId="0" borderId="63" xfId="0" applyFont="1" applyBorder="1" applyAlignment="1">
      <alignment vertical="center" wrapText="1"/>
    </xf>
    <xf numFmtId="0" fontId="42" fillId="0" borderId="64" xfId="0" applyFont="1" applyBorder="1" applyAlignment="1">
      <alignment vertical="center" wrapText="1"/>
    </xf>
    <xf numFmtId="0" fontId="41" fillId="0" borderId="0" xfId="0" applyFont="1" applyAlignment="1">
      <alignment vertical="center"/>
    </xf>
    <xf numFmtId="0" fontId="41" fillId="0" borderId="0" xfId="0" applyFont="1" applyAlignment="1">
      <alignment vertical="center" wrapText="1"/>
    </xf>
    <xf numFmtId="0" fontId="41" fillId="21" borderId="73" xfId="0" applyFont="1" applyFill="1" applyBorder="1"/>
    <xf numFmtId="0" fontId="41" fillId="21" borderId="71" xfId="0" applyFont="1" applyFill="1" applyBorder="1" applyAlignment="1">
      <alignment horizontal="center"/>
    </xf>
    <xf numFmtId="0" fontId="42" fillId="23" borderId="78" xfId="0" applyFont="1" applyFill="1" applyBorder="1" applyAlignment="1">
      <alignment vertical="center"/>
    </xf>
    <xf numFmtId="0" fontId="42" fillId="23" borderId="61" xfId="0" applyFont="1" applyFill="1" applyBorder="1" applyAlignment="1">
      <alignment horizontal="left" vertical="center"/>
    </xf>
    <xf numFmtId="0" fontId="42" fillId="0" borderId="78" xfId="0" applyFont="1" applyBorder="1" applyAlignment="1">
      <alignment horizontal="left" vertical="center"/>
    </xf>
    <xf numFmtId="0" fontId="42" fillId="23" borderId="79" xfId="0" applyFont="1" applyFill="1" applyBorder="1" applyAlignment="1">
      <alignment vertical="center"/>
    </xf>
    <xf numFmtId="0" fontId="42" fillId="23" borderId="80" xfId="0" applyFont="1" applyFill="1" applyBorder="1" applyAlignment="1">
      <alignment vertical="center"/>
    </xf>
    <xf numFmtId="0" fontId="42" fillId="0" borderId="79" xfId="0" applyFont="1" applyBorder="1"/>
    <xf numFmtId="0" fontId="42" fillId="23" borderId="82" xfId="0" applyFont="1" applyFill="1" applyBorder="1" applyAlignment="1">
      <alignment vertical="center"/>
    </xf>
    <xf numFmtId="0" fontId="42" fillId="23" borderId="83" xfId="0" applyFont="1" applyFill="1" applyBorder="1" applyAlignment="1">
      <alignment vertical="center"/>
    </xf>
    <xf numFmtId="0" fontId="42" fillId="0" borderId="84" xfId="0" applyFont="1" applyBorder="1"/>
    <xf numFmtId="0" fontId="42" fillId="23" borderId="84" xfId="0" applyFont="1" applyFill="1" applyBorder="1" applyAlignment="1">
      <alignment vertical="center"/>
    </xf>
    <xf numFmtId="0" fontId="42" fillId="23" borderId="78" xfId="0" applyFont="1" applyFill="1" applyBorder="1" applyAlignment="1">
      <alignment vertical="center" wrapText="1"/>
    </xf>
    <xf numFmtId="0" fontId="42" fillId="23" borderId="82" xfId="0" applyFont="1" applyFill="1" applyBorder="1" applyAlignment="1">
      <alignment vertical="center" wrapText="1"/>
    </xf>
    <xf numFmtId="0" fontId="42" fillId="23" borderId="83" xfId="0" applyFont="1" applyFill="1" applyBorder="1" applyAlignment="1">
      <alignment vertical="center" wrapText="1"/>
    </xf>
    <xf numFmtId="0" fontId="49" fillId="24" borderId="78" xfId="0" applyFont="1" applyFill="1" applyBorder="1" applyAlignment="1">
      <alignment vertical="center"/>
    </xf>
    <xf numFmtId="0" fontId="49" fillId="24" borderId="84" xfId="0" applyFont="1" applyFill="1" applyBorder="1" applyAlignment="1">
      <alignment vertical="center"/>
    </xf>
    <xf numFmtId="0" fontId="49" fillId="24" borderId="87" xfId="0" applyFont="1" applyFill="1" applyBorder="1" applyAlignment="1">
      <alignment vertical="center"/>
    </xf>
    <xf numFmtId="0" fontId="42" fillId="23" borderId="83" xfId="0" applyFont="1" applyFill="1" applyBorder="1" applyAlignment="1">
      <alignment horizontal="left" vertical="center"/>
    </xf>
    <xf numFmtId="0" fontId="49" fillId="23" borderId="79" xfId="0" applyFont="1" applyFill="1" applyBorder="1" applyAlignment="1">
      <alignment vertical="center"/>
    </xf>
    <xf numFmtId="0" fontId="49" fillId="23" borderId="83" xfId="0" applyFont="1" applyFill="1" applyBorder="1" applyAlignment="1">
      <alignment vertical="center"/>
    </xf>
    <xf numFmtId="0" fontId="49" fillId="23" borderId="84" xfId="0" applyFont="1" applyFill="1" applyBorder="1" applyAlignment="1">
      <alignment vertical="center"/>
    </xf>
    <xf numFmtId="0" fontId="49" fillId="23" borderId="82" xfId="0" applyFont="1" applyFill="1" applyBorder="1" applyAlignment="1">
      <alignment vertical="center"/>
    </xf>
    <xf numFmtId="0" fontId="49" fillId="23" borderId="78" xfId="0" applyFont="1" applyFill="1" applyBorder="1" applyAlignment="1">
      <alignment vertical="center"/>
    </xf>
    <xf numFmtId="0" fontId="49" fillId="26" borderId="78" xfId="0" applyFont="1" applyFill="1" applyBorder="1" applyAlignment="1">
      <alignment vertical="center"/>
    </xf>
    <xf numFmtId="0" fontId="49" fillId="26" borderId="83" xfId="0" applyFont="1" applyFill="1" applyBorder="1" applyAlignment="1">
      <alignment vertical="center"/>
    </xf>
    <xf numFmtId="0" fontId="49" fillId="26" borderId="82" xfId="0" applyFont="1" applyFill="1" applyBorder="1" applyAlignment="1">
      <alignment vertical="center"/>
    </xf>
    <xf numFmtId="0" fontId="42" fillId="27" borderId="78" xfId="0" applyFont="1" applyFill="1" applyBorder="1" applyAlignment="1">
      <alignment wrapText="1"/>
    </xf>
    <xf numFmtId="0" fontId="42" fillId="27" borderId="83" xfId="0" applyFont="1" applyFill="1" applyBorder="1" applyAlignment="1">
      <alignment wrapText="1"/>
    </xf>
    <xf numFmtId="0" fontId="42" fillId="27" borderId="84" xfId="0" applyFont="1" applyFill="1" applyBorder="1" applyAlignment="1">
      <alignment wrapText="1"/>
    </xf>
    <xf numFmtId="0" fontId="42" fillId="27" borderId="87" xfId="0" applyFont="1" applyFill="1" applyBorder="1" applyAlignment="1">
      <alignment wrapText="1"/>
    </xf>
    <xf numFmtId="0" fontId="49" fillId="28" borderId="78" xfId="0" applyFont="1" applyFill="1" applyBorder="1" applyAlignment="1">
      <alignment vertical="center"/>
    </xf>
    <xf numFmtId="0" fontId="49" fillId="28" borderId="83" xfId="0" applyFont="1" applyFill="1" applyBorder="1" applyAlignment="1">
      <alignment vertical="center"/>
    </xf>
    <xf numFmtId="0" fontId="49" fillId="28" borderId="82" xfId="0" applyFont="1" applyFill="1" applyBorder="1" applyAlignment="1">
      <alignment vertical="center"/>
    </xf>
    <xf numFmtId="0" fontId="49" fillId="28" borderId="87" xfId="0" applyFont="1" applyFill="1" applyBorder="1" applyAlignment="1">
      <alignment vertical="center" wrapText="1"/>
    </xf>
    <xf numFmtId="0" fontId="42" fillId="28" borderId="83" xfId="0" applyFont="1" applyFill="1" applyBorder="1" applyAlignment="1">
      <alignment vertical="center" wrapText="1"/>
    </xf>
    <xf numFmtId="0" fontId="42" fillId="28" borderId="78" xfId="0" applyFont="1" applyFill="1" applyBorder="1" applyAlignment="1">
      <alignment horizontal="left" vertical="center"/>
    </xf>
    <xf numFmtId="0" fontId="42" fillId="28" borderId="83" xfId="0" applyFont="1" applyFill="1" applyBorder="1" applyAlignment="1">
      <alignment horizontal="left" vertical="center"/>
    </xf>
    <xf numFmtId="0" fontId="42" fillId="28" borderId="84" xfId="0" applyFont="1" applyFill="1" applyBorder="1" applyAlignment="1">
      <alignment horizontal="left" vertical="center"/>
    </xf>
    <xf numFmtId="0" fontId="42" fillId="28" borderId="82" xfId="0" applyFont="1" applyFill="1" applyBorder="1" applyAlignment="1">
      <alignment horizontal="left" vertical="center"/>
    </xf>
    <xf numFmtId="0" fontId="49" fillId="28" borderId="82" xfId="0" applyFont="1" applyFill="1" applyBorder="1" applyAlignment="1">
      <alignment vertical="center" wrapText="1"/>
    </xf>
    <xf numFmtId="0" fontId="42" fillId="28" borderId="78" xfId="0" applyFont="1" applyFill="1" applyBorder="1" applyAlignment="1">
      <alignment horizontal="left" vertical="center" wrapText="1"/>
    </xf>
    <xf numFmtId="0" fontId="42" fillId="28" borderId="83" xfId="0" applyFont="1" applyFill="1" applyBorder="1" applyAlignment="1">
      <alignment horizontal="left" vertical="center" wrapText="1"/>
    </xf>
    <xf numFmtId="0" fontId="42" fillId="28" borderId="84" xfId="0" applyFont="1" applyFill="1" applyBorder="1" applyAlignment="1">
      <alignment horizontal="left" vertical="center" wrapText="1"/>
    </xf>
    <xf numFmtId="0" fontId="49" fillId="28" borderId="83" xfId="0" applyFont="1" applyFill="1" applyBorder="1"/>
    <xf numFmtId="0" fontId="49" fillId="28" borderId="69" xfId="0" applyFont="1" applyFill="1" applyBorder="1" applyAlignment="1">
      <alignment horizontal="left" vertical="center" wrapText="1"/>
    </xf>
    <xf numFmtId="0" fontId="49" fillId="28" borderId="67" xfId="0" applyFont="1" applyFill="1" applyBorder="1" applyAlignment="1">
      <alignment horizontal="left" vertical="center" wrapText="1"/>
    </xf>
    <xf numFmtId="0" fontId="42" fillId="0" borderId="82" xfId="0" applyFont="1" applyBorder="1"/>
    <xf numFmtId="0" fontId="44" fillId="0" borderId="65" xfId="0" applyFont="1" applyBorder="1" applyAlignment="1">
      <alignment horizontal="left" vertical="center"/>
    </xf>
    <xf numFmtId="0" fontId="8" fillId="0" borderId="0" xfId="1" applyAlignment="1">
      <alignment horizontal="left" vertical="center"/>
    </xf>
    <xf numFmtId="0" fontId="41" fillId="21" borderId="71" xfId="0" applyFont="1" applyFill="1" applyBorder="1" applyAlignment="1">
      <alignment horizontal="center"/>
    </xf>
    <xf numFmtId="0" fontId="42" fillId="23" borderId="97" xfId="0" applyFont="1" applyFill="1" applyBorder="1" applyAlignment="1">
      <alignment vertical="center"/>
    </xf>
    <xf numFmtId="0" fontId="42" fillId="23" borderId="98" xfId="0" applyFont="1" applyFill="1" applyBorder="1" applyAlignment="1">
      <alignment horizontal="left" vertical="center"/>
    </xf>
    <xf numFmtId="0" fontId="42" fillId="0" borderId="97" xfId="0" applyFont="1" applyBorder="1" applyAlignment="1">
      <alignment horizontal="left" vertical="center"/>
    </xf>
    <xf numFmtId="0" fontId="28" fillId="0" borderId="79" xfId="0" applyFont="1" applyFill="1" applyBorder="1" applyAlignment="1">
      <alignment horizontal="center"/>
    </xf>
    <xf numFmtId="0" fontId="28" fillId="0" borderId="84" xfId="0" applyFont="1" applyFill="1" applyBorder="1" applyAlignment="1">
      <alignment horizontal="center"/>
    </xf>
    <xf numFmtId="0" fontId="29" fillId="0" borderId="84" xfId="0" applyFont="1" applyFill="1" applyBorder="1" applyAlignment="1">
      <alignment horizontal="center"/>
    </xf>
    <xf numFmtId="0" fontId="28" fillId="0" borderId="84" xfId="0" applyFont="1" applyFill="1" applyBorder="1" applyAlignment="1">
      <alignment horizontal="center" vertical="center"/>
    </xf>
    <xf numFmtId="0" fontId="29" fillId="0" borderId="84" xfId="0" applyFont="1" applyFill="1" applyBorder="1" applyAlignment="1">
      <alignment horizontal="center" vertical="center"/>
    </xf>
    <xf numFmtId="0" fontId="31" fillId="0" borderId="84" xfId="0" applyFont="1" applyFill="1" applyBorder="1" applyAlignment="1">
      <alignment horizontal="center" vertical="center"/>
    </xf>
    <xf numFmtId="0" fontId="49" fillId="28" borderId="109" xfId="0" applyFont="1" applyFill="1" applyBorder="1" applyAlignment="1">
      <alignment horizontal="left" vertical="center" wrapText="1"/>
    </xf>
    <xf numFmtId="0" fontId="49" fillId="28" borderId="110" xfId="0" applyFont="1" applyFill="1" applyBorder="1" applyAlignment="1">
      <alignment horizontal="left" vertical="center" wrapText="1"/>
    </xf>
    <xf numFmtId="0" fontId="42" fillId="0" borderId="111" xfId="0" applyFont="1" applyBorder="1"/>
    <xf numFmtId="0" fontId="42" fillId="0" borderId="0" xfId="0" applyFont="1" applyAlignment="1">
      <alignment horizontal="center" vertical="center"/>
    </xf>
    <xf numFmtId="0" fontId="41" fillId="0" borderId="65" xfId="0" applyFont="1" applyBorder="1" applyAlignment="1">
      <alignment horizontal="left" vertical="center"/>
    </xf>
    <xf numFmtId="0" fontId="42" fillId="0" borderId="0" xfId="0" applyFont="1" applyAlignment="1">
      <alignment horizontal="center" vertical="center" wrapText="1"/>
    </xf>
    <xf numFmtId="0" fontId="42" fillId="0" borderId="69" xfId="0" applyFont="1" applyBorder="1" applyAlignment="1">
      <alignment horizontal="left" vertical="center"/>
    </xf>
    <xf numFmtId="0" fontId="42" fillId="0" borderId="33" xfId="0" applyFont="1" applyBorder="1" applyAlignment="1">
      <alignment horizontal="center" vertical="center"/>
    </xf>
    <xf numFmtId="0" fontId="42" fillId="0" borderId="45" xfId="0" applyFont="1" applyBorder="1" applyAlignment="1">
      <alignment horizontal="center"/>
    </xf>
    <xf numFmtId="0" fontId="42" fillId="0" borderId="45" xfId="0" applyFont="1" applyBorder="1" applyAlignment="1">
      <alignment horizontal="center" vertical="center"/>
    </xf>
    <xf numFmtId="0" fontId="42" fillId="23" borderId="82" xfId="0" applyFont="1" applyFill="1" applyBorder="1" applyAlignment="1">
      <alignment horizontal="left" vertical="center"/>
    </xf>
    <xf numFmtId="0" fontId="42" fillId="0" borderId="36" xfId="0" applyFont="1" applyBorder="1" applyAlignment="1">
      <alignment horizontal="center"/>
    </xf>
    <xf numFmtId="0" fontId="29" fillId="0" borderId="69" xfId="0" applyFont="1" applyBorder="1" applyAlignment="1">
      <alignment horizontal="left" vertical="top"/>
    </xf>
    <xf numFmtId="0" fontId="28" fillId="0" borderId="84" xfId="0" applyFont="1" applyBorder="1" applyAlignment="1">
      <alignment horizontal="center"/>
    </xf>
    <xf numFmtId="0" fontId="28" fillId="0" borderId="84" xfId="0" applyFont="1" applyBorder="1" applyAlignment="1">
      <alignment horizontal="center" vertical="center"/>
    </xf>
    <xf numFmtId="0" fontId="42" fillId="0" borderId="69" xfId="0" applyFont="1" applyBorder="1" applyAlignment="1">
      <alignment horizontal="center" vertical="center" wrapText="1"/>
    </xf>
    <xf numFmtId="0" fontId="42" fillId="8" borderId="84" xfId="0" applyFont="1" applyFill="1" applyBorder="1"/>
    <xf numFmtId="0" fontId="28" fillId="8" borderId="84" xfId="0" applyFont="1" applyFill="1" applyBorder="1" applyAlignment="1">
      <alignment horizontal="center"/>
    </xf>
    <xf numFmtId="0" fontId="42" fillId="8" borderId="84" xfId="0" applyFont="1" applyFill="1" applyBorder="1" applyAlignment="1">
      <alignment horizontal="center"/>
    </xf>
    <xf numFmtId="0" fontId="42" fillId="23" borderId="117" xfId="0" applyFont="1" applyFill="1" applyBorder="1" applyAlignment="1">
      <alignment vertical="center"/>
    </xf>
    <xf numFmtId="0" fontId="42" fillId="0" borderId="97" xfId="0" applyFont="1" applyFill="1" applyBorder="1" applyAlignment="1">
      <alignment horizontal="center" vertical="center"/>
    </xf>
    <xf numFmtId="0" fontId="42" fillId="23" borderId="118" xfId="0" applyFont="1" applyFill="1" applyBorder="1" applyAlignment="1">
      <alignment vertical="center"/>
    </xf>
    <xf numFmtId="0" fontId="42" fillId="23" borderId="119" xfId="0" applyFont="1" applyFill="1" applyBorder="1" applyAlignment="1">
      <alignment vertical="center"/>
    </xf>
    <xf numFmtId="0" fontId="42" fillId="23" borderId="110" xfId="0" applyFont="1" applyFill="1" applyBorder="1" applyAlignment="1">
      <alignment vertical="center"/>
    </xf>
    <xf numFmtId="0" fontId="28" fillId="0" borderId="111" xfId="0" applyFont="1" applyFill="1" applyBorder="1" applyAlignment="1">
      <alignment horizontal="center"/>
    </xf>
    <xf numFmtId="0" fontId="29" fillId="23" borderId="117" xfId="0" applyFont="1" applyFill="1" applyBorder="1" applyAlignment="1">
      <alignment vertical="center"/>
    </xf>
    <xf numFmtId="0" fontId="42" fillId="23" borderId="98" xfId="0" applyFont="1" applyFill="1" applyBorder="1" applyAlignment="1">
      <alignment vertical="center"/>
    </xf>
    <xf numFmtId="0" fontId="42" fillId="0" borderId="97" xfId="0" applyFont="1" applyFill="1" applyBorder="1" applyAlignment="1">
      <alignment horizontal="center"/>
    </xf>
    <xf numFmtId="0" fontId="29" fillId="23" borderId="120" xfId="0" applyFont="1" applyFill="1" applyBorder="1" applyAlignment="1">
      <alignment vertical="center"/>
    </xf>
    <xf numFmtId="0" fontId="42" fillId="0" borderId="84" xfId="0" applyFont="1" applyFill="1" applyBorder="1" applyAlignment="1">
      <alignment horizontal="center"/>
    </xf>
    <xf numFmtId="0" fontId="29" fillId="23" borderId="119" xfId="0" applyFont="1" applyFill="1" applyBorder="1" applyAlignment="1">
      <alignment vertical="center"/>
    </xf>
    <xf numFmtId="0" fontId="42" fillId="0" borderId="111" xfId="0" applyFont="1" applyFill="1" applyBorder="1" applyAlignment="1">
      <alignment horizontal="center"/>
    </xf>
    <xf numFmtId="0" fontId="42" fillId="23" borderId="117" xfId="0" applyFont="1" applyFill="1" applyBorder="1" applyAlignment="1">
      <alignment vertical="center" wrapText="1"/>
    </xf>
    <xf numFmtId="0" fontId="29" fillId="0" borderId="97" xfId="0" applyFont="1" applyFill="1" applyBorder="1" applyAlignment="1">
      <alignment horizontal="center"/>
    </xf>
    <xf numFmtId="0" fontId="42" fillId="23" borderId="119" xfId="0" applyFont="1" applyFill="1" applyBorder="1" applyAlignment="1">
      <alignment vertical="center" wrapText="1"/>
    </xf>
    <xf numFmtId="0" fontId="42" fillId="23" borderId="110" xfId="0" applyFont="1" applyFill="1" applyBorder="1" applyAlignment="1">
      <alignment vertical="center" wrapText="1"/>
    </xf>
    <xf numFmtId="0" fontId="29" fillId="0" borderId="111" xfId="0" applyFont="1" applyFill="1" applyBorder="1" applyAlignment="1">
      <alignment horizontal="center" vertical="center"/>
    </xf>
    <xf numFmtId="0" fontId="49" fillId="24" borderId="117" xfId="0" applyFont="1" applyFill="1" applyBorder="1" applyAlignment="1">
      <alignment vertical="center"/>
    </xf>
    <xf numFmtId="0" fontId="42" fillId="23" borderId="98" xfId="0" applyFont="1" applyFill="1" applyBorder="1" applyAlignment="1">
      <alignment vertical="center" wrapText="1"/>
    </xf>
    <xf numFmtId="0" fontId="49" fillId="24" borderId="120" xfId="0" applyFont="1" applyFill="1" applyBorder="1" applyAlignment="1">
      <alignment vertical="center"/>
    </xf>
    <xf numFmtId="0" fontId="49" fillId="24" borderId="121" xfId="0" applyFont="1" applyFill="1" applyBorder="1" applyAlignment="1">
      <alignment vertical="center"/>
    </xf>
    <xf numFmtId="0" fontId="42" fillId="23" borderId="96" xfId="0" applyFont="1" applyFill="1" applyBorder="1" applyAlignment="1">
      <alignment vertical="center" wrapText="1"/>
    </xf>
    <xf numFmtId="0" fontId="42" fillId="0" borderId="87" xfId="0" applyFont="1" applyFill="1" applyBorder="1" applyAlignment="1">
      <alignment horizontal="center"/>
    </xf>
    <xf numFmtId="0" fontId="42" fillId="23" borderId="123" xfId="0" applyFont="1" applyFill="1" applyBorder="1" applyAlignment="1">
      <alignment horizontal="left" vertical="center"/>
    </xf>
    <xf numFmtId="0" fontId="28" fillId="0" borderId="124" xfId="0" applyFont="1" applyFill="1" applyBorder="1" applyAlignment="1">
      <alignment horizontal="center" vertical="center"/>
    </xf>
    <xf numFmtId="0" fontId="49" fillId="23" borderId="117" xfId="0" applyFont="1" applyFill="1" applyBorder="1" applyAlignment="1">
      <alignment vertical="center"/>
    </xf>
    <xf numFmtId="0" fontId="49" fillId="23" borderId="98" xfId="0" applyFont="1" applyFill="1" applyBorder="1" applyAlignment="1">
      <alignment vertical="center"/>
    </xf>
    <xf numFmtId="0" fontId="49" fillId="23" borderId="120" xfId="0" applyFont="1" applyFill="1" applyBorder="1" applyAlignment="1">
      <alignment vertical="center"/>
    </xf>
    <xf numFmtId="0" fontId="49" fillId="23" borderId="119" xfId="0" applyFont="1" applyFill="1" applyBorder="1" applyAlignment="1">
      <alignment vertical="center"/>
    </xf>
    <xf numFmtId="0" fontId="49" fillId="23" borderId="110" xfId="0" applyFont="1" applyFill="1" applyBorder="1" applyAlignment="1">
      <alignment vertical="center"/>
    </xf>
    <xf numFmtId="0" fontId="49" fillId="23" borderId="125" xfId="0" applyFont="1" applyFill="1" applyBorder="1" applyAlignment="1">
      <alignment vertical="center"/>
    </xf>
    <xf numFmtId="0" fontId="49" fillId="23" borderId="123" xfId="0" applyFont="1" applyFill="1" applyBorder="1" applyAlignment="1">
      <alignment vertical="center"/>
    </xf>
    <xf numFmtId="0" fontId="42" fillId="0" borderId="124" xfId="0" applyFont="1" applyFill="1" applyBorder="1" applyAlignment="1">
      <alignment horizontal="center"/>
    </xf>
    <xf numFmtId="0" fontId="49" fillId="26" borderId="117" xfId="0" applyFont="1" applyFill="1" applyBorder="1" applyAlignment="1">
      <alignment vertical="center"/>
    </xf>
    <xf numFmtId="0" fontId="49" fillId="26" borderId="98" xfId="0" applyFont="1" applyFill="1" applyBorder="1" applyAlignment="1">
      <alignment vertical="center"/>
    </xf>
    <xf numFmtId="0" fontId="49" fillId="26" borderId="119" xfId="0" applyFont="1" applyFill="1" applyBorder="1" applyAlignment="1">
      <alignment vertical="center"/>
    </xf>
    <xf numFmtId="0" fontId="49" fillId="26" borderId="110" xfId="0" applyFont="1" applyFill="1" applyBorder="1" applyAlignment="1">
      <alignment vertical="center"/>
    </xf>
    <xf numFmtId="0" fontId="42" fillId="27" borderId="117" xfId="0" applyFont="1" applyFill="1" applyBorder="1" applyAlignment="1">
      <alignment wrapText="1"/>
    </xf>
    <xf numFmtId="0" fontId="42" fillId="27" borderId="98" xfId="0" applyFont="1" applyFill="1" applyBorder="1" applyAlignment="1">
      <alignment wrapText="1"/>
    </xf>
    <xf numFmtId="0" fontId="28" fillId="0" borderId="97" xfId="0" applyFont="1" applyFill="1" applyBorder="1" applyAlignment="1">
      <alignment horizontal="center"/>
    </xf>
    <xf numFmtId="0" fontId="42" fillId="27" borderId="120" xfId="0" applyFont="1" applyFill="1" applyBorder="1" applyAlignment="1">
      <alignment wrapText="1"/>
    </xf>
    <xf numFmtId="0" fontId="42" fillId="27" borderId="119" xfId="0" applyFont="1" applyFill="1" applyBorder="1" applyAlignment="1">
      <alignment wrapText="1"/>
    </xf>
    <xf numFmtId="0" fontId="42" fillId="27" borderId="110" xfId="0" applyFont="1" applyFill="1" applyBorder="1" applyAlignment="1">
      <alignment wrapText="1"/>
    </xf>
    <xf numFmtId="0" fontId="28" fillId="0" borderId="111" xfId="0" applyFont="1" applyFill="1" applyBorder="1" applyAlignment="1">
      <alignment horizontal="center" vertical="center"/>
    </xf>
    <xf numFmtId="0" fontId="49" fillId="28" borderId="117" xfId="0" applyFont="1" applyFill="1" applyBorder="1" applyAlignment="1">
      <alignment vertical="center"/>
    </xf>
    <xf numFmtId="0" fontId="49" fillId="28" borderId="98" xfId="0" applyFont="1" applyFill="1" applyBorder="1" applyAlignment="1">
      <alignment vertical="center"/>
    </xf>
    <xf numFmtId="0" fontId="49" fillId="28" borderId="126" xfId="0" applyFont="1" applyFill="1" applyBorder="1" applyAlignment="1">
      <alignment vertical="center"/>
    </xf>
    <xf numFmtId="0" fontId="49" fillId="28" borderId="121" xfId="0" applyFont="1" applyFill="1" applyBorder="1" applyAlignment="1">
      <alignment vertical="center" wrapText="1"/>
    </xf>
    <xf numFmtId="0" fontId="49" fillId="28" borderId="96" xfId="0" applyFont="1" applyFill="1" applyBorder="1" applyAlignment="1">
      <alignment vertical="center"/>
    </xf>
    <xf numFmtId="0" fontId="42" fillId="28" borderId="123" xfId="0" applyFont="1" applyFill="1" applyBorder="1" applyAlignment="1">
      <alignment vertical="center" wrapText="1"/>
    </xf>
    <xf numFmtId="0" fontId="29" fillId="0" borderId="124" xfId="0" applyFont="1" applyFill="1" applyBorder="1" applyAlignment="1">
      <alignment horizontal="center" vertical="center"/>
    </xf>
    <xf numFmtId="0" fontId="42" fillId="28" borderId="117" xfId="0" applyFont="1" applyFill="1" applyBorder="1" applyAlignment="1">
      <alignment horizontal="left" vertical="center"/>
    </xf>
    <xf numFmtId="0" fontId="42" fillId="28" borderId="98" xfId="0" applyFont="1" applyFill="1" applyBorder="1" applyAlignment="1">
      <alignment horizontal="left" vertical="center"/>
    </xf>
    <xf numFmtId="0" fontId="29" fillId="0" borderId="97" xfId="0" applyFont="1" applyFill="1" applyBorder="1" applyAlignment="1">
      <alignment horizontal="center" vertical="center"/>
    </xf>
    <xf numFmtId="0" fontId="42" fillId="28" borderId="120" xfId="0" applyFont="1" applyFill="1" applyBorder="1" applyAlignment="1">
      <alignment horizontal="left" vertical="center"/>
    </xf>
    <xf numFmtId="0" fontId="42" fillId="28" borderId="119" xfId="0" applyFont="1" applyFill="1" applyBorder="1" applyAlignment="1">
      <alignment horizontal="left" vertical="center"/>
    </xf>
    <xf numFmtId="0" fontId="42" fillId="28" borderId="110" xfId="0" applyFont="1" applyFill="1" applyBorder="1" applyAlignment="1">
      <alignment horizontal="left" vertical="center"/>
    </xf>
    <xf numFmtId="0" fontId="31" fillId="0" borderId="111" xfId="0" applyFont="1" applyFill="1" applyBorder="1" applyAlignment="1">
      <alignment horizontal="center" vertical="center"/>
    </xf>
    <xf numFmtId="0" fontId="49" fillId="28" borderId="119" xfId="0" applyFont="1" applyFill="1" applyBorder="1" applyAlignment="1">
      <alignment vertical="center" wrapText="1"/>
    </xf>
    <xf numFmtId="0" fontId="49" fillId="28" borderId="110" xfId="0" applyFont="1" applyFill="1" applyBorder="1" applyAlignment="1">
      <alignment vertical="center"/>
    </xf>
    <xf numFmtId="0" fontId="42" fillId="0" borderId="111" xfId="0" applyFont="1" applyFill="1" applyBorder="1" applyAlignment="1">
      <alignment horizontal="center" vertical="center"/>
    </xf>
    <xf numFmtId="0" fontId="42" fillId="28" borderId="117" xfId="0" applyFont="1" applyFill="1" applyBorder="1" applyAlignment="1">
      <alignment horizontal="left" vertical="center" wrapText="1"/>
    </xf>
    <xf numFmtId="0" fontId="42" fillId="28" borderId="98" xfId="0" applyFont="1" applyFill="1" applyBorder="1" applyAlignment="1">
      <alignment horizontal="left" vertical="center" wrapText="1"/>
    </xf>
    <xf numFmtId="0" fontId="42" fillId="28" borderId="120" xfId="0" applyFont="1" applyFill="1" applyBorder="1" applyAlignment="1">
      <alignment horizontal="left" vertical="center" wrapText="1"/>
    </xf>
    <xf numFmtId="0" fontId="49" fillId="28" borderId="119" xfId="0" applyFont="1" applyFill="1" applyBorder="1" applyAlignment="1">
      <alignment vertical="center"/>
    </xf>
    <xf numFmtId="0" fontId="49" fillId="28" borderId="110" xfId="0" applyFont="1" applyFill="1" applyBorder="1"/>
    <xf numFmtId="0" fontId="49" fillId="28" borderId="125" xfId="0" applyFont="1" applyFill="1" applyBorder="1" applyAlignment="1">
      <alignment horizontal="left" vertical="center" wrapText="1"/>
    </xf>
    <xf numFmtId="0" fontId="49" fillId="28" borderId="123" xfId="0" applyFont="1" applyFill="1" applyBorder="1" applyAlignment="1">
      <alignment horizontal="left" vertical="center" wrapText="1"/>
    </xf>
    <xf numFmtId="0" fontId="42" fillId="0" borderId="124" xfId="0" applyFont="1" applyFill="1" applyBorder="1" applyAlignment="1">
      <alignment horizontal="center" vertical="center"/>
    </xf>
    <xf numFmtId="0" fontId="42" fillId="0" borderId="84" xfId="0" applyFont="1" applyBorder="1" applyAlignment="1">
      <alignment horizontal="center" vertical="center"/>
    </xf>
    <xf numFmtId="0" fontId="42" fillId="0" borderId="84" xfId="0" applyFont="1" applyBorder="1" applyAlignment="1">
      <alignment horizontal="center"/>
    </xf>
    <xf numFmtId="0" fontId="42" fillId="30" borderId="84" xfId="0" applyFont="1" applyFill="1" applyBorder="1" applyAlignment="1">
      <alignment horizontal="center" vertical="center"/>
    </xf>
    <xf numFmtId="0" fontId="42" fillId="0" borderId="87" xfId="0" applyFont="1" applyBorder="1"/>
    <xf numFmtId="0" fontId="0" fillId="0" borderId="41" xfId="0" applyBorder="1"/>
    <xf numFmtId="0" fontId="42" fillId="30" borderId="79" xfId="0" applyFont="1" applyFill="1" applyBorder="1" applyAlignment="1">
      <alignment horizontal="center" vertical="center"/>
    </xf>
    <xf numFmtId="0" fontId="27" fillId="0" borderId="65" xfId="0" applyFont="1" applyBorder="1" applyAlignment="1">
      <alignment horizontal="left" vertical="center"/>
    </xf>
    <xf numFmtId="0" fontId="42" fillId="0" borderId="78" xfId="0" applyFont="1" applyBorder="1" applyAlignment="1">
      <alignment horizontal="center" vertical="center"/>
    </xf>
    <xf numFmtId="0" fontId="42" fillId="0" borderId="79" xfId="0" applyFont="1" applyBorder="1" applyAlignment="1">
      <alignment horizontal="center" vertical="center"/>
    </xf>
    <xf numFmtId="0" fontId="42" fillId="0" borderId="82" xfId="0" applyFont="1" applyBorder="1" applyAlignment="1">
      <alignment horizontal="center" vertical="center"/>
    </xf>
    <xf numFmtId="0" fontId="29" fillId="0" borderId="65" xfId="0" applyFont="1" applyBorder="1" applyAlignment="1">
      <alignment vertical="top"/>
    </xf>
    <xf numFmtId="0" fontId="42" fillId="0" borderId="79" xfId="0" applyFont="1" applyBorder="1" applyAlignment="1">
      <alignment horizontal="center"/>
    </xf>
    <xf numFmtId="0" fontId="28" fillId="19" borderId="84" xfId="0" applyFont="1" applyFill="1" applyBorder="1" applyAlignment="1">
      <alignment horizontal="center"/>
    </xf>
    <xf numFmtId="0" fontId="42" fillId="0" borderId="82" xfId="0" applyFont="1" applyBorder="1" applyAlignment="1">
      <alignment horizontal="center"/>
    </xf>
    <xf numFmtId="0" fontId="33" fillId="0" borderId="0" xfId="0" applyFont="1" applyAlignment="1">
      <alignment horizontal="left" vertical="center" wrapText="1"/>
    </xf>
    <xf numFmtId="0" fontId="34" fillId="0" borderId="78" xfId="0" applyFont="1" applyBorder="1" applyAlignment="1">
      <alignment horizontal="left" vertical="center"/>
    </xf>
    <xf numFmtId="0" fontId="34" fillId="0" borderId="79" xfId="0" applyFont="1" applyBorder="1"/>
    <xf numFmtId="0" fontId="34" fillId="0" borderId="84" xfId="0" applyFont="1" applyBorder="1"/>
    <xf numFmtId="0" fontId="38" fillId="0" borderId="70" xfId="0" applyFont="1" applyBorder="1"/>
    <xf numFmtId="0" fontId="38" fillId="0" borderId="85" xfId="0" applyFont="1" applyBorder="1"/>
    <xf numFmtId="0" fontId="34" fillId="0" borderId="82" xfId="0" applyFont="1" applyBorder="1"/>
    <xf numFmtId="0" fontId="56" fillId="0" borderId="65" xfId="0" applyFont="1" applyBorder="1" applyAlignment="1">
      <alignment horizontal="left" vertical="center"/>
    </xf>
    <xf numFmtId="0" fontId="29" fillId="0" borderId="0" xfId="0" applyFont="1" applyAlignment="1">
      <alignment vertical="center"/>
    </xf>
    <xf numFmtId="0" fontId="7" fillId="0" borderId="0" xfId="0" applyFont="1" applyAlignment="1">
      <alignment vertical="center"/>
    </xf>
    <xf numFmtId="0" fontId="29" fillId="0" borderId="0" xfId="0" applyFont="1" applyAlignment="1">
      <alignment vertical="center" wrapText="1"/>
    </xf>
    <xf numFmtId="0" fontId="29" fillId="0" borderId="0" xfId="0" applyFont="1" applyBorder="1" applyAlignment="1">
      <alignment vertical="center"/>
    </xf>
    <xf numFmtId="0" fontId="57" fillId="0" borderId="0" xfId="0" applyFont="1" applyAlignment="1">
      <alignment horizontal="justify" vertical="center"/>
    </xf>
    <xf numFmtId="0" fontId="28" fillId="0" borderId="137" xfId="0" applyFont="1" applyBorder="1"/>
    <xf numFmtId="0" fontId="34" fillId="0" borderId="78" xfId="0" applyFont="1" applyBorder="1" applyAlignment="1">
      <alignment horizontal="center" vertical="center"/>
    </xf>
    <xf numFmtId="0" fontId="34" fillId="0" borderId="79" xfId="0" applyFont="1" applyBorder="1" applyAlignment="1">
      <alignment horizontal="center" vertical="center"/>
    </xf>
    <xf numFmtId="0" fontId="34" fillId="0" borderId="82" xfId="0" applyFont="1" applyBorder="1" applyAlignment="1">
      <alignment horizontal="center" vertical="center"/>
    </xf>
    <xf numFmtId="0" fontId="29" fillId="0" borderId="0" xfId="0" applyFont="1" applyAlignment="1">
      <alignment horizontal="left" vertical="center"/>
    </xf>
    <xf numFmtId="0" fontId="51" fillId="0" borderId="86" xfId="0" applyFont="1" applyBorder="1" applyAlignment="1">
      <alignment vertical="center" wrapText="1"/>
    </xf>
    <xf numFmtId="0" fontId="51" fillId="0" borderId="0" xfId="0" applyFont="1" applyAlignment="1">
      <alignment vertical="center" wrapText="1"/>
    </xf>
    <xf numFmtId="0" fontId="48" fillId="0" borderId="0" xfId="0" applyFont="1" applyAlignment="1">
      <alignment horizontal="left" vertical="center" wrapText="1"/>
    </xf>
    <xf numFmtId="0" fontId="42" fillId="0" borderId="0" xfId="0" applyFont="1"/>
    <xf numFmtId="0" fontId="41" fillId="21" borderId="71" xfId="0" applyFont="1" applyFill="1" applyBorder="1" applyAlignment="1">
      <alignment horizontal="center" vertical="center"/>
    </xf>
    <xf numFmtId="0" fontId="42" fillId="0" borderId="61" xfId="0" applyFont="1" applyBorder="1" applyAlignment="1">
      <alignment horizontal="center" vertical="center"/>
    </xf>
    <xf numFmtId="0" fontId="42" fillId="0" borderId="80" xfId="0" applyFont="1" applyBorder="1" applyAlignment="1">
      <alignment horizontal="center" vertical="center"/>
    </xf>
    <xf numFmtId="0" fontId="42" fillId="23" borderId="87" xfId="0" applyFont="1" applyFill="1" applyBorder="1" applyAlignment="1">
      <alignment vertical="center"/>
    </xf>
    <xf numFmtId="0" fontId="42" fillId="23" borderId="96" xfId="0" applyFont="1" applyFill="1" applyBorder="1" applyAlignment="1">
      <alignment vertical="center"/>
    </xf>
    <xf numFmtId="0" fontId="42" fillId="0" borderId="96" xfId="0" applyFont="1" applyBorder="1" applyAlignment="1">
      <alignment horizontal="center" vertical="center"/>
    </xf>
    <xf numFmtId="0" fontId="42" fillId="0" borderId="97" xfId="0" applyFont="1" applyBorder="1" applyAlignment="1">
      <alignment horizontal="center" vertical="center"/>
    </xf>
    <xf numFmtId="0" fontId="42" fillId="23" borderId="120" xfId="0" applyFont="1" applyFill="1" applyBorder="1" applyAlignment="1">
      <alignment vertical="center"/>
    </xf>
    <xf numFmtId="0" fontId="28" fillId="0" borderId="111" xfId="0" applyFont="1" applyBorder="1" applyAlignment="1">
      <alignment horizontal="center" vertical="center"/>
    </xf>
    <xf numFmtId="0" fontId="49" fillId="24" borderId="79" xfId="0" applyFont="1" applyFill="1" applyBorder="1" applyAlignment="1">
      <alignment vertical="center"/>
    </xf>
    <xf numFmtId="0" fontId="42" fillId="23" borderId="80" xfId="0" applyFont="1" applyFill="1" applyBorder="1" applyAlignment="1">
      <alignment vertical="center" wrapText="1"/>
    </xf>
    <xf numFmtId="0" fontId="42" fillId="0" borderId="87" xfId="0" applyFont="1" applyBorder="1" applyAlignment="1">
      <alignment horizontal="center" vertical="center"/>
    </xf>
    <xf numFmtId="0" fontId="42" fillId="28" borderId="80" xfId="0" applyFont="1" applyFill="1" applyBorder="1" applyAlignment="1">
      <alignment vertical="center" wrapText="1"/>
    </xf>
    <xf numFmtId="0" fontId="42" fillId="0" borderId="1" xfId="0" applyFont="1" applyBorder="1" applyAlignment="1">
      <alignment horizontal="left" vertical="center"/>
    </xf>
    <xf numFmtId="0" fontId="42" fillId="0" borderId="78" xfId="0" applyFont="1" applyFill="1" applyBorder="1" applyAlignment="1">
      <alignment horizontal="center" vertical="center"/>
    </xf>
    <xf numFmtId="0" fontId="42" fillId="0" borderId="79" xfId="0" applyFont="1" applyFill="1" applyBorder="1" applyAlignment="1">
      <alignment horizontal="center"/>
    </xf>
    <xf numFmtId="0" fontId="42" fillId="0" borderId="82" xfId="0" applyFont="1" applyFill="1" applyBorder="1" applyAlignment="1">
      <alignment horizontal="center"/>
    </xf>
    <xf numFmtId="0" fontId="28" fillId="0" borderId="78" xfId="0" applyFont="1" applyBorder="1" applyAlignment="1">
      <alignment horizontal="center" vertical="center"/>
    </xf>
    <xf numFmtId="0" fontId="28" fillId="0" borderId="79" xfId="0" applyFont="1" applyBorder="1" applyAlignment="1">
      <alignment horizontal="center"/>
    </xf>
    <xf numFmtId="0" fontId="29" fillId="23" borderId="78" xfId="0" applyFont="1" applyFill="1" applyBorder="1" applyAlignment="1">
      <alignment vertical="center"/>
    </xf>
    <xf numFmtId="0" fontId="29" fillId="23" borderId="84" xfId="0" applyFont="1" applyFill="1" applyBorder="1" applyAlignment="1">
      <alignment vertical="center"/>
    </xf>
    <xf numFmtId="0" fontId="29" fillId="23" borderId="82" xfId="0" applyFont="1" applyFill="1" applyBorder="1" applyAlignment="1">
      <alignment vertical="center"/>
    </xf>
    <xf numFmtId="0" fontId="29" fillId="0" borderId="84" xfId="0" applyFont="1" applyBorder="1" applyAlignment="1">
      <alignment horizontal="center"/>
    </xf>
    <xf numFmtId="0" fontId="29" fillId="0" borderId="84" xfId="0" applyFont="1" applyBorder="1" applyAlignment="1">
      <alignment horizontal="center" vertical="center"/>
    </xf>
    <xf numFmtId="0" fontId="31" fillId="0" borderId="84" xfId="0" applyFont="1" applyBorder="1" applyAlignment="1">
      <alignment horizontal="center" vertical="center"/>
    </xf>
    <xf numFmtId="0" fontId="28" fillId="0" borderId="0" xfId="0" applyFont="1" applyAlignment="1">
      <alignment horizontal="center" vertical="center"/>
    </xf>
    <xf numFmtId="0" fontId="28" fillId="0" borderId="0" xfId="0" applyFont="1" applyAlignment="1">
      <alignment horizontal="center" vertical="center" wrapText="1"/>
    </xf>
    <xf numFmtId="0" fontId="8" fillId="0" borderId="69" xfId="1" applyBorder="1" applyAlignment="1">
      <alignment horizontal="left" vertical="center"/>
    </xf>
    <xf numFmtId="0" fontId="27" fillId="21" borderId="71" xfId="0" applyFont="1" applyFill="1" applyBorder="1" applyAlignment="1">
      <alignment horizontal="center" vertical="center"/>
    </xf>
    <xf numFmtId="0" fontId="28" fillId="0" borderId="79" xfId="0" applyFont="1" applyBorder="1" applyAlignment="1">
      <alignment horizontal="center" vertical="center"/>
    </xf>
    <xf numFmtId="0" fontId="35" fillId="28" borderId="139" xfId="0" applyFont="1" applyFill="1" applyBorder="1" applyAlignment="1">
      <alignment vertical="center" wrapText="1"/>
    </xf>
    <xf numFmtId="0" fontId="28" fillId="23" borderId="87" xfId="0" applyFont="1" applyFill="1" applyBorder="1" applyAlignment="1">
      <alignment vertical="center"/>
    </xf>
    <xf numFmtId="0" fontId="28" fillId="23" borderId="140" xfId="0" applyFont="1" applyFill="1" applyBorder="1" applyAlignment="1">
      <alignment vertical="center"/>
    </xf>
    <xf numFmtId="0" fontId="28" fillId="23" borderId="77" xfId="0" applyFont="1" applyFill="1" applyBorder="1" applyAlignment="1">
      <alignment vertical="center"/>
    </xf>
    <xf numFmtId="0" fontId="35" fillId="23" borderId="142" xfId="0" applyFont="1" applyFill="1" applyBorder="1" applyAlignment="1">
      <alignment vertical="center"/>
    </xf>
    <xf numFmtId="0" fontId="35" fillId="23" borderId="44" xfId="0" applyFont="1" applyFill="1" applyBorder="1" applyAlignment="1">
      <alignment vertical="center"/>
    </xf>
    <xf numFmtId="0" fontId="28" fillId="28" borderId="80" xfId="0" applyFont="1" applyFill="1" applyBorder="1" applyAlignment="1">
      <alignment vertical="center" wrapText="1"/>
    </xf>
    <xf numFmtId="0" fontId="0" fillId="0" borderId="0" xfId="0" applyFont="1" applyAlignment="1">
      <alignment horizontal="center"/>
    </xf>
    <xf numFmtId="0" fontId="7" fillId="0" borderId="0" xfId="0" applyFont="1" applyAlignment="1"/>
    <xf numFmtId="0" fontId="28" fillId="0" borderId="65" xfId="0" applyFont="1" applyBorder="1" applyAlignment="1">
      <alignment horizontal="left" vertical="center"/>
    </xf>
    <xf numFmtId="0" fontId="28" fillId="0" borderId="82" xfId="0" applyFont="1" applyBorder="1" applyAlignment="1">
      <alignment horizontal="center"/>
    </xf>
    <xf numFmtId="0" fontId="0" fillId="0" borderId="0" xfId="0"/>
    <xf numFmtId="0" fontId="0" fillId="0" borderId="1" xfId="0" applyBorder="1"/>
    <xf numFmtId="0" fontId="29" fillId="0" borderId="0" xfId="0" applyFont="1" applyBorder="1"/>
    <xf numFmtId="0" fontId="29" fillId="0" borderId="75" xfId="0" applyFont="1" applyBorder="1" applyAlignment="1"/>
    <xf numFmtId="0" fontId="29" fillId="0" borderId="76" xfId="0" applyFont="1" applyBorder="1" applyAlignment="1"/>
    <xf numFmtId="0" fontId="58" fillId="0" borderId="149" xfId="0" applyFont="1" applyBorder="1" applyAlignment="1">
      <alignment horizontal="center" vertical="center" readingOrder="1"/>
    </xf>
    <xf numFmtId="0" fontId="58" fillId="0" borderId="150" xfId="0" applyFont="1" applyBorder="1" applyAlignment="1">
      <alignment horizontal="center" vertical="center" readingOrder="1"/>
    </xf>
    <xf numFmtId="0" fontId="58" fillId="0" borderId="151" xfId="0" applyFont="1" applyBorder="1" applyAlignment="1">
      <alignment horizontal="center" vertical="center" readingOrder="1"/>
    </xf>
    <xf numFmtId="0" fontId="7" fillId="0" borderId="0" xfId="0" applyFont="1" applyFill="1" applyBorder="1" applyAlignment="1">
      <alignment horizontal="left" vertical="center" wrapText="1"/>
    </xf>
    <xf numFmtId="0" fontId="7" fillId="10" borderId="55" xfId="1" applyFont="1" applyFill="1" applyBorder="1" applyAlignment="1">
      <alignment vertical="center" wrapText="1"/>
    </xf>
    <xf numFmtId="0" fontId="0" fillId="8" borderId="0" xfId="0" applyFill="1" applyBorder="1" applyAlignment="1">
      <alignment vertical="center"/>
    </xf>
    <xf numFmtId="0" fontId="7" fillId="6" borderId="0" xfId="1" applyFont="1" applyFill="1" applyBorder="1" applyAlignment="1">
      <alignment vertical="center" wrapText="1"/>
    </xf>
    <xf numFmtId="0" fontId="0" fillId="31" borderId="0" xfId="0" applyFill="1" applyBorder="1" applyAlignment="1">
      <alignment horizontal="center"/>
    </xf>
    <xf numFmtId="0" fontId="29" fillId="0" borderId="69" xfId="0" applyFont="1" applyFill="1" applyBorder="1" applyAlignment="1">
      <alignment vertical="center"/>
    </xf>
    <xf numFmtId="0" fontId="27" fillId="21" borderId="93" xfId="0" applyFont="1" applyFill="1" applyBorder="1" applyAlignment="1">
      <alignment vertical="center" wrapText="1"/>
    </xf>
    <xf numFmtId="0" fontId="27" fillId="21" borderId="88" xfId="0" applyFont="1" applyFill="1" applyBorder="1" applyAlignment="1">
      <alignment vertical="center" wrapText="1"/>
    </xf>
    <xf numFmtId="0" fontId="29" fillId="0" borderId="155" xfId="0" applyFont="1" applyBorder="1" applyAlignment="1">
      <alignment vertical="center"/>
    </xf>
    <xf numFmtId="0" fontId="27" fillId="0" borderId="0" xfId="0" applyFont="1" applyFill="1" applyBorder="1" applyAlignment="1">
      <alignment vertical="center" wrapText="1"/>
    </xf>
    <xf numFmtId="0" fontId="29" fillId="0" borderId="0" xfId="0" applyFont="1" applyFill="1" applyBorder="1" applyAlignment="1">
      <alignment vertical="center"/>
    </xf>
    <xf numFmtId="0" fontId="27" fillId="21" borderId="68"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0" fillId="0" borderId="157" xfId="0" applyFont="1" applyFill="1" applyBorder="1" applyAlignment="1">
      <alignment vertical="center" wrapText="1"/>
    </xf>
    <xf numFmtId="0" fontId="59" fillId="10" borderId="1" xfId="1" applyFont="1" applyFill="1" applyBorder="1" applyAlignment="1">
      <alignment horizontal="center" vertical="center"/>
    </xf>
    <xf numFmtId="0" fontId="59" fillId="11" borderId="1" xfId="1" applyFont="1" applyFill="1" applyBorder="1" applyAlignment="1">
      <alignment horizontal="center" vertical="center" wrapText="1"/>
    </xf>
    <xf numFmtId="0" fontId="59" fillId="12" borderId="1" xfId="1" applyFont="1" applyFill="1" applyBorder="1" applyAlignment="1">
      <alignment horizontal="center" vertical="center"/>
    </xf>
    <xf numFmtId="0" fontId="59" fillId="11" borderId="1" xfId="1" applyFont="1" applyFill="1" applyBorder="1" applyAlignment="1">
      <alignment horizontal="center" vertical="center"/>
    </xf>
    <xf numFmtId="0" fontId="59" fillId="32" borderId="1" xfId="1" applyFont="1" applyFill="1" applyBorder="1" applyAlignment="1">
      <alignment horizontal="center" vertical="center"/>
    </xf>
    <xf numFmtId="0" fontId="59" fillId="32" borderId="1" xfId="1" applyFont="1" applyFill="1" applyBorder="1" applyAlignment="1">
      <alignment horizontal="center" vertical="center" wrapText="1"/>
    </xf>
    <xf numFmtId="0" fontId="7" fillId="32" borderId="1" xfId="1" applyFont="1" applyFill="1" applyBorder="1" applyAlignment="1">
      <alignment horizontal="center" vertical="center" wrapText="1"/>
    </xf>
    <xf numFmtId="0" fontId="59" fillId="31" borderId="1" xfId="1" applyFont="1" applyFill="1" applyBorder="1" applyAlignment="1">
      <alignment horizontal="center" vertical="center" wrapText="1"/>
    </xf>
    <xf numFmtId="0" fontId="59" fillId="17" borderId="1" xfId="1" applyFont="1" applyFill="1" applyBorder="1" applyAlignment="1">
      <alignment horizontal="center" vertical="center"/>
    </xf>
    <xf numFmtId="0" fontId="59" fillId="17" borderId="1" xfId="1" applyFont="1" applyFill="1" applyBorder="1" applyAlignment="1">
      <alignment horizontal="center" vertical="center" wrapText="1"/>
    </xf>
    <xf numFmtId="0" fontId="7" fillId="32" borderId="1" xfId="1" applyFont="1" applyFill="1" applyBorder="1" applyAlignment="1">
      <alignment horizontal="center" vertical="center"/>
    </xf>
    <xf numFmtId="0" fontId="7" fillId="32" borderId="0" xfId="1" applyFont="1" applyFill="1" applyBorder="1" applyAlignment="1">
      <alignment horizontal="center" vertical="center"/>
    </xf>
    <xf numFmtId="0" fontId="0" fillId="10" borderId="0" xfId="0" applyFill="1" applyBorder="1" applyAlignment="1">
      <alignment horizontal="center"/>
    </xf>
    <xf numFmtId="0" fontId="7" fillId="17" borderId="0" xfId="0" applyFont="1" applyFill="1" applyAlignment="1">
      <alignment horizontal="center"/>
    </xf>
    <xf numFmtId="0" fontId="0" fillId="11" borderId="0" xfId="0" applyFill="1" applyAlignment="1">
      <alignment horizontal="center"/>
    </xf>
    <xf numFmtId="0" fontId="0" fillId="0" borderId="0" xfId="0" applyFont="1" applyFill="1" applyBorder="1" applyAlignment="1">
      <alignment vertical="center" wrapText="1"/>
    </xf>
    <xf numFmtId="0" fontId="0" fillId="0" borderId="0" xfId="0" applyAlignment="1">
      <alignment horizontal="center"/>
    </xf>
    <xf numFmtId="0" fontId="0" fillId="0" borderId="0" xfId="0" applyFont="1" applyAlignment="1"/>
    <xf numFmtId="0" fontId="0" fillId="0" borderId="0" xfId="0"/>
    <xf numFmtId="0" fontId="0" fillId="0" borderId="0" xfId="0" applyAlignment="1">
      <alignment horizontal="left"/>
    </xf>
    <xf numFmtId="0" fontId="0" fillId="0" borderId="1" xfId="0" applyBorder="1"/>
    <xf numFmtId="0" fontId="23" fillId="0" borderId="0" xfId="0" applyFont="1" applyAlignment="1"/>
    <xf numFmtId="0" fontId="0" fillId="0" borderId="1" xfId="0" applyBorder="1" applyAlignment="1">
      <alignment vertical="center" wrapText="1"/>
    </xf>
    <xf numFmtId="0" fontId="27" fillId="21" borderId="86" xfId="0" applyFont="1" applyFill="1" applyBorder="1" applyAlignment="1">
      <alignment horizontal="center" vertical="center"/>
    </xf>
    <xf numFmtId="0" fontId="27" fillId="21" borderId="86" xfId="0" applyFont="1" applyFill="1" applyBorder="1" applyAlignment="1">
      <alignment horizontal="center" vertical="center" wrapText="1"/>
    </xf>
    <xf numFmtId="0" fontId="61" fillId="21" borderId="86" xfId="0" applyFont="1" applyFill="1" applyBorder="1" applyAlignment="1">
      <alignment horizontal="center" vertical="center" wrapText="1"/>
    </xf>
    <xf numFmtId="0" fontId="27" fillId="21" borderId="160" xfId="0" applyFont="1" applyFill="1" applyBorder="1" applyAlignment="1">
      <alignment horizontal="center" vertical="center" wrapText="1"/>
    </xf>
    <xf numFmtId="0" fontId="28" fillId="0" borderId="61" xfId="0" applyFont="1" applyBorder="1" applyAlignment="1">
      <alignment horizontal="left" vertical="center"/>
    </xf>
    <xf numFmtId="0" fontId="28" fillId="0" borderId="161" xfId="0" applyFont="1" applyBorder="1" applyAlignment="1">
      <alignment horizontal="left" vertical="center"/>
    </xf>
    <xf numFmtId="0" fontId="28" fillId="0" borderId="161" xfId="0" applyFont="1" applyBorder="1"/>
    <xf numFmtId="0" fontId="28" fillId="0" borderId="162" xfId="0" applyFont="1" applyBorder="1"/>
    <xf numFmtId="0" fontId="28" fillId="0" borderId="80" xfId="0" applyFont="1" applyBorder="1"/>
    <xf numFmtId="0" fontId="28" fillId="0" borderId="65" xfId="0" applyFont="1" applyBorder="1"/>
    <xf numFmtId="0" fontId="28" fillId="0" borderId="163" xfId="0" applyFont="1" applyBorder="1"/>
    <xf numFmtId="0" fontId="28" fillId="0" borderId="67" xfId="0" applyFont="1" applyBorder="1"/>
    <xf numFmtId="0" fontId="28" fillId="0" borderId="164" xfId="0" applyFont="1" applyBorder="1"/>
    <xf numFmtId="0" fontId="28" fillId="0" borderId="165" xfId="0" applyFont="1" applyBorder="1"/>
    <xf numFmtId="0" fontId="60" fillId="25" borderId="74" xfId="0" applyFont="1" applyFill="1" applyBorder="1" applyAlignment="1">
      <alignment horizontal="center" vertical="center" wrapText="1"/>
    </xf>
    <xf numFmtId="0" fontId="34" fillId="33" borderId="65" xfId="0" applyFont="1" applyFill="1" applyBorder="1" applyAlignment="1">
      <alignment horizontal="center" vertical="center" wrapText="1"/>
    </xf>
    <xf numFmtId="0" fontId="42" fillId="23" borderId="65" xfId="0" applyFont="1" applyFill="1" applyBorder="1"/>
    <xf numFmtId="0" fontId="42" fillId="0" borderId="65" xfId="0" applyFont="1" applyBorder="1"/>
    <xf numFmtId="0" fontId="37" fillId="0" borderId="65" xfId="0" applyFont="1" applyBorder="1"/>
    <xf numFmtId="0" fontId="28" fillId="23" borderId="65" xfId="0" applyFont="1" applyFill="1" applyBorder="1"/>
    <xf numFmtId="0" fontId="7" fillId="0" borderId="65" xfId="0" applyFont="1" applyBorder="1"/>
    <xf numFmtId="0" fontId="34" fillId="33" borderId="160" xfId="0" applyFont="1" applyFill="1" applyBorder="1" applyAlignment="1">
      <alignment horizontal="center" vertical="center" wrapText="1"/>
    </xf>
    <xf numFmtId="0" fontId="28" fillId="0" borderId="65" xfId="0" applyFont="1" applyBorder="1" applyAlignment="1">
      <alignment horizontal="right"/>
    </xf>
    <xf numFmtId="0" fontId="7" fillId="0" borderId="74" xfId="0" applyFont="1" applyBorder="1"/>
    <xf numFmtId="0" fontId="7" fillId="0" borderId="1" xfId="0" applyFont="1" applyBorder="1" applyAlignment="1">
      <alignment wrapText="1"/>
    </xf>
    <xf numFmtId="164" fontId="28" fillId="0" borderId="65" xfId="4" applyNumberFormat="1" applyFont="1" applyBorder="1"/>
    <xf numFmtId="164" fontId="28" fillId="0" borderId="164" xfId="4" applyNumberFormat="1" applyFont="1" applyBorder="1"/>
    <xf numFmtId="0" fontId="28" fillId="23" borderId="65" xfId="0" applyFont="1" applyFill="1" applyBorder="1" applyAlignment="1">
      <alignment wrapText="1"/>
    </xf>
    <xf numFmtId="0" fontId="41" fillId="21" borderId="86" xfId="0" applyFont="1" applyFill="1" applyBorder="1" applyAlignment="1">
      <alignment horizontal="center" vertical="center"/>
    </xf>
    <xf numFmtId="0" fontId="41" fillId="21" borderId="86" xfId="0" applyFont="1" applyFill="1" applyBorder="1" applyAlignment="1">
      <alignment horizontal="center" vertical="center" wrapText="1"/>
    </xf>
    <xf numFmtId="0" fontId="63" fillId="21" borderId="86" xfId="0" applyFont="1" applyFill="1" applyBorder="1" applyAlignment="1">
      <alignment horizontal="center" vertical="center" wrapText="1"/>
    </xf>
    <xf numFmtId="0" fontId="41" fillId="21" borderId="160" xfId="0" applyFont="1" applyFill="1" applyBorder="1" applyAlignment="1">
      <alignment horizontal="center" vertical="center" wrapText="1"/>
    </xf>
    <xf numFmtId="0" fontId="34" fillId="0" borderId="61" xfId="0" applyFont="1" applyBorder="1" applyAlignment="1">
      <alignment horizontal="center" vertical="center"/>
    </xf>
    <xf numFmtId="0" fontId="42" fillId="0" borderId="161" xfId="0" applyFont="1" applyBorder="1" applyAlignment="1">
      <alignment horizontal="left" vertical="center"/>
    </xf>
    <xf numFmtId="0" fontId="42" fillId="0" borderId="161" xfId="0" applyFont="1" applyBorder="1"/>
    <xf numFmtId="0" fontId="42" fillId="0" borderId="61" xfId="0" applyFont="1" applyBorder="1" applyAlignment="1">
      <alignment horizontal="left" vertical="center"/>
    </xf>
    <xf numFmtId="0" fontId="42" fillId="0" borderId="162" xfId="0" applyFont="1" applyBorder="1"/>
    <xf numFmtId="0" fontId="34" fillId="0" borderId="80" xfId="0" applyFont="1" applyBorder="1" applyAlignment="1">
      <alignment horizontal="center"/>
    </xf>
    <xf numFmtId="0" fontId="42" fillId="0" borderId="80" xfId="0" applyFont="1" applyBorder="1"/>
    <xf numFmtId="0" fontId="42" fillId="0" borderId="163" xfId="0" applyFont="1" applyBorder="1"/>
    <xf numFmtId="0" fontId="34" fillId="0" borderId="83" xfId="0" applyFont="1" applyBorder="1" applyAlignment="1">
      <alignment horizontal="center"/>
    </xf>
    <xf numFmtId="0" fontId="42" fillId="0" borderId="83" xfId="0" applyFont="1" applyBorder="1"/>
    <xf numFmtId="0" fontId="34" fillId="0" borderId="67" xfId="0" applyFont="1" applyBorder="1" applyAlignment="1">
      <alignment horizontal="center"/>
    </xf>
    <xf numFmtId="0" fontId="42" fillId="0" borderId="164" xfId="0" applyFont="1" applyBorder="1"/>
    <xf numFmtId="0" fontId="42" fillId="0" borderId="67" xfId="0" applyFont="1" applyBorder="1"/>
    <xf numFmtId="0" fontId="42" fillId="0" borderId="165" xfId="0" applyFont="1" applyBorder="1"/>
    <xf numFmtId="0" fontId="47" fillId="33" borderId="65" xfId="0" applyFont="1" applyFill="1" applyBorder="1" applyAlignment="1">
      <alignment horizontal="center" vertical="center" wrapText="1"/>
    </xf>
    <xf numFmtId="17" fontId="37" fillId="0" borderId="65" xfId="0" applyNumberFormat="1" applyFont="1" applyBorder="1"/>
    <xf numFmtId="0" fontId="28" fillId="0" borderId="160" xfId="0" applyFont="1" applyFill="1" applyBorder="1"/>
    <xf numFmtId="0" fontId="27" fillId="21" borderId="86" xfId="2" applyFont="1" applyFill="1" applyBorder="1" applyAlignment="1">
      <alignment horizontal="center" vertical="center"/>
    </xf>
    <xf numFmtId="0" fontId="27" fillId="21" borderId="86" xfId="2" applyFont="1" applyFill="1" applyBorder="1" applyAlignment="1">
      <alignment horizontal="center" vertical="center" wrapText="1"/>
    </xf>
    <xf numFmtId="0" fontId="61" fillId="21" borderId="86" xfId="2" applyFont="1" applyFill="1" applyBorder="1" applyAlignment="1">
      <alignment horizontal="center" vertical="center" wrapText="1"/>
    </xf>
    <xf numFmtId="0" fontId="27" fillId="21" borderId="160" xfId="2" applyFont="1" applyFill="1" applyBorder="1" applyAlignment="1">
      <alignment horizontal="center" vertical="center" wrapText="1"/>
    </xf>
    <xf numFmtId="0" fontId="28" fillId="0" borderId="61" xfId="2" applyFont="1" applyBorder="1" applyAlignment="1">
      <alignment horizontal="left" vertical="center"/>
    </xf>
    <xf numFmtId="0" fontId="28" fillId="0" borderId="161" xfId="2" applyFont="1" applyBorder="1" applyAlignment="1">
      <alignment horizontal="left" vertical="center"/>
    </xf>
    <xf numFmtId="0" fontId="28" fillId="0" borderId="161" xfId="2" applyFont="1" applyBorder="1"/>
    <xf numFmtId="0" fontId="28" fillId="0" borderId="162" xfId="2" applyFont="1" applyBorder="1"/>
    <xf numFmtId="0" fontId="28" fillId="0" borderId="80" xfId="2" applyFont="1" applyBorder="1"/>
    <xf numFmtId="0" fontId="28" fillId="0" borderId="65" xfId="2" applyFont="1" applyBorder="1"/>
    <xf numFmtId="0" fontId="28" fillId="0" borderId="163" xfId="2" applyFont="1" applyBorder="1"/>
    <xf numFmtId="0" fontId="28" fillId="0" borderId="83" xfId="2" applyFont="1" applyBorder="1"/>
    <xf numFmtId="0" fontId="28" fillId="0" borderId="67" xfId="2" applyFont="1" applyBorder="1"/>
    <xf numFmtId="0" fontId="28" fillId="0" borderId="164" xfId="2" applyFont="1" applyBorder="1"/>
    <xf numFmtId="0" fontId="28" fillId="0" borderId="165" xfId="2" applyFont="1" applyBorder="1"/>
    <xf numFmtId="0" fontId="28" fillId="0" borderId="65" xfId="2" applyFont="1" applyBorder="1"/>
    <xf numFmtId="0" fontId="34" fillId="33" borderId="65" xfId="2" applyFont="1" applyFill="1" applyBorder="1" applyAlignment="1">
      <alignment horizontal="center" vertical="center" wrapText="1"/>
    </xf>
    <xf numFmtId="0" fontId="28" fillId="23" borderId="65" xfId="2" applyFont="1" applyFill="1" applyBorder="1"/>
    <xf numFmtId="0" fontId="7" fillId="0" borderId="65" xfId="2" applyFont="1" applyBorder="1"/>
    <xf numFmtId="0" fontId="34" fillId="23" borderId="65" xfId="2" applyFont="1" applyFill="1" applyBorder="1"/>
    <xf numFmtId="0" fontId="28" fillId="23" borderId="65" xfId="2" applyFont="1" applyFill="1" applyBorder="1" applyAlignment="1">
      <alignment wrapText="1"/>
    </xf>
    <xf numFmtId="0" fontId="28" fillId="0" borderId="65" xfId="2" applyFont="1" applyBorder="1" applyAlignment="1">
      <alignment wrapText="1"/>
    </xf>
    <xf numFmtId="0" fontId="34" fillId="23" borderId="65" xfId="0" applyFont="1" applyFill="1" applyBorder="1"/>
    <xf numFmtId="0" fontId="7" fillId="0" borderId="160" xfId="0" applyFont="1" applyBorder="1"/>
    <xf numFmtId="0" fontId="28" fillId="0" borderId="65" xfId="0" applyFont="1" applyBorder="1" applyAlignment="1">
      <alignment wrapText="1"/>
    </xf>
    <xf numFmtId="0" fontId="42" fillId="23" borderId="65" xfId="0" applyFont="1" applyFill="1" applyBorder="1" applyAlignment="1"/>
    <xf numFmtId="0" fontId="41" fillId="21" borderId="167" xfId="0" applyFont="1" applyFill="1" applyBorder="1" applyAlignment="1">
      <alignment horizontal="center" vertical="center"/>
    </xf>
    <xf numFmtId="0" fontId="41" fillId="21" borderId="167" xfId="0" applyFont="1" applyFill="1" applyBorder="1" applyAlignment="1">
      <alignment horizontal="center" vertical="center" wrapText="1"/>
    </xf>
    <xf numFmtId="0" fontId="63" fillId="21" borderId="167" xfId="0" applyFont="1" applyFill="1" applyBorder="1" applyAlignment="1">
      <alignment horizontal="center" vertical="center" wrapText="1"/>
    </xf>
    <xf numFmtId="0" fontId="41" fillId="21" borderId="168" xfId="0" applyFont="1" applyFill="1" applyBorder="1" applyAlignment="1">
      <alignment horizontal="center" vertical="center" wrapText="1"/>
    </xf>
    <xf numFmtId="0" fontId="41" fillId="21" borderId="169" xfId="0" applyFont="1" applyFill="1" applyBorder="1" applyAlignment="1">
      <alignment horizontal="center" vertical="center" wrapText="1"/>
    </xf>
    <xf numFmtId="0" fontId="28" fillId="0" borderId="65" xfId="0" applyFont="1" applyBorder="1" applyAlignment="1">
      <alignment horizontal="center"/>
    </xf>
    <xf numFmtId="0" fontId="42" fillId="0" borderId="80" xfId="0" applyFont="1" applyBorder="1" applyAlignment="1">
      <alignment horizontal="center"/>
    </xf>
    <xf numFmtId="0" fontId="42" fillId="0" borderId="83" xfId="0" applyFont="1" applyBorder="1" applyAlignment="1">
      <alignment horizontal="center"/>
    </xf>
    <xf numFmtId="0" fontId="42" fillId="0" borderId="65" xfId="0" applyFont="1" applyBorder="1" applyAlignment="1">
      <alignment horizontal="center"/>
    </xf>
    <xf numFmtId="0" fontId="42" fillId="0" borderId="65" xfId="0" applyFont="1" applyBorder="1" applyAlignment="1">
      <alignment horizontal="right"/>
    </xf>
    <xf numFmtId="0" fontId="42" fillId="0" borderId="67" xfId="0" applyFont="1" applyBorder="1" applyAlignment="1">
      <alignment horizontal="center"/>
    </xf>
    <xf numFmtId="0" fontId="42" fillId="0" borderId="164" xfId="0" applyFont="1" applyBorder="1" applyAlignment="1">
      <alignment horizontal="center"/>
    </xf>
    <xf numFmtId="0" fontId="28" fillId="0" borderId="65" xfId="0" applyFont="1" applyBorder="1" applyAlignment="1">
      <alignment vertical="center" wrapText="1"/>
    </xf>
    <xf numFmtId="0" fontId="42" fillId="0" borderId="74" xfId="0" applyFont="1" applyBorder="1"/>
    <xf numFmtId="0" fontId="28" fillId="0" borderId="83" xfId="0" applyFont="1" applyBorder="1" applyAlignment="1">
      <alignment horizontal="center"/>
    </xf>
    <xf numFmtId="0" fontId="42" fillId="0" borderId="174" xfId="0" applyFont="1" applyBorder="1" applyAlignment="1">
      <alignment horizontal="left" vertical="center"/>
    </xf>
    <xf numFmtId="0" fontId="42" fillId="0" borderId="175" xfId="0" applyFont="1" applyBorder="1"/>
    <xf numFmtId="0" fontId="42" fillId="0" borderId="176" xfId="0" applyFont="1" applyBorder="1"/>
    <xf numFmtId="0" fontId="42" fillId="0" borderId="161" xfId="0" applyFont="1" applyBorder="1" applyAlignment="1">
      <alignment horizontal="center" vertical="center"/>
    </xf>
    <xf numFmtId="0" fontId="28" fillId="0" borderId="80" xfId="0" applyFont="1" applyBorder="1" applyAlignment="1">
      <alignment horizontal="center" vertical="center"/>
    </xf>
    <xf numFmtId="0" fontId="42" fillId="0" borderId="65" xfId="0" applyFont="1" applyBorder="1" applyAlignment="1">
      <alignment horizontal="center" vertical="center"/>
    </xf>
    <xf numFmtId="0" fontId="28" fillId="0" borderId="83" xfId="0" applyFont="1" applyBorder="1" applyAlignment="1">
      <alignment horizontal="center" vertical="center"/>
    </xf>
    <xf numFmtId="0" fontId="42" fillId="0" borderId="83" xfId="0" applyFont="1" applyBorder="1" applyAlignment="1">
      <alignment horizontal="center" vertical="center"/>
    </xf>
    <xf numFmtId="0" fontId="28" fillId="0" borderId="83" xfId="0" applyFont="1" applyFill="1" applyBorder="1" applyAlignment="1">
      <alignment horizontal="center" vertical="center"/>
    </xf>
    <xf numFmtId="0" fontId="29" fillId="0" borderId="83" xfId="0" applyFont="1" applyFill="1" applyBorder="1" applyAlignment="1">
      <alignment horizontal="center" vertical="center"/>
    </xf>
    <xf numFmtId="0" fontId="29" fillId="0" borderId="65" xfId="0" applyFont="1" applyBorder="1" applyAlignment="1">
      <alignment horizontal="center" vertical="center"/>
    </xf>
    <xf numFmtId="0" fontId="29" fillId="0" borderId="83" xfId="0" applyFont="1" applyBorder="1" applyAlignment="1">
      <alignment horizontal="center" vertical="center"/>
    </xf>
    <xf numFmtId="0" fontId="7" fillId="0" borderId="70" xfId="0" applyFont="1" applyBorder="1" applyAlignment="1">
      <alignment horizontal="center"/>
    </xf>
    <xf numFmtId="0" fontId="0" fillId="0" borderId="70" xfId="0" applyFont="1" applyBorder="1" applyAlignment="1">
      <alignment horizontal="center"/>
    </xf>
    <xf numFmtId="0" fontId="28" fillId="23" borderId="65" xfId="0" applyFont="1" applyFill="1" applyBorder="1" applyAlignment="1"/>
    <xf numFmtId="0" fontId="29" fillId="0" borderId="65" xfId="0" applyFont="1" applyBorder="1"/>
    <xf numFmtId="0" fontId="29" fillId="0" borderId="65" xfId="0" applyFont="1" applyBorder="1" applyAlignment="1">
      <alignment horizontal="center"/>
    </xf>
    <xf numFmtId="0" fontId="28" fillId="0" borderId="61" xfId="0" applyFont="1" applyBorder="1" applyAlignment="1">
      <alignment horizontal="center" vertical="center"/>
    </xf>
    <xf numFmtId="0" fontId="28" fillId="0" borderId="80" xfId="0" applyFont="1" applyBorder="1" applyAlignment="1">
      <alignment horizontal="center"/>
    </xf>
    <xf numFmtId="0" fontId="28" fillId="0" borderId="67" xfId="0" applyFont="1" applyBorder="1" applyAlignment="1">
      <alignment horizontal="center"/>
    </xf>
    <xf numFmtId="0" fontId="34" fillId="33" borderId="73" xfId="0" applyFont="1" applyFill="1" applyBorder="1" applyAlignment="1">
      <alignment horizontal="center" vertical="center" wrapText="1"/>
    </xf>
    <xf numFmtId="0" fontId="29" fillId="0" borderId="74" xfId="0" applyFont="1" applyBorder="1"/>
    <xf numFmtId="0" fontId="28" fillId="23" borderId="160" xfId="0" applyFont="1" applyFill="1" applyBorder="1" applyAlignment="1"/>
    <xf numFmtId="0" fontId="34" fillId="23" borderId="160" xfId="0" applyFont="1" applyFill="1" applyBorder="1" applyAlignment="1"/>
    <xf numFmtId="0" fontId="47" fillId="34" borderId="160" xfId="0" applyFont="1" applyFill="1" applyBorder="1" applyAlignment="1">
      <alignment horizontal="center" vertical="center" wrapText="1"/>
    </xf>
    <xf numFmtId="0" fontId="42" fillId="23" borderId="65" xfId="0" applyFont="1" applyFill="1" applyBorder="1" applyAlignment="1">
      <alignment vertical="center"/>
    </xf>
    <xf numFmtId="0" fontId="37" fillId="0" borderId="74" xfId="0" applyFont="1" applyBorder="1" applyAlignment="1">
      <alignment horizontal="center" vertical="center"/>
    </xf>
    <xf numFmtId="0" fontId="42" fillId="35" borderId="65" xfId="0" applyFont="1" applyFill="1" applyBorder="1" applyAlignment="1">
      <alignment horizontal="center" vertical="center"/>
    </xf>
    <xf numFmtId="0" fontId="37" fillId="35" borderId="74" xfId="0" applyFont="1" applyFill="1" applyBorder="1" applyAlignment="1">
      <alignment horizontal="center" vertical="center"/>
    </xf>
    <xf numFmtId="0" fontId="0" fillId="35" borderId="1" xfId="0" applyFill="1" applyBorder="1" applyAlignment="1">
      <alignment vertical="center"/>
    </xf>
    <xf numFmtId="0" fontId="37" fillId="0" borderId="74" xfId="0" applyFont="1" applyBorder="1" applyAlignment="1">
      <alignment horizontal="center" vertical="center" wrapText="1"/>
    </xf>
    <xf numFmtId="0" fontId="42" fillId="30" borderId="83" xfId="0" applyFont="1" applyFill="1" applyBorder="1" applyAlignment="1">
      <alignment horizontal="center" vertical="center"/>
    </xf>
    <xf numFmtId="0" fontId="42" fillId="30" borderId="65" xfId="0" applyFont="1" applyFill="1" applyBorder="1" applyAlignment="1">
      <alignment horizontal="center"/>
    </xf>
    <xf numFmtId="0" fontId="42" fillId="30" borderId="83" xfId="0" applyFont="1" applyFill="1" applyBorder="1" applyAlignment="1">
      <alignment horizontal="center"/>
    </xf>
    <xf numFmtId="0" fontId="0" fillId="30" borderId="0" xfId="0" applyFill="1"/>
    <xf numFmtId="0" fontId="42" fillId="30" borderId="65" xfId="0" applyFont="1" applyFill="1" applyBorder="1" applyAlignment="1">
      <alignment horizontal="center" vertical="center"/>
    </xf>
    <xf numFmtId="0" fontId="47" fillId="33" borderId="65" xfId="2" applyFont="1" applyFill="1" applyBorder="1" applyAlignment="1">
      <alignment horizontal="center" vertical="center" wrapText="1"/>
    </xf>
    <xf numFmtId="0" fontId="47" fillId="34" borderId="160" xfId="2" applyFont="1" applyFill="1" applyBorder="1" applyAlignment="1">
      <alignment horizontal="center" vertical="center" wrapText="1"/>
    </xf>
    <xf numFmtId="0" fontId="42" fillId="23" borderId="65" xfId="2" applyFont="1" applyFill="1" applyBorder="1" applyAlignment="1">
      <alignment vertical="center"/>
    </xf>
    <xf numFmtId="0" fontId="42" fillId="0" borderId="65" xfId="2" applyFont="1" applyBorder="1" applyAlignment="1">
      <alignment horizontal="center" vertical="center"/>
    </xf>
    <xf numFmtId="0" fontId="37" fillId="0" borderId="74" xfId="2" applyBorder="1" applyAlignment="1">
      <alignment horizontal="center" vertical="center"/>
    </xf>
    <xf numFmtId="0" fontId="37" fillId="0" borderId="1" xfId="2" applyBorder="1" applyAlignment="1">
      <alignment vertical="center" wrapText="1"/>
    </xf>
    <xf numFmtId="0" fontId="42" fillId="35" borderId="65" xfId="2" applyFont="1" applyFill="1" applyBorder="1" applyAlignment="1">
      <alignment horizontal="center" vertical="center"/>
    </xf>
    <xf numFmtId="0" fontId="37" fillId="35" borderId="74" xfId="2" applyFill="1" applyBorder="1" applyAlignment="1">
      <alignment horizontal="center" vertical="center"/>
    </xf>
    <xf numFmtId="0" fontId="37" fillId="35" borderId="1" xfId="2" applyFill="1" applyBorder="1" applyAlignment="1">
      <alignment vertical="center"/>
    </xf>
    <xf numFmtId="0" fontId="37" fillId="0" borderId="74" xfId="2" applyBorder="1" applyAlignment="1">
      <alignment horizontal="center" vertical="center" wrapText="1"/>
    </xf>
    <xf numFmtId="0" fontId="37" fillId="0" borderId="1" xfId="2" applyBorder="1"/>
    <xf numFmtId="0" fontId="42" fillId="23" borderId="65" xfId="2" applyFont="1" applyFill="1" applyBorder="1"/>
    <xf numFmtId="0" fontId="42" fillId="0" borderId="177" xfId="0" applyFont="1" applyBorder="1"/>
    <xf numFmtId="0" fontId="42" fillId="0" borderId="2" xfId="0" applyFont="1" applyBorder="1" applyAlignment="1">
      <alignment horizontal="left" vertical="center"/>
    </xf>
    <xf numFmtId="0" fontId="42" fillId="0" borderId="25" xfId="0" applyFont="1" applyBorder="1" applyAlignment="1">
      <alignment horizontal="left" vertical="center"/>
    </xf>
    <xf numFmtId="0" fontId="42" fillId="0" borderId="3" xfId="0" applyFont="1" applyBorder="1"/>
    <xf numFmtId="0" fontId="42" fillId="0" borderId="44" xfId="0" applyFont="1" applyBorder="1"/>
    <xf numFmtId="0" fontId="42" fillId="0" borderId="1" xfId="0" applyFont="1" applyBorder="1"/>
    <xf numFmtId="0" fontId="42" fillId="0" borderId="43" xfId="0" applyFont="1" applyBorder="1"/>
    <xf numFmtId="3" fontId="42" fillId="0" borderId="65" xfId="0" applyNumberFormat="1" applyFont="1" applyBorder="1"/>
    <xf numFmtId="3" fontId="42" fillId="0" borderId="74" xfId="0" applyNumberFormat="1" applyFont="1" applyBorder="1"/>
    <xf numFmtId="0" fontId="28" fillId="0" borderId="44" xfId="0" applyFont="1" applyBorder="1"/>
    <xf numFmtId="3" fontId="42" fillId="0" borderId="43" xfId="0" applyNumberFormat="1" applyFont="1" applyBorder="1"/>
    <xf numFmtId="0" fontId="42" fillId="0" borderId="178" xfId="0" applyFont="1" applyBorder="1"/>
    <xf numFmtId="0" fontId="42" fillId="0" borderId="4" xfId="0" applyFont="1" applyBorder="1"/>
    <xf numFmtId="0" fontId="42" fillId="0" borderId="26" xfId="0" applyFont="1" applyBorder="1"/>
    <xf numFmtId="0" fontId="42" fillId="0" borderId="5" xfId="0" applyFont="1" applyBorder="1"/>
    <xf numFmtId="0" fontId="42" fillId="0" borderId="161" xfId="0" applyFont="1" applyBorder="1" applyAlignment="1">
      <alignment horizontal="center"/>
    </xf>
    <xf numFmtId="0" fontId="42" fillId="0" borderId="162" xfId="0" applyFont="1" applyBorder="1" applyAlignment="1">
      <alignment horizontal="center"/>
    </xf>
    <xf numFmtId="0" fontId="42" fillId="0" borderId="163" xfId="0" applyFont="1" applyBorder="1" applyAlignment="1">
      <alignment horizontal="center"/>
    </xf>
    <xf numFmtId="0" fontId="42" fillId="0" borderId="165" xfId="0" applyFont="1" applyBorder="1" applyAlignment="1">
      <alignment horizontal="center"/>
    </xf>
    <xf numFmtId="0" fontId="47" fillId="33" borderId="73" xfId="0" applyFont="1" applyFill="1" applyBorder="1" applyAlignment="1">
      <alignment horizontal="center" vertical="center" wrapText="1"/>
    </xf>
    <xf numFmtId="0" fontId="42" fillId="23" borderId="74" xfId="0" applyFont="1" applyFill="1" applyBorder="1"/>
    <xf numFmtId="0" fontId="28" fillId="0" borderId="1" xfId="0" applyFont="1" applyBorder="1"/>
    <xf numFmtId="17" fontId="28" fillId="0" borderId="1" xfId="0" applyNumberFormat="1" applyFont="1" applyBorder="1"/>
    <xf numFmtId="0" fontId="42" fillId="0" borderId="166" xfId="0" applyFont="1" applyBorder="1"/>
    <xf numFmtId="0" fontId="37" fillId="0" borderId="166" xfId="0" applyFont="1" applyBorder="1"/>
    <xf numFmtId="0" fontId="42" fillId="0" borderId="68" xfId="0" applyFont="1" applyBorder="1" applyAlignment="1">
      <alignment horizontal="left" vertical="center"/>
    </xf>
    <xf numFmtId="0" fontId="42" fillId="0" borderId="179" xfId="0" applyFont="1" applyBorder="1" applyAlignment="1">
      <alignment horizontal="left" vertical="center"/>
    </xf>
    <xf numFmtId="0" fontId="42" fillId="0" borderId="179" xfId="0" applyFont="1" applyBorder="1"/>
    <xf numFmtId="0" fontId="42" fillId="0" borderId="180" xfId="0" applyFont="1" applyBorder="1"/>
    <xf numFmtId="0" fontId="28" fillId="0" borderId="1" xfId="0" applyFont="1" applyBorder="1" applyAlignment="1">
      <alignment horizontal="center" vertical="center"/>
    </xf>
    <xf numFmtId="0" fontId="7" fillId="0" borderId="1" xfId="0" applyFont="1" applyBorder="1"/>
    <xf numFmtId="17" fontId="7" fillId="0" borderId="65" xfId="0" applyNumberFormat="1" applyFont="1" applyBorder="1"/>
    <xf numFmtId="0" fontId="38" fillId="33" borderId="65" xfId="0" applyFont="1" applyFill="1" applyBorder="1" applyAlignment="1">
      <alignment horizontal="center" vertical="center" wrapText="1"/>
    </xf>
    <xf numFmtId="0" fontId="28" fillId="0" borderId="65" xfId="0" applyFont="1" applyBorder="1" applyAlignment="1">
      <alignment horizontal="center" vertical="center"/>
    </xf>
    <xf numFmtId="0" fontId="28" fillId="23" borderId="160" xfId="0" applyFont="1" applyFill="1" applyBorder="1"/>
    <xf numFmtId="0" fontId="28" fillId="0" borderId="160" xfId="0" applyFont="1" applyBorder="1"/>
    <xf numFmtId="0" fontId="64" fillId="0" borderId="0" xfId="0" applyFont="1"/>
    <xf numFmtId="0" fontId="37" fillId="0" borderId="0" xfId="2"/>
    <xf numFmtId="0" fontId="28" fillId="0" borderId="0" xfId="2" applyFont="1" applyAlignment="1">
      <alignment horizontal="left" vertical="center"/>
    </xf>
    <xf numFmtId="0" fontId="27" fillId="21" borderId="73" xfId="2" applyFont="1" applyFill="1" applyBorder="1"/>
    <xf numFmtId="0" fontId="28" fillId="23" borderId="61" xfId="2" applyFont="1" applyFill="1" applyBorder="1" applyAlignment="1">
      <alignment horizontal="left" vertical="center"/>
    </xf>
    <xf numFmtId="0" fontId="28" fillId="23" borderId="80" xfId="2" applyFont="1" applyFill="1" applyBorder="1" applyAlignment="1">
      <alignment vertical="center"/>
    </xf>
    <xf numFmtId="0" fontId="28" fillId="23" borderId="83" xfId="2" applyFont="1" applyFill="1" applyBorder="1" applyAlignment="1">
      <alignment vertical="center"/>
    </xf>
    <xf numFmtId="0" fontId="28" fillId="23" borderId="83" xfId="2" applyFont="1" applyFill="1" applyBorder="1" applyAlignment="1">
      <alignment vertical="center" wrapText="1"/>
    </xf>
    <xf numFmtId="0" fontId="28" fillId="23" borderId="83" xfId="2" applyFont="1" applyFill="1" applyBorder="1" applyAlignment="1">
      <alignment horizontal="left" vertical="center"/>
    </xf>
    <xf numFmtId="0" fontId="35" fillId="23" borderId="83" xfId="2" applyFont="1" applyFill="1" applyBorder="1" applyAlignment="1">
      <alignment vertical="center"/>
    </xf>
    <xf numFmtId="0" fontId="35" fillId="26" borderId="83" xfId="2" applyFont="1" applyFill="1" applyBorder="1" applyAlignment="1">
      <alignment vertical="center"/>
    </xf>
    <xf numFmtId="0" fontId="28" fillId="27" borderId="83" xfId="2" applyFont="1" applyFill="1" applyBorder="1" applyAlignment="1">
      <alignment wrapText="1"/>
    </xf>
    <xf numFmtId="0" fontId="35" fillId="28" borderId="83" xfId="2" applyFont="1" applyFill="1" applyBorder="1" applyAlignment="1">
      <alignment vertical="center"/>
    </xf>
    <xf numFmtId="0" fontId="28" fillId="28" borderId="83" xfId="2" applyFont="1" applyFill="1" applyBorder="1" applyAlignment="1">
      <alignment vertical="center" wrapText="1"/>
    </xf>
    <xf numFmtId="0" fontId="28" fillId="28" borderId="83" xfId="2" applyFont="1" applyFill="1" applyBorder="1" applyAlignment="1">
      <alignment horizontal="left" vertical="center"/>
    </xf>
    <xf numFmtId="0" fontId="28" fillId="28" borderId="83" xfId="2" applyFont="1" applyFill="1" applyBorder="1" applyAlignment="1">
      <alignment horizontal="left" vertical="center" wrapText="1"/>
    </xf>
    <xf numFmtId="0" fontId="35" fillId="28" borderId="83" xfId="2" applyFont="1" applyFill="1" applyBorder="1"/>
    <xf numFmtId="0" fontId="35" fillId="28" borderId="67" xfId="2" applyFont="1" applyFill="1" applyBorder="1" applyAlignment="1">
      <alignment horizontal="left" vertical="center" wrapText="1"/>
    </xf>
    <xf numFmtId="0" fontId="27" fillId="21" borderId="86" xfId="2" applyFont="1" applyFill="1" applyBorder="1" applyAlignment="1">
      <alignment horizontal="center" vertical="center" wrapText="1"/>
    </xf>
    <xf numFmtId="0" fontId="61" fillId="21" borderId="86" xfId="2" applyFont="1" applyFill="1" applyBorder="1" applyAlignment="1">
      <alignment horizontal="center" vertical="center" wrapText="1"/>
    </xf>
    <xf numFmtId="0" fontId="27" fillId="21" borderId="160" xfId="2" applyFont="1" applyFill="1" applyBorder="1" applyAlignment="1">
      <alignment horizontal="center" vertical="center" wrapText="1"/>
    </xf>
    <xf numFmtId="0" fontId="28" fillId="0" borderId="161" xfId="2" applyFont="1" applyBorder="1" applyAlignment="1">
      <alignment horizontal="left" vertical="center"/>
    </xf>
    <xf numFmtId="0" fontId="28" fillId="0" borderId="161" xfId="2" applyFont="1" applyBorder="1"/>
    <xf numFmtId="0" fontId="28" fillId="0" borderId="162" xfId="2" applyFont="1" applyBorder="1"/>
    <xf numFmtId="0" fontId="28" fillId="0" borderId="65" xfId="2" applyFont="1" applyBorder="1"/>
    <xf numFmtId="0" fontId="28" fillId="0" borderId="163" xfId="2" applyFont="1" applyBorder="1"/>
    <xf numFmtId="0" fontId="28" fillId="0" borderId="67" xfId="2" applyFont="1" applyBorder="1"/>
    <xf numFmtId="0" fontId="28" fillId="0" borderId="164" xfId="2" applyFont="1" applyBorder="1"/>
    <xf numFmtId="0" fontId="28" fillId="0" borderId="165" xfId="2" applyFont="1" applyBorder="1"/>
    <xf numFmtId="0" fontId="7" fillId="0" borderId="0" xfId="2" applyFont="1"/>
    <xf numFmtId="0" fontId="7" fillId="0" borderId="0" xfId="2" applyFont="1" applyBorder="1"/>
    <xf numFmtId="0" fontId="27" fillId="21" borderId="86" xfId="2" applyFont="1" applyFill="1" applyBorder="1" applyAlignment="1">
      <alignment wrapText="1"/>
    </xf>
    <xf numFmtId="0" fontId="28" fillId="0" borderId="181" xfId="2" applyFont="1" applyBorder="1"/>
    <xf numFmtId="0" fontId="28" fillId="0" borderId="182" xfId="2" applyFont="1" applyBorder="1"/>
    <xf numFmtId="0" fontId="28" fillId="0" borderId="183" xfId="2" applyFont="1" applyBorder="1" applyAlignment="1">
      <alignment horizontal="left" vertical="center"/>
    </xf>
    <xf numFmtId="0" fontId="28" fillId="0" borderId="184" xfId="2" applyFont="1" applyBorder="1"/>
    <xf numFmtId="0" fontId="28" fillId="0" borderId="166" xfId="2" applyFont="1" applyBorder="1"/>
    <xf numFmtId="0" fontId="37" fillId="0" borderId="0" xfId="2"/>
    <xf numFmtId="0" fontId="28" fillId="0" borderId="65" xfId="2" applyFont="1" applyBorder="1"/>
    <xf numFmtId="0" fontId="34" fillId="33" borderId="65" xfId="2" applyFont="1" applyFill="1" applyBorder="1" applyAlignment="1">
      <alignment horizontal="center" vertical="center" wrapText="1"/>
    </xf>
    <xf numFmtId="0" fontId="28" fillId="23" borderId="65" xfId="2" applyFont="1" applyFill="1" applyBorder="1"/>
    <xf numFmtId="0" fontId="7" fillId="0" borderId="65" xfId="2" applyFont="1" applyBorder="1"/>
    <xf numFmtId="0" fontId="64" fillId="0" borderId="0" xfId="2" applyFont="1"/>
    <xf numFmtId="0" fontId="28" fillId="0" borderId="65" xfId="2" applyFont="1" applyBorder="1" applyAlignment="1">
      <alignment horizontal="center" vertical="center"/>
    </xf>
    <xf numFmtId="0" fontId="38" fillId="33" borderId="65" xfId="2" applyFont="1" applyFill="1" applyBorder="1" applyAlignment="1">
      <alignment horizontal="center" vertical="center" wrapText="1"/>
    </xf>
    <xf numFmtId="0" fontId="28" fillId="23" borderId="160" xfId="2" applyFont="1" applyFill="1" applyBorder="1"/>
    <xf numFmtId="0" fontId="28" fillId="0" borderId="160" xfId="2" applyFont="1" applyBorder="1"/>
    <xf numFmtId="0" fontId="37" fillId="0" borderId="0" xfId="2" applyAlignment="1">
      <alignment horizontal="center" vertical="center"/>
    </xf>
    <xf numFmtId="0" fontId="37" fillId="0" borderId="0" xfId="2"/>
    <xf numFmtId="0" fontId="27" fillId="21" borderId="86" xfId="2" applyFont="1" applyFill="1" applyBorder="1" applyAlignment="1">
      <alignment horizontal="center" vertical="center"/>
    </xf>
    <xf numFmtId="0" fontId="27" fillId="21" borderId="86" xfId="2" applyFont="1" applyFill="1" applyBorder="1" applyAlignment="1">
      <alignment horizontal="center" vertical="center" wrapText="1"/>
    </xf>
    <xf numFmtId="0" fontId="61" fillId="21" borderId="86" xfId="2" applyFont="1" applyFill="1" applyBorder="1" applyAlignment="1">
      <alignment horizontal="center" vertical="center" wrapText="1"/>
    </xf>
    <xf numFmtId="0" fontId="27" fillId="21" borderId="160" xfId="2" applyFont="1" applyFill="1" applyBorder="1" applyAlignment="1">
      <alignment horizontal="center" vertical="center" wrapText="1"/>
    </xf>
    <xf numFmtId="0" fontId="28" fillId="0" borderId="61" xfId="2" applyFont="1" applyBorder="1" applyAlignment="1">
      <alignment horizontal="left" vertical="center"/>
    </xf>
    <xf numFmtId="0" fontId="28" fillId="0" borderId="161" xfId="2" applyFont="1" applyBorder="1" applyAlignment="1">
      <alignment horizontal="left" vertical="center"/>
    </xf>
    <xf numFmtId="0" fontId="28" fillId="0" borderId="161" xfId="2" applyFont="1" applyBorder="1"/>
    <xf numFmtId="0" fontId="28" fillId="0" borderId="162" xfId="2" applyFont="1" applyBorder="1"/>
    <xf numFmtId="0" fontId="28" fillId="0" borderId="80" xfId="2" applyFont="1" applyBorder="1"/>
    <xf numFmtId="0" fontId="28" fillId="0" borderId="65" xfId="2" applyFont="1" applyBorder="1"/>
    <xf numFmtId="0" fontId="28" fillId="0" borderId="163" xfId="2" applyFont="1" applyBorder="1"/>
    <xf numFmtId="0" fontId="28" fillId="0" borderId="83" xfId="2" applyFont="1" applyBorder="1"/>
    <xf numFmtId="0" fontId="28" fillId="0" borderId="67" xfId="2" applyFont="1" applyBorder="1"/>
    <xf numFmtId="0" fontId="28" fillId="0" borderId="164" xfId="2" applyFont="1" applyBorder="1"/>
    <xf numFmtId="0" fontId="28" fillId="0" borderId="165" xfId="2" applyFont="1" applyBorder="1"/>
    <xf numFmtId="165" fontId="28" fillId="0" borderId="65" xfId="5" applyNumberFormat="1" applyFont="1" applyBorder="1"/>
    <xf numFmtId="165" fontId="37" fillId="0" borderId="0" xfId="2" applyNumberFormat="1"/>
    <xf numFmtId="0" fontId="37" fillId="0" borderId="0" xfId="2"/>
    <xf numFmtId="0" fontId="27" fillId="21" borderId="86" xfId="2" applyFont="1" applyFill="1" applyBorder="1" applyAlignment="1">
      <alignment horizontal="center" vertical="center"/>
    </xf>
    <xf numFmtId="0" fontId="27" fillId="21" borderId="86" xfId="2" applyFont="1" applyFill="1" applyBorder="1" applyAlignment="1">
      <alignment horizontal="center" vertical="center" wrapText="1"/>
    </xf>
    <xf numFmtId="0" fontId="61" fillId="21" borderId="86" xfId="2" applyFont="1" applyFill="1" applyBorder="1" applyAlignment="1">
      <alignment horizontal="center" vertical="center" wrapText="1"/>
    </xf>
    <xf numFmtId="0" fontId="27" fillId="21" borderId="160" xfId="2" applyFont="1" applyFill="1" applyBorder="1" applyAlignment="1">
      <alignment horizontal="center" vertical="center" wrapText="1"/>
    </xf>
    <xf numFmtId="0" fontId="28" fillId="0" borderId="61" xfId="2" applyFont="1" applyBorder="1" applyAlignment="1">
      <alignment horizontal="left" vertical="center"/>
    </xf>
    <xf numFmtId="0" fontId="28" fillId="0" borderId="161" xfId="2" applyFont="1" applyBorder="1" applyAlignment="1">
      <alignment horizontal="left" vertical="center"/>
    </xf>
    <xf numFmtId="0" fontId="28" fillId="0" borderId="161" xfId="2" applyFont="1" applyBorder="1"/>
    <xf numFmtId="0" fontId="28" fillId="0" borderId="162" xfId="2" applyFont="1" applyBorder="1"/>
    <xf numFmtId="0" fontId="28" fillId="0" borderId="80" xfId="2" applyFont="1" applyBorder="1"/>
    <xf numFmtId="0" fontId="28" fillId="0" borderId="65" xfId="2" applyFont="1" applyBorder="1"/>
    <xf numFmtId="0" fontId="28" fillId="0" borderId="163" xfId="2" applyFont="1" applyBorder="1"/>
    <xf numFmtId="0" fontId="28" fillId="0" borderId="83" xfId="2" applyFont="1" applyBorder="1"/>
    <xf numFmtId="0" fontId="28" fillId="0" borderId="67" xfId="2" applyFont="1" applyBorder="1"/>
    <xf numFmtId="0" fontId="28" fillId="0" borderId="164" xfId="2" applyFont="1" applyBorder="1"/>
    <xf numFmtId="0" fontId="28" fillId="0" borderId="165" xfId="2" applyFont="1" applyBorder="1"/>
    <xf numFmtId="165" fontId="28" fillId="0" borderId="65" xfId="5" applyNumberFormat="1" applyFont="1" applyBorder="1"/>
    <xf numFmtId="165" fontId="28" fillId="0" borderId="163" xfId="5" applyNumberFormat="1" applyFont="1" applyBorder="1"/>
    <xf numFmtId="165" fontId="37" fillId="0" borderId="0" xfId="2" applyNumberFormat="1"/>
    <xf numFmtId="0" fontId="42" fillId="0" borderId="177" xfId="0" applyFont="1" applyBorder="1" applyAlignment="1">
      <alignment horizontal="left" vertical="center"/>
    </xf>
    <xf numFmtId="0" fontId="41" fillId="21" borderId="86" xfId="2" applyFont="1" applyFill="1" applyBorder="1" applyAlignment="1">
      <alignment horizontal="center" vertical="center"/>
    </xf>
    <xf numFmtId="0" fontId="41" fillId="21" borderId="86" xfId="2" applyFont="1" applyFill="1" applyBorder="1" applyAlignment="1">
      <alignment horizontal="center" vertical="center" wrapText="1"/>
    </xf>
    <xf numFmtId="0" fontId="63" fillId="21" borderId="86" xfId="2" applyFont="1" applyFill="1" applyBorder="1" applyAlignment="1">
      <alignment horizontal="center" vertical="center" wrapText="1"/>
    </xf>
    <xf numFmtId="0" fontId="41" fillId="21" borderId="160" xfId="2" applyFont="1" applyFill="1" applyBorder="1" applyAlignment="1">
      <alignment horizontal="center" vertical="center" wrapText="1"/>
    </xf>
    <xf numFmtId="0" fontId="28" fillId="0" borderId="61" xfId="2" applyFont="1" applyBorder="1" applyAlignment="1">
      <alignment horizontal="center" vertical="center"/>
    </xf>
    <xf numFmtId="0" fontId="42" fillId="0" borderId="161" xfId="2" applyFont="1" applyBorder="1" applyAlignment="1">
      <alignment horizontal="center" vertical="center"/>
    </xf>
    <xf numFmtId="0" fontId="42" fillId="0" borderId="161" xfId="2" applyFont="1" applyBorder="1" applyAlignment="1">
      <alignment horizontal="center"/>
    </xf>
    <xf numFmtId="0" fontId="42" fillId="0" borderId="61" xfId="2" applyFont="1" applyBorder="1" applyAlignment="1">
      <alignment horizontal="center" vertical="center"/>
    </xf>
    <xf numFmtId="0" fontId="42" fillId="0" borderId="162" xfId="2" applyFont="1" applyBorder="1" applyAlignment="1">
      <alignment horizontal="center"/>
    </xf>
    <xf numFmtId="0" fontId="42" fillId="0" borderId="80" xfId="2" applyFont="1" applyBorder="1" applyAlignment="1">
      <alignment horizontal="center"/>
    </xf>
    <xf numFmtId="0" fontId="42" fillId="0" borderId="65" xfId="2" applyFont="1" applyBorder="1" applyAlignment="1">
      <alignment horizontal="center"/>
    </xf>
    <xf numFmtId="0" fontId="42" fillId="0" borderId="163" xfId="2" applyFont="1" applyBorder="1" applyAlignment="1">
      <alignment horizontal="center"/>
    </xf>
    <xf numFmtId="0" fontId="42" fillId="0" borderId="83" xfId="2" applyFont="1" applyBorder="1" applyAlignment="1">
      <alignment horizontal="center"/>
    </xf>
    <xf numFmtId="0" fontId="28" fillId="0" borderId="83" xfId="2" applyFont="1" applyBorder="1" applyAlignment="1">
      <alignment horizontal="center"/>
    </xf>
    <xf numFmtId="0" fontId="42" fillId="0" borderId="67" xfId="2" applyFont="1" applyBorder="1" applyAlignment="1">
      <alignment horizontal="center"/>
    </xf>
    <xf numFmtId="0" fontId="42" fillId="0" borderId="164" xfId="2" applyFont="1" applyBorder="1" applyAlignment="1">
      <alignment horizontal="center"/>
    </xf>
    <xf numFmtId="0" fontId="42" fillId="0" borderId="165" xfId="2" applyFont="1" applyBorder="1" applyAlignment="1">
      <alignment horizontal="center"/>
    </xf>
    <xf numFmtId="0" fontId="28" fillId="0" borderId="65" xfId="2" applyFont="1" applyBorder="1" applyAlignment="1">
      <alignment horizontal="center"/>
    </xf>
    <xf numFmtId="0" fontId="41" fillId="21" borderId="86" xfId="2" applyFont="1" applyFill="1" applyBorder="1" applyAlignment="1">
      <alignment horizontal="center" vertical="center"/>
    </xf>
    <xf numFmtId="0" fontId="41" fillId="21" borderId="86" xfId="2" applyFont="1" applyFill="1" applyBorder="1" applyAlignment="1">
      <alignment horizontal="center" vertical="center" wrapText="1"/>
    </xf>
    <xf numFmtId="0" fontId="63" fillId="21" borderId="86" xfId="2" applyFont="1" applyFill="1" applyBorder="1" applyAlignment="1">
      <alignment horizontal="center" vertical="center" wrapText="1"/>
    </xf>
    <xf numFmtId="0" fontId="41" fillId="21" borderId="160" xfId="2" applyFont="1" applyFill="1" applyBorder="1" applyAlignment="1">
      <alignment horizontal="center" vertical="center" wrapText="1"/>
    </xf>
    <xf numFmtId="0" fontId="41" fillId="21" borderId="86" xfId="2" applyFont="1" applyFill="1" applyBorder="1" applyAlignment="1">
      <alignment horizontal="center" vertical="center"/>
    </xf>
    <xf numFmtId="0" fontId="41" fillId="21" borderId="86" xfId="2" applyFont="1" applyFill="1" applyBorder="1" applyAlignment="1">
      <alignment horizontal="center" vertical="center" wrapText="1"/>
    </xf>
    <xf numFmtId="0" fontId="63" fillId="21" borderId="86" xfId="2" applyFont="1" applyFill="1" applyBorder="1" applyAlignment="1">
      <alignment horizontal="center" vertical="center" wrapText="1"/>
    </xf>
    <xf numFmtId="0" fontId="41" fillId="21" borderId="160" xfId="2" applyFont="1" applyFill="1" applyBorder="1" applyAlignment="1">
      <alignment horizontal="center" vertical="center" wrapText="1"/>
    </xf>
    <xf numFmtId="0" fontId="42" fillId="0" borderId="61" xfId="2" applyFont="1" applyBorder="1" applyAlignment="1">
      <alignment horizontal="left" vertical="center"/>
    </xf>
    <xf numFmtId="0" fontId="42" fillId="0" borderId="161" xfId="2" applyFont="1" applyBorder="1" applyAlignment="1">
      <alignment horizontal="left" vertical="center"/>
    </xf>
    <xf numFmtId="0" fontId="42" fillId="0" borderId="161" xfId="2" applyFont="1" applyBorder="1"/>
    <xf numFmtId="0" fontId="42" fillId="0" borderId="80" xfId="2" applyFont="1" applyBorder="1"/>
    <xf numFmtId="0" fontId="42" fillId="0" borderId="65" xfId="2" applyFont="1" applyBorder="1"/>
    <xf numFmtId="0" fontId="42" fillId="0" borderId="83" xfId="2" applyFont="1" applyBorder="1"/>
    <xf numFmtId="0" fontId="42" fillId="0" borderId="67" xfId="2" applyFont="1" applyBorder="1"/>
    <xf numFmtId="0" fontId="42" fillId="0" borderId="164" xfId="2" applyFont="1" applyBorder="1"/>
    <xf numFmtId="166" fontId="42" fillId="0" borderId="65" xfId="4" applyNumberFormat="1" applyFont="1" applyBorder="1"/>
    <xf numFmtId="166" fontId="42" fillId="0" borderId="1" xfId="4" applyNumberFormat="1" applyFont="1" applyBorder="1"/>
    <xf numFmtId="0" fontId="28" fillId="0" borderId="74" xfId="0" applyFont="1" applyBorder="1"/>
    <xf numFmtId="0" fontId="42" fillId="0" borderId="96" xfId="0" applyFont="1" applyBorder="1"/>
    <xf numFmtId="0" fontId="42" fillId="0" borderId="73" xfId="0" applyFont="1" applyBorder="1"/>
    <xf numFmtId="0" fontId="42" fillId="0" borderId="71" xfId="0" applyFont="1" applyBorder="1"/>
    <xf numFmtId="166" fontId="0" fillId="0" borderId="1" xfId="0" applyNumberFormat="1" applyBorder="1"/>
    <xf numFmtId="0" fontId="0" fillId="0" borderId="16" xfId="0" applyBorder="1"/>
    <xf numFmtId="0" fontId="41" fillId="21" borderId="86" xfId="2" applyFont="1" applyFill="1" applyBorder="1" applyAlignment="1">
      <alignment horizontal="center" vertical="center"/>
    </xf>
    <xf numFmtId="0" fontId="41" fillId="21" borderId="86" xfId="2" applyFont="1" applyFill="1" applyBorder="1" applyAlignment="1">
      <alignment horizontal="center" vertical="center" wrapText="1"/>
    </xf>
    <xf numFmtId="0" fontId="63" fillId="21" borderId="86" xfId="2" applyFont="1" applyFill="1" applyBorder="1" applyAlignment="1">
      <alignment horizontal="center" vertical="center" wrapText="1"/>
    </xf>
    <xf numFmtId="0" fontId="41" fillId="21" borderId="160" xfId="2" applyFont="1" applyFill="1" applyBorder="1" applyAlignment="1">
      <alignment horizontal="center" vertical="center" wrapText="1"/>
    </xf>
    <xf numFmtId="0" fontId="37" fillId="0" borderId="1" xfId="2" applyFont="1" applyBorder="1" applyAlignment="1"/>
    <xf numFmtId="0" fontId="42" fillId="0" borderId="1" xfId="2" applyFont="1" applyBorder="1"/>
    <xf numFmtId="0" fontId="28" fillId="0" borderId="1" xfId="2" applyFont="1" applyBorder="1"/>
    <xf numFmtId="0" fontId="42" fillId="0" borderId="2" xfId="2" applyFont="1" applyBorder="1" applyAlignment="1">
      <alignment horizontal="left" vertical="center"/>
    </xf>
    <xf numFmtId="0" fontId="42" fillId="0" borderId="25" xfId="2" applyFont="1" applyBorder="1" applyAlignment="1">
      <alignment horizontal="left" vertical="center"/>
    </xf>
    <xf numFmtId="0" fontId="42" fillId="0" borderId="3" xfId="2" applyFont="1" applyBorder="1" applyAlignment="1">
      <alignment horizontal="left" vertical="center"/>
    </xf>
    <xf numFmtId="0" fontId="42" fillId="0" borderId="44" xfId="2" applyFont="1" applyBorder="1"/>
    <xf numFmtId="0" fontId="42" fillId="0" borderId="43" xfId="2" applyFont="1" applyBorder="1"/>
    <xf numFmtId="0" fontId="37" fillId="0" borderId="44" xfId="2" applyFont="1" applyBorder="1" applyAlignment="1"/>
    <xf numFmtId="0" fontId="37" fillId="0" borderId="43" xfId="2" applyFont="1" applyBorder="1" applyAlignment="1"/>
    <xf numFmtId="0" fontId="28" fillId="0" borderId="44" xfId="2" applyFont="1" applyBorder="1"/>
    <xf numFmtId="0" fontId="42" fillId="0" borderId="4" xfId="2" applyFont="1" applyBorder="1"/>
    <xf numFmtId="0" fontId="42" fillId="0" borderId="26" xfId="2" applyFont="1" applyBorder="1"/>
    <xf numFmtId="0" fontId="42" fillId="0" borderId="5" xfId="2" applyFont="1" applyBorder="1"/>
    <xf numFmtId="0" fontId="42" fillId="0" borderId="2" xfId="2" applyFont="1" applyBorder="1"/>
    <xf numFmtId="0" fontId="42" fillId="0" borderId="3" xfId="2" applyFont="1" applyBorder="1"/>
    <xf numFmtId="0" fontId="41" fillId="21" borderId="86" xfId="2" applyFont="1" applyFill="1" applyBorder="1" applyAlignment="1">
      <alignment horizontal="center" vertical="center"/>
    </xf>
    <xf numFmtId="0" fontId="41" fillId="21" borderId="86" xfId="2" applyFont="1" applyFill="1" applyBorder="1" applyAlignment="1">
      <alignment horizontal="center" vertical="center" wrapText="1"/>
    </xf>
    <xf numFmtId="0" fontId="63" fillId="21" borderId="86" xfId="2" applyFont="1" applyFill="1" applyBorder="1" applyAlignment="1">
      <alignment horizontal="center" vertical="center" wrapText="1"/>
    </xf>
    <xf numFmtId="0" fontId="41" fillId="21" borderId="160" xfId="2" applyFont="1" applyFill="1" applyBorder="1" applyAlignment="1">
      <alignment horizontal="center" vertical="center" wrapText="1"/>
    </xf>
    <xf numFmtId="0" fontId="42" fillId="0" borderId="161" xfId="2" applyFont="1" applyBorder="1"/>
    <xf numFmtId="0" fontId="42" fillId="0" borderId="65" xfId="2" applyFont="1" applyBorder="1"/>
    <xf numFmtId="0" fontId="42" fillId="0" borderId="164" xfId="2" applyFont="1" applyBorder="1"/>
    <xf numFmtId="0" fontId="28" fillId="0" borderId="80" xfId="2" applyFont="1" applyBorder="1" applyAlignment="1">
      <alignment horizontal="center"/>
    </xf>
    <xf numFmtId="0" fontId="28" fillId="0" borderId="83" xfId="2" applyFont="1" applyBorder="1" applyAlignment="1">
      <alignment horizontal="center"/>
    </xf>
    <xf numFmtId="0" fontId="42" fillId="0" borderId="83" xfId="2" applyFont="1" applyBorder="1" applyAlignment="1">
      <alignment horizontal="center"/>
    </xf>
    <xf numFmtId="0" fontId="42" fillId="0" borderId="67" xfId="2" applyFont="1" applyBorder="1" applyAlignment="1">
      <alignment horizontal="center"/>
    </xf>
    <xf numFmtId="0" fontId="42" fillId="0" borderId="61" xfId="2" applyFont="1" applyBorder="1" applyAlignment="1">
      <alignment horizontal="center"/>
    </xf>
    <xf numFmtId="0" fontId="31" fillId="0" borderId="65" xfId="2" applyFont="1" applyBorder="1"/>
    <xf numFmtId="0" fontId="29" fillId="0" borderId="65" xfId="2" applyFont="1" applyBorder="1"/>
    <xf numFmtId="0" fontId="42" fillId="0" borderId="161" xfId="2" applyFont="1" applyBorder="1" applyAlignment="1">
      <alignment horizontal="center" vertical="center"/>
    </xf>
    <xf numFmtId="0" fontId="42" fillId="0" borderId="65" xfId="2" applyFont="1" applyBorder="1" applyAlignment="1">
      <alignment horizontal="center"/>
    </xf>
    <xf numFmtId="0" fontId="42" fillId="0" borderId="160" xfId="2" applyFont="1" applyBorder="1" applyAlignment="1">
      <alignment horizontal="center"/>
    </xf>
    <xf numFmtId="0" fontId="27" fillId="21" borderId="86" xfId="2" applyFont="1" applyFill="1" applyBorder="1" applyAlignment="1">
      <alignment horizontal="center" vertical="center"/>
    </xf>
    <xf numFmtId="0" fontId="27" fillId="21" borderId="86" xfId="2" applyFont="1" applyFill="1" applyBorder="1" applyAlignment="1">
      <alignment horizontal="center" vertical="center" wrapText="1"/>
    </xf>
    <xf numFmtId="0" fontId="61" fillId="21" borderId="86" xfId="2" applyFont="1" applyFill="1" applyBorder="1" applyAlignment="1">
      <alignment horizontal="center" vertical="center" wrapText="1"/>
    </xf>
    <xf numFmtId="0" fontId="27" fillId="21" borderId="160" xfId="2" applyFont="1" applyFill="1" applyBorder="1" applyAlignment="1">
      <alignment horizontal="center" vertical="center" wrapText="1"/>
    </xf>
    <xf numFmtId="0" fontId="28" fillId="0" borderId="61" xfId="2" applyFont="1" applyBorder="1" applyAlignment="1">
      <alignment horizontal="left" vertical="center"/>
    </xf>
    <xf numFmtId="0" fontId="28" fillId="0" borderId="161" xfId="2" applyFont="1" applyBorder="1" applyAlignment="1">
      <alignment horizontal="left" vertical="center"/>
    </xf>
    <xf numFmtId="0" fontId="28" fillId="0" borderId="161" xfId="2" applyFont="1" applyBorder="1"/>
    <xf numFmtId="0" fontId="28" fillId="0" borderId="162" xfId="2" applyFont="1" applyBorder="1"/>
    <xf numFmtId="0" fontId="28" fillId="0" borderId="80" xfId="2" applyFont="1" applyBorder="1"/>
    <xf numFmtId="0" fontId="28" fillId="0" borderId="65" xfId="2" applyFont="1" applyBorder="1"/>
    <xf numFmtId="0" fontId="28" fillId="0" borderId="163" xfId="2" applyFont="1" applyBorder="1"/>
    <xf numFmtId="0" fontId="28" fillId="0" borderId="83" xfId="2" applyFont="1" applyBorder="1"/>
    <xf numFmtId="0" fontId="37" fillId="0" borderId="0" xfId="2"/>
    <xf numFmtId="0" fontId="27" fillId="21" borderId="86" xfId="2" applyFont="1" applyFill="1" applyBorder="1" applyAlignment="1">
      <alignment horizontal="center" vertical="center"/>
    </xf>
    <xf numFmtId="0" fontId="27" fillId="21" borderId="86" xfId="2" applyFont="1" applyFill="1" applyBorder="1" applyAlignment="1">
      <alignment horizontal="center" vertical="center" wrapText="1"/>
    </xf>
    <xf numFmtId="0" fontId="61" fillId="21" borderId="86" xfId="2" applyFont="1" applyFill="1" applyBorder="1" applyAlignment="1">
      <alignment horizontal="center" vertical="center" wrapText="1"/>
    </xf>
    <xf numFmtId="0" fontId="27" fillId="21" borderId="160" xfId="2" applyFont="1" applyFill="1" applyBorder="1" applyAlignment="1">
      <alignment horizontal="center" vertical="center" wrapText="1"/>
    </xf>
    <xf numFmtId="0" fontId="28" fillId="0" borderId="161" xfId="2" applyFont="1" applyBorder="1" applyAlignment="1">
      <alignment horizontal="left" vertical="center"/>
    </xf>
    <xf numFmtId="0" fontId="28" fillId="0" borderId="161" xfId="2" applyFont="1" applyBorder="1"/>
    <xf numFmtId="0" fontId="28" fillId="0" borderId="162" xfId="2" applyFont="1" applyBorder="1"/>
    <xf numFmtId="0" fontId="28" fillId="0" borderId="65" xfId="2" applyFont="1" applyBorder="1"/>
    <xf numFmtId="0" fontId="28" fillId="0" borderId="163" xfId="2" applyFont="1" applyBorder="1"/>
    <xf numFmtId="0" fontId="28" fillId="0" borderId="164" xfId="2" applyFont="1" applyBorder="1"/>
    <xf numFmtId="0" fontId="28" fillId="0" borderId="61" xfId="2" applyFont="1" applyBorder="1" applyAlignment="1">
      <alignment horizontal="center" vertical="center"/>
    </xf>
    <xf numFmtId="0" fontId="28" fillId="0" borderId="80" xfId="2" applyFont="1" applyBorder="1" applyAlignment="1">
      <alignment horizontal="center"/>
    </xf>
    <xf numFmtId="0" fontId="28" fillId="0" borderId="83" xfId="2" applyFont="1" applyBorder="1" applyAlignment="1">
      <alignment horizontal="center"/>
    </xf>
    <xf numFmtId="0" fontId="28" fillId="0" borderId="67" xfId="2" applyFont="1" applyBorder="1" applyAlignment="1">
      <alignment horizontal="center"/>
    </xf>
    <xf numFmtId="164" fontId="28" fillId="0" borderId="65" xfId="7" applyNumberFormat="1" applyFont="1" applyBorder="1"/>
    <xf numFmtId="164" fontId="28" fillId="0" borderId="164" xfId="7" applyNumberFormat="1" applyFont="1" applyBorder="1"/>
    <xf numFmtId="0" fontId="23" fillId="0" borderId="9" xfId="2" applyFont="1" applyBorder="1" applyAlignment="1">
      <alignment horizontal="center"/>
    </xf>
    <xf numFmtId="0" fontId="23" fillId="0" borderId="10" xfId="2" applyFont="1" applyBorder="1"/>
    <xf numFmtId="164" fontId="23" fillId="0" borderId="11" xfId="7" applyNumberFormat="1" applyFont="1" applyBorder="1"/>
    <xf numFmtId="0" fontId="23" fillId="0" borderId="9" xfId="2" applyFont="1" applyBorder="1"/>
    <xf numFmtId="0" fontId="27" fillId="21" borderId="86" xfId="2" applyFont="1" applyFill="1" applyBorder="1" applyAlignment="1">
      <alignment horizontal="center" vertical="center" wrapText="1"/>
    </xf>
    <xf numFmtId="0" fontId="61" fillId="21" borderId="86" xfId="2" applyFont="1" applyFill="1" applyBorder="1" applyAlignment="1">
      <alignment horizontal="center" vertical="center" wrapText="1"/>
    </xf>
    <xf numFmtId="0" fontId="27" fillId="21" borderId="160" xfId="2" applyFont="1" applyFill="1" applyBorder="1" applyAlignment="1">
      <alignment horizontal="center" vertical="center" wrapText="1"/>
    </xf>
    <xf numFmtId="0" fontId="28" fillId="0" borderId="65" xfId="2" applyFont="1" applyBorder="1" applyAlignment="1">
      <alignment horizontal="center"/>
    </xf>
    <xf numFmtId="0" fontId="28" fillId="0" borderId="163" xfId="2" applyFont="1" applyBorder="1" applyAlignment="1">
      <alignment horizontal="center"/>
    </xf>
    <xf numFmtId="44" fontId="28" fillId="0" borderId="65" xfId="7" applyFont="1" applyBorder="1" applyAlignment="1">
      <alignment horizontal="center"/>
    </xf>
    <xf numFmtId="164" fontId="28" fillId="0" borderId="65" xfId="7" applyNumberFormat="1" applyFont="1" applyBorder="1" applyAlignment="1">
      <alignment horizontal="center"/>
    </xf>
    <xf numFmtId="164" fontId="28" fillId="0" borderId="163" xfId="7" applyNumberFormat="1" applyFont="1" applyBorder="1" applyAlignment="1">
      <alignment horizontal="center"/>
    </xf>
    <xf numFmtId="0" fontId="37" fillId="0" borderId="65" xfId="2" applyBorder="1"/>
    <xf numFmtId="0" fontId="37" fillId="0" borderId="0" xfId="2"/>
    <xf numFmtId="0" fontId="27" fillId="21" borderId="86" xfId="2" applyFont="1" applyFill="1" applyBorder="1" applyAlignment="1">
      <alignment horizontal="center" vertical="center" wrapText="1"/>
    </xf>
    <xf numFmtId="0" fontId="61" fillId="21" borderId="86" xfId="2" applyFont="1" applyFill="1" applyBorder="1" applyAlignment="1">
      <alignment horizontal="center" vertical="center" wrapText="1"/>
    </xf>
    <xf numFmtId="0" fontId="27" fillId="21" borderId="160" xfId="2" applyFont="1" applyFill="1" applyBorder="1" applyAlignment="1">
      <alignment horizontal="center" vertical="center" wrapText="1"/>
    </xf>
    <xf numFmtId="0" fontId="28" fillId="0" borderId="74" xfId="2" applyFont="1" applyBorder="1" applyAlignment="1">
      <alignment horizontal="center"/>
    </xf>
    <xf numFmtId="0" fontId="37" fillId="0" borderId="1" xfId="2" applyBorder="1" applyAlignment="1">
      <alignment horizontal="center" vertical="center"/>
    </xf>
    <xf numFmtId="164" fontId="37" fillId="0" borderId="1" xfId="7" applyNumberFormat="1" applyFont="1" applyBorder="1" applyAlignment="1">
      <alignment horizontal="center" vertical="center"/>
    </xf>
    <xf numFmtId="0" fontId="28" fillId="0" borderId="65" xfId="2" applyFont="1" applyBorder="1" applyAlignment="1">
      <alignment horizontal="center"/>
    </xf>
    <xf numFmtId="164" fontId="28" fillId="0" borderId="65" xfId="7" applyNumberFormat="1" applyFont="1" applyBorder="1" applyAlignment="1">
      <alignment horizontal="center"/>
    </xf>
    <xf numFmtId="0" fontId="7" fillId="0" borderId="1" xfId="2" applyFont="1" applyBorder="1" applyAlignment="1">
      <alignment horizontal="center" vertical="center"/>
    </xf>
    <xf numFmtId="0" fontId="37" fillId="0" borderId="16" xfId="2" applyBorder="1" applyAlignment="1">
      <alignment horizontal="center" vertical="center"/>
    </xf>
    <xf numFmtId="0" fontId="28" fillId="0" borderId="1" xfId="2" applyFont="1" applyBorder="1" applyAlignment="1">
      <alignment horizontal="center"/>
    </xf>
    <xf numFmtId="164" fontId="28" fillId="0" borderId="1" xfId="7" applyNumberFormat="1" applyFont="1" applyBorder="1" applyAlignment="1">
      <alignment horizontal="center"/>
    </xf>
    <xf numFmtId="0" fontId="9" fillId="5" borderId="0" xfId="0" applyFont="1" applyFill="1" applyBorder="1" applyAlignment="1">
      <alignment horizontal="center" vertical="center"/>
    </xf>
    <xf numFmtId="0" fontId="27" fillId="21" borderId="86" xfId="2" applyFont="1" applyFill="1" applyBorder="1" applyAlignment="1">
      <alignment horizontal="center" vertical="center"/>
    </xf>
    <xf numFmtId="0" fontId="27" fillId="21" borderId="86" xfId="2" applyFont="1" applyFill="1" applyBorder="1" applyAlignment="1">
      <alignment horizontal="center" vertical="center" wrapText="1"/>
    </xf>
    <xf numFmtId="0" fontId="61" fillId="21" borderId="86" xfId="2" applyFont="1" applyFill="1" applyBorder="1" applyAlignment="1">
      <alignment horizontal="center" vertical="center" wrapText="1"/>
    </xf>
    <xf numFmtId="0" fontId="27" fillId="21" borderId="160" xfId="2" applyFont="1" applyFill="1" applyBorder="1" applyAlignment="1">
      <alignment horizontal="center" vertical="center" wrapText="1"/>
    </xf>
    <xf numFmtId="164" fontId="0" fillId="0" borderId="0" xfId="0" applyNumberFormat="1"/>
    <xf numFmtId="44" fontId="0" fillId="0" borderId="0" xfId="0" applyNumberFormat="1"/>
    <xf numFmtId="0" fontId="8" fillId="11" borderId="1" xfId="1" applyFill="1" applyBorder="1" applyAlignment="1">
      <alignment horizontal="center" vertical="center"/>
    </xf>
    <xf numFmtId="166" fontId="0" fillId="0" borderId="0" xfId="0" applyNumberFormat="1"/>
    <xf numFmtId="166" fontId="0" fillId="8" borderId="0" xfId="0" applyNumberFormat="1" applyFill="1"/>
    <xf numFmtId="167" fontId="0" fillId="0" borderId="0" xfId="0" applyNumberFormat="1" applyFont="1" applyFill="1" applyBorder="1" applyAlignment="1">
      <alignment horizontal="right" vertical="center" wrapText="1"/>
    </xf>
    <xf numFmtId="167" fontId="23" fillId="0" borderId="0" xfId="0" applyNumberFormat="1" applyFont="1" applyFill="1" applyBorder="1"/>
    <xf numFmtId="0" fontId="0" fillId="0" borderId="0" xfId="0"/>
    <xf numFmtId="0" fontId="0" fillId="0" borderId="1" xfId="0" applyBorder="1"/>
    <xf numFmtId="0" fontId="0" fillId="0" borderId="0" xfId="0" applyBorder="1" applyAlignment="1">
      <alignment wrapText="1"/>
    </xf>
    <xf numFmtId="167" fontId="7" fillId="0" borderId="0" xfId="0" applyNumberFormat="1" applyFont="1" applyFill="1" applyBorder="1" applyAlignment="1">
      <alignment horizontal="center" vertical="center" wrapText="1"/>
    </xf>
    <xf numFmtId="167" fontId="0" fillId="8" borderId="0" xfId="0" applyNumberFormat="1" applyFill="1" applyAlignment="1">
      <alignment horizontal="center"/>
    </xf>
    <xf numFmtId="0" fontId="0" fillId="0" borderId="1" xfId="0" applyBorder="1"/>
    <xf numFmtId="0" fontId="7" fillId="8" borderId="16" xfId="0" applyFont="1" applyFill="1" applyBorder="1" applyAlignment="1">
      <alignment horizontal="left" vertical="center" wrapText="1"/>
    </xf>
    <xf numFmtId="0" fontId="0" fillId="8" borderId="16" xfId="0" applyFont="1" applyFill="1" applyBorder="1" applyAlignment="1">
      <alignment horizontal="left" vertical="center" wrapText="1"/>
    </xf>
    <xf numFmtId="0" fontId="0" fillId="0" borderId="16" xfId="0" applyFont="1" applyFill="1" applyBorder="1" applyAlignment="1">
      <alignment horizontal="left" vertical="center" wrapText="1"/>
    </xf>
    <xf numFmtId="0" fontId="0" fillId="0" borderId="16" xfId="0" applyFont="1" applyFill="1" applyBorder="1" applyAlignment="1">
      <alignment vertical="center"/>
    </xf>
    <xf numFmtId="0" fontId="7" fillId="0" borderId="16" xfId="0" applyFont="1" applyFill="1" applyBorder="1" applyAlignment="1">
      <alignment vertical="center" wrapText="1"/>
    </xf>
    <xf numFmtId="0" fontId="0" fillId="0" borderId="16" xfId="0" applyFont="1" applyFill="1" applyBorder="1" applyAlignment="1">
      <alignment vertical="center" wrapText="1"/>
    </xf>
    <xf numFmtId="0" fontId="0" fillId="8" borderId="16" xfId="0" applyFill="1" applyBorder="1"/>
    <xf numFmtId="0" fontId="0" fillId="8" borderId="16" xfId="0" applyFont="1" applyFill="1" applyBorder="1" applyAlignment="1">
      <alignment vertical="center"/>
    </xf>
    <xf numFmtId="0" fontId="7" fillId="0" borderId="16" xfId="0" applyFont="1" applyFill="1" applyBorder="1" applyAlignment="1">
      <alignment vertical="center"/>
    </xf>
    <xf numFmtId="0" fontId="7" fillId="8" borderId="16" xfId="0" applyFont="1" applyFill="1" applyBorder="1" applyAlignment="1">
      <alignment vertical="center"/>
    </xf>
    <xf numFmtId="0" fontId="0" fillId="8" borderId="16" xfId="0" applyFont="1" applyFill="1" applyBorder="1" applyAlignment="1">
      <alignment vertical="center" wrapText="1"/>
    </xf>
    <xf numFmtId="0" fontId="7" fillId="0" borderId="16" xfId="0" applyFont="1" applyFill="1" applyBorder="1"/>
    <xf numFmtId="0" fontId="0" fillId="0" borderId="16" xfId="0" applyFont="1" applyFill="1" applyBorder="1"/>
    <xf numFmtId="0" fontId="7" fillId="0" borderId="185" xfId="0" applyFont="1" applyFill="1" applyBorder="1" applyAlignment="1">
      <alignment vertical="center"/>
    </xf>
    <xf numFmtId="0" fontId="7" fillId="0" borderId="185" xfId="0" applyFont="1" applyFill="1" applyBorder="1" applyAlignment="1">
      <alignment horizontal="left" vertical="center" wrapText="1"/>
    </xf>
    <xf numFmtId="0" fontId="0" fillId="0" borderId="185" xfId="0" applyFont="1" applyFill="1" applyBorder="1" applyAlignment="1">
      <alignment horizontal="left" vertical="center" wrapText="1"/>
    </xf>
    <xf numFmtId="0" fontId="7" fillId="8" borderId="185" xfId="0" applyFont="1" applyFill="1" applyBorder="1" applyAlignment="1">
      <alignment horizontal="left" vertical="center" wrapText="1"/>
    </xf>
    <xf numFmtId="0" fontId="7" fillId="8" borderId="185" xfId="0" applyFont="1" applyFill="1" applyBorder="1" applyAlignment="1">
      <alignment vertical="center"/>
    </xf>
    <xf numFmtId="0" fontId="23" fillId="17" borderId="1" xfId="0" applyFont="1" applyFill="1" applyBorder="1" applyAlignment="1">
      <alignment horizontal="center" vertical="center"/>
    </xf>
    <xf numFmtId="0" fontId="0" fillId="0" borderId="1" xfId="0" applyBorder="1" applyAlignment="1">
      <alignment wrapText="1"/>
    </xf>
    <xf numFmtId="0" fontId="0" fillId="0" borderId="31" xfId="0" applyFill="1" applyBorder="1"/>
    <xf numFmtId="0" fontId="28" fillId="0" borderId="69" xfId="0" applyFont="1" applyBorder="1" applyAlignment="1">
      <alignment horizontal="left" vertical="center"/>
    </xf>
    <xf numFmtId="0" fontId="0" fillId="0" borderId="27" xfId="0" applyBorder="1" applyAlignment="1">
      <alignment wrapText="1"/>
    </xf>
    <xf numFmtId="0" fontId="0" fillId="37" borderId="0" xfId="0" applyFill="1"/>
    <xf numFmtId="167" fontId="23" fillId="37" borderId="0" xfId="0" applyNumberFormat="1" applyFont="1" applyFill="1" applyAlignment="1">
      <alignment horizontal="center"/>
    </xf>
    <xf numFmtId="167" fontId="0" fillId="0" borderId="0" xfId="0" applyNumberFormat="1" applyFill="1" applyBorder="1" applyAlignment="1">
      <alignment horizontal="center" vertical="center"/>
    </xf>
    <xf numFmtId="0" fontId="0" fillId="0" borderId="0" xfId="0" applyFill="1" applyBorder="1" applyAlignment="1">
      <alignment horizontal="center" vertical="center"/>
    </xf>
    <xf numFmtId="0" fontId="10" fillId="4" borderId="1" xfId="0" applyFont="1" applyFill="1" applyBorder="1" applyAlignment="1">
      <alignment horizontal="center" vertical="center"/>
    </xf>
    <xf numFmtId="0" fontId="0" fillId="0" borderId="0" xfId="0"/>
    <xf numFmtId="0" fontId="41" fillId="21" borderId="71" xfId="0" applyFont="1" applyFill="1" applyBorder="1" applyAlignment="1">
      <alignment horizontal="center"/>
    </xf>
    <xf numFmtId="0" fontId="7" fillId="0" borderId="0" xfId="0" applyFont="1" applyFill="1" applyBorder="1" applyAlignment="1">
      <alignment vertical="center"/>
    </xf>
    <xf numFmtId="0" fontId="0" fillId="0" borderId="1" xfId="0" applyFont="1" applyFill="1" applyBorder="1" applyAlignment="1">
      <alignment vertical="center"/>
    </xf>
    <xf numFmtId="0" fontId="7" fillId="0" borderId="1" xfId="0" applyFont="1" applyFill="1" applyBorder="1" applyAlignment="1">
      <alignment vertical="center" wrapText="1"/>
    </xf>
    <xf numFmtId="0" fontId="0" fillId="8" borderId="1" xfId="0" applyFont="1" applyFill="1" applyBorder="1" applyAlignment="1">
      <alignment vertical="center"/>
    </xf>
    <xf numFmtId="0" fontId="7" fillId="0" borderId="1" xfId="0" applyFont="1" applyFill="1" applyBorder="1" applyAlignment="1">
      <alignment vertical="center"/>
    </xf>
    <xf numFmtId="0" fontId="7" fillId="8" borderId="1" xfId="0" applyFont="1" applyFill="1" applyBorder="1" applyAlignment="1">
      <alignment vertical="center"/>
    </xf>
    <xf numFmtId="0" fontId="0" fillId="8" borderId="1" xfId="0" applyFont="1" applyFill="1" applyBorder="1" applyAlignment="1">
      <alignment vertical="center" wrapText="1"/>
    </xf>
    <xf numFmtId="0" fontId="10" fillId="4" borderId="16" xfId="0" applyFont="1" applyFill="1" applyBorder="1" applyAlignment="1">
      <alignment horizontal="center" vertical="center"/>
    </xf>
    <xf numFmtId="0" fontId="23" fillId="37" borderId="0" xfId="0" applyFont="1" applyFill="1" applyAlignment="1">
      <alignment horizontal="left"/>
    </xf>
    <xf numFmtId="0" fontId="0" fillId="0" borderId="1" xfId="0" applyFont="1" applyFill="1" applyBorder="1"/>
    <xf numFmtId="0" fontId="0" fillId="10" borderId="1" xfId="0" applyFill="1" applyBorder="1" applyAlignment="1">
      <alignment horizontal="center"/>
    </xf>
    <xf numFmtId="0" fontId="7" fillId="10" borderId="45" xfId="1" applyFont="1" applyFill="1" applyBorder="1" applyAlignment="1">
      <alignment vertical="center"/>
    </xf>
    <xf numFmtId="0" fontId="59" fillId="0" borderId="0" xfId="1" applyFont="1" applyFill="1" applyBorder="1" applyAlignment="1">
      <alignment horizontal="center" vertical="center" wrapText="1"/>
    </xf>
    <xf numFmtId="168" fontId="7" fillId="0" borderId="1" xfId="0" applyNumberFormat="1" applyFont="1" applyFill="1" applyBorder="1" applyAlignment="1">
      <alignment horizontal="right" vertical="center" wrapText="1"/>
    </xf>
    <xf numFmtId="167" fontId="7" fillId="0" borderId="1" xfId="0" applyNumberFormat="1" applyFont="1" applyFill="1" applyBorder="1" applyAlignment="1">
      <alignment vertical="center" wrapText="1"/>
    </xf>
    <xf numFmtId="168" fontId="0" fillId="0" borderId="1" xfId="0" applyNumberFormat="1" applyBorder="1"/>
    <xf numFmtId="0" fontId="7" fillId="0" borderId="158" xfId="0" applyFont="1" applyFill="1" applyBorder="1" applyAlignment="1">
      <alignment vertical="center" wrapText="1"/>
    </xf>
    <xf numFmtId="0" fontId="0" fillId="0" borderId="159" xfId="0" applyFont="1" applyFill="1" applyBorder="1" applyAlignment="1">
      <alignment vertical="center" wrapText="1"/>
    </xf>
    <xf numFmtId="0" fontId="7" fillId="8" borderId="186" xfId="0" applyFont="1" applyFill="1" applyBorder="1" applyAlignment="1">
      <alignment vertical="center" wrapText="1"/>
    </xf>
    <xf numFmtId="11" fontId="7" fillId="0" borderId="16" xfId="0" applyNumberFormat="1" applyFont="1" applyFill="1" applyBorder="1" applyAlignment="1">
      <alignment vertical="center"/>
    </xf>
    <xf numFmtId="44" fontId="0" fillId="0" borderId="1" xfId="4" applyFont="1" applyBorder="1"/>
    <xf numFmtId="0" fontId="7" fillId="8" borderId="1" xfId="0" applyFont="1" applyFill="1" applyBorder="1" applyAlignment="1">
      <alignment horizontal="center" vertical="center" wrapText="1"/>
    </xf>
    <xf numFmtId="0" fontId="0" fillId="0" borderId="1" xfId="0" applyFont="1" applyFill="1" applyBorder="1" applyAlignment="1">
      <alignment horizontal="center" vertical="center"/>
    </xf>
    <xf numFmtId="168" fontId="7" fillId="0" borderId="1" xfId="0" applyNumberFormat="1" applyFont="1" applyFill="1" applyBorder="1" applyAlignment="1">
      <alignment vertical="center" wrapText="1"/>
    </xf>
    <xf numFmtId="168" fontId="0" fillId="0" borderId="1" xfId="0" applyNumberFormat="1" applyFont="1" applyFill="1" applyBorder="1" applyAlignment="1">
      <alignment horizontal="right" vertical="center" wrapText="1"/>
    </xf>
    <xf numFmtId="168" fontId="7" fillId="0" borderId="1" xfId="0" applyNumberFormat="1" applyFont="1" applyFill="1" applyBorder="1" applyAlignment="1">
      <alignment horizontal="right" vertical="center"/>
    </xf>
    <xf numFmtId="44" fontId="0" fillId="0" borderId="1" xfId="4" applyFont="1" applyBorder="1" applyAlignment="1">
      <alignment horizontal="center" vertical="center"/>
    </xf>
    <xf numFmtId="0" fontId="7" fillId="0" borderId="1" xfId="0" applyFont="1" applyFill="1" applyBorder="1" applyAlignment="1">
      <alignment horizontal="center" vertical="center"/>
    </xf>
    <xf numFmtId="44" fontId="0" fillId="0" borderId="1" xfId="4" applyFont="1" applyBorder="1" applyAlignment="1">
      <alignment horizontal="right" vertical="center"/>
    </xf>
    <xf numFmtId="44" fontId="7" fillId="0" borderId="1" xfId="4" applyFont="1" applyFill="1" applyBorder="1" applyAlignment="1">
      <alignment horizontal="right" vertical="center" wrapText="1"/>
    </xf>
    <xf numFmtId="168" fontId="0" fillId="0" borderId="1" xfId="0" applyNumberFormat="1" applyBorder="1" applyAlignment="1">
      <alignment horizontal="right" vertical="center"/>
    </xf>
    <xf numFmtId="0" fontId="7" fillId="0" borderId="1" xfId="0" applyFont="1" applyFill="1" applyBorder="1" applyAlignment="1">
      <alignment horizontal="center"/>
    </xf>
    <xf numFmtId="0" fontId="0" fillId="0" borderId="1" xfId="0" applyFont="1" applyFill="1" applyBorder="1" applyAlignment="1">
      <alignment horizontal="center"/>
    </xf>
    <xf numFmtId="44" fontId="7" fillId="8" borderId="1" xfId="4" applyFont="1" applyFill="1" applyBorder="1" applyAlignment="1">
      <alignment horizontal="left" vertical="center" wrapText="1"/>
    </xf>
    <xf numFmtId="11" fontId="0" fillId="0" borderId="186" xfId="0" applyNumberFormat="1" applyFont="1" applyFill="1" applyBorder="1" applyAlignment="1">
      <alignment vertical="center"/>
    </xf>
    <xf numFmtId="168" fontId="0" fillId="0" borderId="0" xfId="0" applyNumberFormat="1" applyFill="1" applyBorder="1" applyAlignment="1">
      <alignment horizontal="center" vertical="center"/>
    </xf>
    <xf numFmtId="0" fontId="0" fillId="0" borderId="0" xfId="0"/>
    <xf numFmtId="0" fontId="0" fillId="0" borderId="1" xfId="0" applyBorder="1"/>
    <xf numFmtId="0" fontId="0" fillId="0" borderId="0" xfId="0"/>
    <xf numFmtId="0" fontId="59" fillId="31" borderId="1" xfId="1" applyFont="1" applyFill="1" applyBorder="1" applyAlignment="1">
      <alignment horizontal="center" vertical="center"/>
    </xf>
    <xf numFmtId="0" fontId="0" fillId="0" borderId="156" xfId="0" applyFont="1" applyFill="1" applyBorder="1" applyAlignment="1">
      <alignment vertical="center" wrapText="1"/>
    </xf>
    <xf numFmtId="0" fontId="0" fillId="0" borderId="23" xfId="0" applyBorder="1" applyAlignment="1">
      <alignment horizontal="center" wrapText="1"/>
    </xf>
    <xf numFmtId="0" fontId="0" fillId="0" borderId="23" xfId="0" applyBorder="1" applyAlignment="1">
      <alignment horizontal="center"/>
    </xf>
    <xf numFmtId="0" fontId="0" fillId="0" borderId="0" xfId="0"/>
    <xf numFmtId="0" fontId="0" fillId="0" borderId="1" xfId="0" applyBorder="1"/>
    <xf numFmtId="0" fontId="17" fillId="0" borderId="1" xfId="0" applyFont="1" applyBorder="1" applyAlignment="1">
      <alignment wrapText="1"/>
    </xf>
    <xf numFmtId="0" fontId="0" fillId="32" borderId="1" xfId="1" applyFont="1" applyFill="1" applyBorder="1" applyAlignment="1">
      <alignment horizontal="center" vertical="center"/>
    </xf>
    <xf numFmtId="0" fontId="0" fillId="0" borderId="30" xfId="0" applyBorder="1" applyAlignment="1">
      <alignment wrapText="1"/>
    </xf>
    <xf numFmtId="0" fontId="0" fillId="0" borderId="30" xfId="0" applyBorder="1" applyAlignment="1">
      <alignment vertical="center"/>
    </xf>
    <xf numFmtId="0" fontId="0" fillId="0" borderId="0" xfId="0" applyFont="1" applyFill="1" applyBorder="1" applyAlignment="1">
      <alignment vertical="center"/>
    </xf>
    <xf numFmtId="0" fontId="0" fillId="32" borderId="1" xfId="1" applyFont="1" applyFill="1" applyBorder="1" applyAlignment="1">
      <alignment horizontal="center" vertical="center" wrapText="1"/>
    </xf>
    <xf numFmtId="0" fontId="0" fillId="10" borderId="1" xfId="1" applyFont="1" applyFill="1" applyBorder="1" applyAlignment="1">
      <alignment horizontal="center" vertical="center" wrapText="1"/>
    </xf>
    <xf numFmtId="0" fontId="65" fillId="0" borderId="0" xfId="0" applyFont="1" applyAlignment="1">
      <alignment vertical="center"/>
    </xf>
    <xf numFmtId="0" fontId="0" fillId="0" borderId="0" xfId="0"/>
    <xf numFmtId="0" fontId="17" fillId="0" borderId="1" xfId="0" applyFont="1" applyBorder="1"/>
    <xf numFmtId="167" fontId="0" fillId="0" borderId="0" xfId="0" applyNumberFormat="1" applyFill="1" applyBorder="1" applyAlignment="1">
      <alignment horizontal="center" vertical="center"/>
    </xf>
    <xf numFmtId="0" fontId="0" fillId="36" borderId="1" xfId="0" applyFont="1" applyFill="1" applyBorder="1" applyAlignment="1">
      <alignment horizontal="center" vertical="center" wrapText="1"/>
    </xf>
    <xf numFmtId="0" fontId="0" fillId="8" borderId="1" xfId="0" applyFont="1" applyFill="1" applyBorder="1" applyAlignment="1">
      <alignment horizontal="center" vertical="center"/>
    </xf>
    <xf numFmtId="0" fontId="7" fillId="8" borderId="1" xfId="0" applyFont="1" applyFill="1" applyBorder="1" applyAlignment="1">
      <alignment horizontal="center" vertical="center"/>
    </xf>
    <xf numFmtId="0" fontId="0" fillId="0" borderId="1" xfId="0" applyBorder="1"/>
    <xf numFmtId="0" fontId="0" fillId="11" borderId="1" xfId="1" applyFont="1" applyFill="1" applyBorder="1" applyAlignment="1">
      <alignment horizontal="center" vertical="center"/>
    </xf>
    <xf numFmtId="0" fontId="0" fillId="0" borderId="0" xfId="0" applyBorder="1"/>
    <xf numFmtId="0" fontId="0" fillId="0" borderId="30" xfId="0" applyFont="1" applyFill="1" applyBorder="1" applyAlignment="1">
      <alignment vertical="center" wrapText="1"/>
    </xf>
    <xf numFmtId="0" fontId="7" fillId="8" borderId="30" xfId="0" applyFont="1" applyFill="1" applyBorder="1" applyAlignment="1">
      <alignment horizontal="center" vertical="center" wrapText="1"/>
    </xf>
    <xf numFmtId="44" fontId="0" fillId="0" borderId="30" xfId="4" applyFont="1" applyBorder="1" applyAlignment="1">
      <alignment horizontal="center" vertical="center"/>
    </xf>
    <xf numFmtId="168" fontId="0" fillId="0" borderId="30" xfId="0" applyNumberFormat="1" applyBorder="1" applyAlignment="1">
      <alignment horizontal="center" vertical="center"/>
    </xf>
    <xf numFmtId="0" fontId="0" fillId="8" borderId="1" xfId="0" applyFill="1" applyBorder="1" applyAlignment="1">
      <alignment wrapText="1"/>
    </xf>
    <xf numFmtId="0" fontId="0" fillId="8" borderId="16" xfId="0" applyFill="1" applyBorder="1" applyAlignment="1">
      <alignment wrapText="1"/>
    </xf>
    <xf numFmtId="0" fontId="7" fillId="0" borderId="22" xfId="0" applyFont="1" applyFill="1" applyBorder="1" applyAlignment="1">
      <alignment vertical="center" wrapText="1"/>
    </xf>
    <xf numFmtId="11" fontId="0" fillId="0" borderId="22" xfId="0" applyNumberFormat="1" applyFont="1" applyFill="1" applyBorder="1" applyAlignment="1">
      <alignment vertical="center" wrapText="1"/>
    </xf>
    <xf numFmtId="0" fontId="7" fillId="8" borderId="22" xfId="0" applyFont="1" applyFill="1" applyBorder="1" applyAlignment="1">
      <alignment vertical="center" wrapText="1"/>
    </xf>
    <xf numFmtId="11" fontId="0" fillId="8" borderId="186" xfId="0" applyNumberFormat="1" applyFont="1" applyFill="1" applyBorder="1" applyAlignment="1">
      <alignment vertical="center" wrapText="1"/>
    </xf>
    <xf numFmtId="6" fontId="66" fillId="0" borderId="0" xfId="0" applyNumberFormat="1" applyFont="1" applyBorder="1" applyAlignment="1">
      <alignment horizontal="left" vertical="center" wrapText="1" readingOrder="1"/>
    </xf>
    <xf numFmtId="6" fontId="0" fillId="0" borderId="0" xfId="0" applyNumberFormat="1" applyBorder="1"/>
    <xf numFmtId="0" fontId="0" fillId="0" borderId="1" xfId="0" applyBorder="1" applyAlignment="1">
      <alignment horizontal="center" vertical="center"/>
    </xf>
    <xf numFmtId="0" fontId="0" fillId="0" borderId="23" xfId="0" applyBorder="1" applyAlignment="1">
      <alignment horizontal="center" wrapText="1"/>
    </xf>
    <xf numFmtId="0" fontId="0" fillId="0" borderId="0" xfId="0" applyAlignment="1">
      <alignment horizontal="center"/>
    </xf>
    <xf numFmtId="0" fontId="0" fillId="0" borderId="0" xfId="0" applyFont="1" applyAlignment="1"/>
    <xf numFmtId="0" fontId="0" fillId="0" borderId="0" xfId="0"/>
    <xf numFmtId="0" fontId="41" fillId="21" borderId="71" xfId="0" applyFont="1" applyFill="1" applyBorder="1" applyAlignment="1">
      <alignment horizontal="center"/>
    </xf>
    <xf numFmtId="0" fontId="0" fillId="0" borderId="1" xfId="0" applyBorder="1"/>
    <xf numFmtId="11" fontId="0" fillId="0" borderId="1" xfId="0" applyNumberFormat="1" applyFont="1" applyFill="1" applyBorder="1" applyAlignment="1">
      <alignment vertical="center" wrapText="1"/>
    </xf>
    <xf numFmtId="11" fontId="7" fillId="0" borderId="17" xfId="0" applyNumberFormat="1" applyFont="1" applyFill="1" applyBorder="1" applyAlignment="1">
      <alignment vertical="center" wrapText="1"/>
    </xf>
    <xf numFmtId="0" fontId="7" fillId="0" borderId="17" xfId="0" applyFont="1" applyFill="1" applyBorder="1" applyAlignment="1">
      <alignment vertical="center" wrapText="1"/>
    </xf>
    <xf numFmtId="0" fontId="0" fillId="8" borderId="17" xfId="0" applyFont="1" applyFill="1" applyBorder="1" applyAlignment="1">
      <alignment vertical="center" wrapText="1"/>
    </xf>
    <xf numFmtId="11" fontId="0" fillId="0" borderId="17" xfId="0" applyNumberFormat="1" applyFont="1" applyFill="1" applyBorder="1" applyAlignment="1">
      <alignment vertical="center" wrapText="1"/>
    </xf>
    <xf numFmtId="11" fontId="0" fillId="0" borderId="0" xfId="0" applyNumberFormat="1" applyFont="1" applyFill="1" applyBorder="1" applyAlignment="1">
      <alignment vertical="center" wrapText="1"/>
    </xf>
    <xf numFmtId="11" fontId="7" fillId="0" borderId="32" xfId="0" applyNumberFormat="1" applyFont="1" applyFill="1" applyBorder="1" applyAlignment="1">
      <alignment vertical="center" wrapText="1"/>
    </xf>
    <xf numFmtId="11" fontId="7" fillId="8" borderId="32" xfId="0" applyNumberFormat="1" applyFont="1" applyFill="1" applyBorder="1" applyAlignment="1">
      <alignment vertical="center" wrapText="1"/>
    </xf>
    <xf numFmtId="0" fontId="31" fillId="0" borderId="65" xfId="0" applyFont="1" applyBorder="1"/>
    <xf numFmtId="0" fontId="7" fillId="8" borderId="188" xfId="0" applyFont="1" applyFill="1" applyBorder="1" applyAlignment="1">
      <alignment horizontal="center" vertical="center"/>
    </xf>
    <xf numFmtId="0" fontId="7" fillId="8" borderId="187" xfId="0" applyFont="1" applyFill="1" applyBorder="1" applyAlignment="1">
      <alignment horizontal="center" vertical="center"/>
    </xf>
    <xf numFmtId="0" fontId="7" fillId="0" borderId="30" xfId="0" applyFont="1" applyFill="1" applyBorder="1" applyAlignment="1">
      <alignment horizontal="center" vertical="center" wrapText="1"/>
    </xf>
    <xf numFmtId="0" fontId="7" fillId="0" borderId="23" xfId="0" applyFont="1" applyFill="1" applyBorder="1" applyAlignment="1">
      <alignment horizontal="center" vertical="center" wrapText="1"/>
    </xf>
    <xf numFmtId="11" fontId="0" fillId="0" borderId="30" xfId="0" applyNumberFormat="1" applyFont="1" applyFill="1" applyBorder="1" applyAlignment="1">
      <alignment horizontal="center" vertical="center"/>
    </xf>
    <xf numFmtId="11" fontId="0" fillId="0" borderId="187" xfId="0" applyNumberFormat="1" applyFont="1" applyFill="1" applyBorder="1" applyAlignment="1">
      <alignment horizontal="center" vertical="center"/>
    </xf>
    <xf numFmtId="11" fontId="7" fillId="0" borderId="30" xfId="0" applyNumberFormat="1" applyFont="1" applyFill="1" applyBorder="1" applyAlignment="1">
      <alignment horizontal="center" vertical="center" wrapText="1"/>
    </xf>
    <xf numFmtId="11" fontId="7" fillId="0" borderId="23" xfId="0" applyNumberFormat="1" applyFont="1" applyFill="1" applyBorder="1" applyAlignment="1">
      <alignment horizontal="center" vertical="center" wrapText="1"/>
    </xf>
    <xf numFmtId="11" fontId="7" fillId="0" borderId="31" xfId="0" applyNumberFormat="1" applyFont="1" applyFill="1" applyBorder="1" applyAlignment="1">
      <alignment horizontal="center" vertical="center" wrapText="1"/>
    </xf>
    <xf numFmtId="0" fontId="0"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7" fillId="8" borderId="1" xfId="0" applyFont="1" applyFill="1" applyBorder="1" applyAlignment="1">
      <alignment horizontal="center" vertical="center" wrapText="1"/>
    </xf>
    <xf numFmtId="0" fontId="42" fillId="38" borderId="65" xfId="0" applyFont="1" applyFill="1" applyBorder="1"/>
    <xf numFmtId="0" fontId="42" fillId="38" borderId="1" xfId="0" applyFont="1" applyFill="1" applyBorder="1"/>
    <xf numFmtId="0" fontId="0" fillId="38" borderId="0" xfId="0" applyFill="1"/>
    <xf numFmtId="0" fontId="42" fillId="38" borderId="83" xfId="2" applyFont="1" applyFill="1" applyBorder="1"/>
    <xf numFmtId="0" fontId="42" fillId="38" borderId="65" xfId="2" applyFont="1" applyFill="1" applyBorder="1"/>
    <xf numFmtId="0" fontId="28" fillId="38" borderId="65" xfId="0" applyFont="1" applyFill="1" applyBorder="1"/>
    <xf numFmtId="0" fontId="70" fillId="0" borderId="69" xfId="9" applyFont="1" applyBorder="1" applyAlignment="1">
      <alignment horizontal="left" vertical="center" wrapText="1"/>
    </xf>
    <xf numFmtId="0" fontId="42" fillId="38" borderId="83" xfId="0" applyFont="1" applyFill="1" applyBorder="1"/>
    <xf numFmtId="0" fontId="49" fillId="39" borderId="83" xfId="0" applyFont="1" applyFill="1" applyBorder="1" applyAlignment="1">
      <alignment vertical="center"/>
    </xf>
    <xf numFmtId="166" fontId="42" fillId="38" borderId="65" xfId="4" applyNumberFormat="1" applyFont="1" applyFill="1" applyBorder="1"/>
    <xf numFmtId="0" fontId="42" fillId="38" borderId="74" xfId="0" applyFont="1" applyFill="1" applyBorder="1"/>
    <xf numFmtId="0" fontId="28" fillId="38" borderId="74" xfId="0" applyFont="1" applyFill="1" applyBorder="1"/>
    <xf numFmtId="0" fontId="0" fillId="0" borderId="0" xfId="0" applyFont="1" applyAlignment="1"/>
    <xf numFmtId="0" fontId="0" fillId="0" borderId="0" xfId="0"/>
    <xf numFmtId="0" fontId="0" fillId="17" borderId="1" xfId="0" applyFill="1" applyBorder="1" applyAlignment="1">
      <alignment horizontal="center" vertical="center"/>
    </xf>
    <xf numFmtId="0" fontId="59" fillId="10" borderId="1" xfId="1" applyFont="1" applyFill="1" applyBorder="1" applyAlignment="1">
      <alignment horizontal="center" vertical="center" wrapText="1"/>
    </xf>
    <xf numFmtId="0" fontId="8" fillId="32" borderId="1" xfId="1" applyFill="1" applyBorder="1" applyAlignment="1">
      <alignment horizontal="center" vertical="center"/>
    </xf>
    <xf numFmtId="0" fontId="70" fillId="0" borderId="61" xfId="0" applyFont="1" applyBorder="1" applyAlignment="1">
      <alignment horizontal="center" vertical="center"/>
    </xf>
    <xf numFmtId="0" fontId="70" fillId="0" borderId="161" xfId="0" applyFont="1" applyBorder="1" applyAlignment="1">
      <alignment horizontal="center" vertical="center"/>
    </xf>
    <xf numFmtId="0" fontId="70" fillId="0" borderId="161" xfId="0" applyFont="1" applyBorder="1" applyAlignment="1">
      <alignment horizontal="center"/>
    </xf>
    <xf numFmtId="0" fontId="70" fillId="0" borderId="162" xfId="0" applyFont="1" applyBorder="1" applyAlignment="1">
      <alignment horizontal="center"/>
    </xf>
    <xf numFmtId="0" fontId="70" fillId="0" borderId="80" xfId="0" applyFont="1" applyBorder="1" applyAlignment="1">
      <alignment horizontal="center"/>
    </xf>
    <xf numFmtId="0" fontId="70" fillId="0" borderId="65" xfId="0" applyFont="1" applyBorder="1" applyAlignment="1">
      <alignment horizontal="center"/>
    </xf>
    <xf numFmtId="0" fontId="70" fillId="0" borderId="163" xfId="0" applyFont="1" applyBorder="1" applyAlignment="1">
      <alignment horizontal="center"/>
    </xf>
    <xf numFmtId="0" fontId="70" fillId="0" borderId="83" xfId="0" applyFont="1" applyBorder="1" applyAlignment="1">
      <alignment horizontal="center"/>
    </xf>
    <xf numFmtId="0" fontId="70" fillId="0" borderId="0" xfId="0" applyFont="1" applyBorder="1" applyAlignment="1">
      <alignment horizontal="center"/>
    </xf>
    <xf numFmtId="0" fontId="70" fillId="0" borderId="83" xfId="0" applyFont="1" applyBorder="1"/>
    <xf numFmtId="0" fontId="70" fillId="0" borderId="65" xfId="0" applyFont="1" applyBorder="1"/>
    <xf numFmtId="0" fontId="70" fillId="0" borderId="163" xfId="0" applyFont="1" applyBorder="1"/>
    <xf numFmtId="0" fontId="70" fillId="0" borderId="67" xfId="0" applyFont="1" applyBorder="1"/>
    <xf numFmtId="0" fontId="70" fillId="0" borderId="164" xfId="0" applyFont="1" applyBorder="1"/>
    <xf numFmtId="0" fontId="70" fillId="0" borderId="165" xfId="0" applyFont="1" applyBorder="1"/>
    <xf numFmtId="0" fontId="71" fillId="33" borderId="65" xfId="0" applyFont="1" applyFill="1" applyBorder="1" applyAlignment="1">
      <alignment horizontal="center" vertical="center" wrapText="1"/>
    </xf>
    <xf numFmtId="0" fontId="70" fillId="23" borderId="65" xfId="0" applyFont="1" applyFill="1" applyBorder="1"/>
    <xf numFmtId="0" fontId="67" fillId="0" borderId="65" xfId="0" applyFont="1" applyBorder="1" applyAlignment="1">
      <alignment horizontal="center"/>
    </xf>
    <xf numFmtId="0" fontId="70" fillId="0" borderId="65" xfId="0" applyFont="1" applyBorder="1" applyAlignment="1">
      <alignment horizontal="center" vertical="top" wrapText="1"/>
    </xf>
    <xf numFmtId="0" fontId="70" fillId="0" borderId="61" xfId="0" applyFont="1" applyBorder="1" applyAlignment="1">
      <alignment horizontal="left" vertical="center"/>
    </xf>
    <xf numFmtId="0" fontId="70" fillId="0" borderId="161" xfId="0" applyFont="1" applyBorder="1" applyAlignment="1">
      <alignment horizontal="left" vertical="center"/>
    </xf>
    <xf numFmtId="0" fontId="70" fillId="0" borderId="161" xfId="0" applyFont="1" applyBorder="1"/>
    <xf numFmtId="0" fontId="70" fillId="0" borderId="170" xfId="0" applyFont="1" applyBorder="1"/>
    <xf numFmtId="0" fontId="70" fillId="0" borderId="80" xfId="0" applyFont="1" applyBorder="1"/>
    <xf numFmtId="0" fontId="70" fillId="0" borderId="171" xfId="0" applyFont="1" applyBorder="1"/>
    <xf numFmtId="0" fontId="70" fillId="0" borderId="110" xfId="0" applyFont="1" applyBorder="1"/>
    <xf numFmtId="0" fontId="70" fillId="0" borderId="172" xfId="0" applyFont="1" applyBorder="1"/>
    <xf numFmtId="0" fontId="70" fillId="0" borderId="173" xfId="0" applyFont="1" applyBorder="1"/>
    <xf numFmtId="0" fontId="70" fillId="23" borderId="65" xfId="0" applyFont="1" applyFill="1" applyBorder="1" applyAlignment="1"/>
    <xf numFmtId="0" fontId="67" fillId="0" borderId="65" xfId="0" applyFont="1" applyBorder="1"/>
    <xf numFmtId="0" fontId="70" fillId="0" borderId="162" xfId="0" applyFont="1" applyBorder="1"/>
    <xf numFmtId="0" fontId="70" fillId="0" borderId="65" xfId="0" applyFont="1" applyBorder="1" applyAlignment="1">
      <alignment horizontal="center" vertical="center"/>
    </xf>
    <xf numFmtId="0" fontId="70" fillId="0" borderId="67" xfId="0" applyFont="1" applyBorder="1" applyAlignment="1">
      <alignment horizontal="center"/>
    </xf>
    <xf numFmtId="0" fontId="70" fillId="0" borderId="164" xfId="0" applyFont="1" applyBorder="1" applyAlignment="1">
      <alignment horizontal="center"/>
    </xf>
    <xf numFmtId="0" fontId="28" fillId="0" borderId="65" xfId="0" applyFont="1" applyBorder="1" applyAlignment="1">
      <alignment horizontal="center" vertical="center" wrapText="1"/>
    </xf>
    <xf numFmtId="0" fontId="0" fillId="0" borderId="65" xfId="0" applyFont="1" applyBorder="1"/>
    <xf numFmtId="0" fontId="70" fillId="0" borderId="83" xfId="0" applyFont="1" applyBorder="1" applyAlignment="1">
      <alignment horizontal="center" vertical="center"/>
    </xf>
    <xf numFmtId="0" fontId="70" fillId="0" borderId="83" xfId="0" applyFont="1" applyFill="1" applyBorder="1" applyAlignment="1">
      <alignment horizontal="center" vertical="center"/>
    </xf>
    <xf numFmtId="0" fontId="70" fillId="0" borderId="65" xfId="0" applyFont="1" applyFill="1" applyBorder="1" applyAlignment="1">
      <alignment horizontal="center" vertical="center"/>
    </xf>
    <xf numFmtId="0" fontId="70" fillId="0" borderId="67" xfId="0" applyFont="1" applyBorder="1" applyAlignment="1">
      <alignment horizontal="center" vertical="center"/>
    </xf>
    <xf numFmtId="0" fontId="70" fillId="0" borderId="164" xfId="0" applyFont="1" applyBorder="1" applyAlignment="1">
      <alignment horizontal="center" vertical="center"/>
    </xf>
    <xf numFmtId="0" fontId="70" fillId="0" borderId="65" xfId="0" applyFont="1" applyBorder="1" applyAlignment="1">
      <alignment vertical="center"/>
    </xf>
    <xf numFmtId="0" fontId="67" fillId="0" borderId="1" xfId="9" applyFont="1" applyBorder="1" applyAlignment="1"/>
    <xf numFmtId="0" fontId="70" fillId="0" borderId="1" xfId="9" applyFont="1" applyBorder="1"/>
    <xf numFmtId="0" fontId="28" fillId="0" borderId="1" xfId="9" applyFont="1" applyBorder="1"/>
    <xf numFmtId="0" fontId="70" fillId="0" borderId="2" xfId="9" applyFont="1" applyBorder="1" applyAlignment="1">
      <alignment horizontal="left" vertical="center"/>
    </xf>
    <xf numFmtId="0" fontId="70" fillId="0" borderId="25" xfId="9" applyFont="1" applyBorder="1" applyAlignment="1">
      <alignment horizontal="left" vertical="center"/>
    </xf>
    <xf numFmtId="0" fontId="70" fillId="0" borderId="3" xfId="9" applyFont="1" applyBorder="1" applyAlignment="1">
      <alignment horizontal="left" vertical="center"/>
    </xf>
    <xf numFmtId="0" fontId="70" fillId="0" borderId="44" xfId="9" applyFont="1" applyBorder="1"/>
    <xf numFmtId="0" fontId="70" fillId="0" borderId="43" xfId="9" applyFont="1" applyBorder="1"/>
    <xf numFmtId="0" fontId="67" fillId="0" borderId="44" xfId="9" applyFont="1" applyBorder="1" applyAlignment="1"/>
    <xf numFmtId="0" fontId="67" fillId="0" borderId="43" xfId="9" applyFont="1" applyBorder="1" applyAlignment="1"/>
    <xf numFmtId="0" fontId="28" fillId="0" borderId="44" xfId="9" applyFont="1" applyBorder="1"/>
    <xf numFmtId="0" fontId="70" fillId="0" borderId="2" xfId="9" applyFont="1" applyBorder="1"/>
    <xf numFmtId="0" fontId="70" fillId="0" borderId="3" xfId="9" applyFont="1" applyBorder="1"/>
    <xf numFmtId="0" fontId="0" fillId="0" borderId="0" xfId="0" applyBorder="1" applyAlignment="1">
      <alignment wrapText="1"/>
    </xf>
    <xf numFmtId="0" fontId="0" fillId="0" borderId="199" xfId="0" applyBorder="1" applyAlignment="1">
      <alignment vertical="center" wrapText="1"/>
    </xf>
    <xf numFmtId="0" fontId="0" fillId="0" borderId="192" xfId="0" applyBorder="1" applyAlignment="1">
      <alignment wrapText="1"/>
    </xf>
    <xf numFmtId="0" fontId="0" fillId="30" borderId="192" xfId="0" applyFill="1" applyBorder="1" applyAlignment="1">
      <alignment horizontal="center" vertical="center" wrapText="1"/>
    </xf>
    <xf numFmtId="0" fontId="0" fillId="0" borderId="200" xfId="0" applyBorder="1" applyAlignment="1">
      <alignment wrapText="1"/>
    </xf>
    <xf numFmtId="0" fontId="23" fillId="0" borderId="192" xfId="0" applyFont="1" applyBorder="1" applyAlignment="1">
      <alignment horizontal="center" wrapText="1"/>
    </xf>
    <xf numFmtId="0" fontId="23" fillId="0" borderId="192" xfId="0" applyFont="1" applyBorder="1" applyAlignment="1">
      <alignment horizontal="center" vertical="center" wrapText="1"/>
    </xf>
    <xf numFmtId="0" fontId="23" fillId="0" borderId="189" xfId="0" applyFont="1" applyBorder="1" applyAlignment="1">
      <alignment horizontal="center" wrapText="1"/>
    </xf>
    <xf numFmtId="0" fontId="0" fillId="0" borderId="201" xfId="0" applyBorder="1" applyAlignment="1">
      <alignment wrapText="1"/>
    </xf>
    <xf numFmtId="0" fontId="28" fillId="0" borderId="139" xfId="0" applyFont="1" applyBorder="1"/>
    <xf numFmtId="0" fontId="42" fillId="0" borderId="83" xfId="2" applyFont="1" applyFill="1" applyBorder="1"/>
    <xf numFmtId="0" fontId="42" fillId="0" borderId="65" xfId="2" applyFont="1" applyFill="1" applyBorder="1"/>
    <xf numFmtId="0" fontId="49" fillId="28" borderId="77" xfId="0" applyFont="1" applyFill="1" applyBorder="1" applyAlignment="1">
      <alignment vertical="center"/>
    </xf>
    <xf numFmtId="0" fontId="49" fillId="28" borderId="87" xfId="0" applyFont="1" applyFill="1" applyBorder="1" applyAlignment="1">
      <alignment vertical="center"/>
    </xf>
    <xf numFmtId="0" fontId="49" fillId="28" borderId="1" xfId="0" applyFont="1" applyFill="1" applyBorder="1" applyAlignment="1">
      <alignment vertical="center" wrapText="1"/>
    </xf>
    <xf numFmtId="0" fontId="42" fillId="0" borderId="83" xfId="0" applyFont="1" applyBorder="1" applyAlignment="1"/>
    <xf numFmtId="0" fontId="0" fillId="0" borderId="0" xfId="0"/>
    <xf numFmtId="0" fontId="0" fillId="0" borderId="1" xfId="0" applyBorder="1" applyAlignment="1">
      <alignment horizontal="center" vertical="center" wrapText="1"/>
    </xf>
    <xf numFmtId="11" fontId="7" fillId="8" borderId="30" xfId="0" applyNumberFormat="1" applyFont="1" applyFill="1" applyBorder="1" applyAlignment="1">
      <alignment horizontal="center" vertical="center" wrapText="1"/>
    </xf>
    <xf numFmtId="11" fontId="7" fillId="8" borderId="23" xfId="0" applyNumberFormat="1" applyFont="1" applyFill="1" applyBorder="1" applyAlignment="1">
      <alignment horizontal="center" vertical="center" wrapText="1"/>
    </xf>
    <xf numFmtId="0" fontId="0" fillId="0" borderId="0" xfId="0"/>
    <xf numFmtId="11" fontId="0" fillId="8" borderId="1" xfId="0" applyNumberFormat="1" applyFont="1" applyFill="1" applyBorder="1" applyAlignment="1">
      <alignment vertical="center" wrapText="1"/>
    </xf>
    <xf numFmtId="0" fontId="34" fillId="41" borderId="65" xfId="0" applyFont="1" applyFill="1" applyBorder="1" applyAlignment="1">
      <alignment horizontal="center" vertical="center" wrapText="1"/>
    </xf>
    <xf numFmtId="0" fontId="74" fillId="0" borderId="65" xfId="0" applyFont="1" applyBorder="1" applyAlignment="1">
      <alignment horizontal="center" vertical="center"/>
    </xf>
    <xf numFmtId="0" fontId="17" fillId="0" borderId="1" xfId="0" applyFont="1" applyBorder="1" applyAlignment="1">
      <alignment horizontal="center" vertical="center" wrapText="1"/>
    </xf>
    <xf numFmtId="0" fontId="17" fillId="0" borderId="1" xfId="0" applyFont="1" applyBorder="1" applyAlignment="1">
      <alignment horizontal="center" vertical="center"/>
    </xf>
    <xf numFmtId="0" fontId="7" fillId="0" borderId="65" xfId="0" applyFont="1" applyBorder="1" applyAlignment="1">
      <alignment wrapText="1"/>
    </xf>
    <xf numFmtId="0" fontId="74" fillId="0" borderId="65" xfId="0" applyFont="1" applyBorder="1"/>
    <xf numFmtId="0" fontId="23" fillId="0" borderId="0" xfId="0" applyFont="1" applyFill="1" applyAlignment="1">
      <alignment vertical="center"/>
    </xf>
    <xf numFmtId="0" fontId="0" fillId="0" borderId="0" xfId="0" applyFill="1" applyAlignment="1">
      <alignment vertical="center"/>
    </xf>
    <xf numFmtId="0" fontId="7" fillId="0" borderId="44" xfId="1" applyFont="1" applyFill="1" applyBorder="1" applyAlignment="1">
      <alignment vertical="center"/>
    </xf>
    <xf numFmtId="0" fontId="7" fillId="0" borderId="1" xfId="0" applyFont="1" applyBorder="1" applyAlignment="1">
      <alignment horizontal="center" vertical="center" wrapText="1"/>
    </xf>
    <xf numFmtId="0" fontId="7" fillId="0" borderId="76" xfId="0" quotePrefix="1" applyFont="1" applyBorder="1" applyAlignment="1">
      <alignment horizontal="left" vertical="center" wrapText="1"/>
    </xf>
    <xf numFmtId="0" fontId="7" fillId="0" borderId="65" xfId="0" applyFont="1" applyBorder="1" applyAlignment="1">
      <alignment horizontal="center" vertical="center"/>
    </xf>
    <xf numFmtId="0" fontId="7" fillId="0" borderId="65" xfId="0" applyFont="1" applyBorder="1" applyAlignment="1">
      <alignment horizontal="center" vertical="center" wrapText="1"/>
    </xf>
    <xf numFmtId="0" fontId="34" fillId="41" borderId="65" xfId="11" applyFont="1" applyFill="1" applyBorder="1" applyAlignment="1">
      <alignment horizontal="center" vertical="center" wrapText="1"/>
    </xf>
    <xf numFmtId="0" fontId="7" fillId="0" borderId="65" xfId="11" applyFont="1" applyBorder="1" applyAlignment="1">
      <alignment horizontal="center" vertical="center"/>
    </xf>
    <xf numFmtId="0" fontId="7" fillId="0" borderId="65" xfId="11" applyFont="1" applyBorder="1" applyAlignment="1">
      <alignment horizontal="center" vertical="center" wrapText="1"/>
    </xf>
    <xf numFmtId="0" fontId="7" fillId="0" borderId="76" xfId="11" quotePrefix="1" applyFont="1" applyBorder="1" applyAlignment="1">
      <alignment horizontal="left" vertical="center" wrapText="1"/>
    </xf>
    <xf numFmtId="0" fontId="34" fillId="41" borderId="73" xfId="11" applyFont="1" applyFill="1" applyBorder="1" applyAlignment="1">
      <alignment horizontal="center" vertical="center" wrapText="1"/>
    </xf>
    <xf numFmtId="0" fontId="7" fillId="0" borderId="1" xfId="11" applyFont="1" applyBorder="1" applyAlignment="1">
      <alignment horizontal="center" vertical="center" wrapText="1"/>
    </xf>
    <xf numFmtId="0" fontId="7" fillId="0" borderId="65" xfId="11" applyFont="1" applyBorder="1"/>
    <xf numFmtId="0" fontId="34" fillId="41" borderId="65" xfId="11" applyFont="1" applyFill="1" applyBorder="1" applyAlignment="1">
      <alignment horizontal="center" vertical="center" wrapText="1"/>
    </xf>
    <xf numFmtId="0" fontId="7" fillId="0" borderId="65" xfId="11" applyFont="1" applyBorder="1" applyAlignment="1">
      <alignment wrapText="1"/>
    </xf>
    <xf numFmtId="0" fontId="7" fillId="0" borderId="65" xfId="11" applyFont="1" applyBorder="1"/>
    <xf numFmtId="0" fontId="34" fillId="41" borderId="65" xfId="11" applyFont="1" applyFill="1" applyBorder="1" applyAlignment="1">
      <alignment horizontal="center" vertical="center" wrapText="1"/>
    </xf>
    <xf numFmtId="0" fontId="7" fillId="0" borderId="65" xfId="11" applyFont="1" applyBorder="1" applyAlignment="1">
      <alignment wrapText="1"/>
    </xf>
    <xf numFmtId="0" fontId="7" fillId="0" borderId="65" xfId="11" applyFont="1" applyBorder="1"/>
    <xf numFmtId="0" fontId="34" fillId="41" borderId="65" xfId="11" applyFont="1" applyFill="1" applyBorder="1" applyAlignment="1">
      <alignment horizontal="center" vertical="center" wrapText="1"/>
    </xf>
    <xf numFmtId="0" fontId="7" fillId="0" borderId="65" xfId="11" applyFont="1" applyBorder="1" applyAlignment="1">
      <alignment wrapText="1"/>
    </xf>
    <xf numFmtId="0" fontId="7" fillId="0" borderId="65" xfId="11" applyFont="1" applyBorder="1"/>
    <xf numFmtId="0" fontId="34" fillId="41" borderId="65" xfId="11" applyFont="1" applyFill="1" applyBorder="1" applyAlignment="1">
      <alignment horizontal="center" vertical="center" wrapText="1"/>
    </xf>
    <xf numFmtId="0" fontId="7" fillId="0" borderId="65" xfId="11" applyFont="1" applyBorder="1" applyAlignment="1">
      <alignment wrapText="1"/>
    </xf>
    <xf numFmtId="0" fontId="74" fillId="0" borderId="65" xfId="11" applyFont="1" applyBorder="1"/>
    <xf numFmtId="0" fontId="78" fillId="41" borderId="65" xfId="11" applyFont="1" applyFill="1" applyBorder="1" applyAlignment="1">
      <alignment horizontal="center" vertical="center" wrapText="1"/>
    </xf>
    <xf numFmtId="0" fontId="7" fillId="0" borderId="65" xfId="11" applyFont="1" applyBorder="1"/>
    <xf numFmtId="0" fontId="13" fillId="0" borderId="0" xfId="11" applyFont="1"/>
    <xf numFmtId="0" fontId="7" fillId="0" borderId="65" xfId="11" applyFont="1" applyBorder="1" applyAlignment="1">
      <alignment wrapText="1"/>
    </xf>
    <xf numFmtId="0" fontId="13" fillId="0" borderId="0" xfId="11" applyFont="1" applyAlignment="1">
      <alignment wrapText="1"/>
    </xf>
    <xf numFmtId="0" fontId="74" fillId="0" borderId="65" xfId="11" applyFont="1" applyBorder="1" applyAlignment="1">
      <alignment wrapText="1"/>
    </xf>
    <xf numFmtId="0" fontId="79" fillId="0" borderId="0" xfId="11" applyFont="1" applyAlignment="1">
      <alignment wrapText="1"/>
    </xf>
    <xf numFmtId="0" fontId="7" fillId="0" borderId="65" xfId="11" applyFont="1" applyBorder="1"/>
    <xf numFmtId="0" fontId="34" fillId="41" borderId="65" xfId="11" applyFont="1" applyFill="1" applyBorder="1" applyAlignment="1">
      <alignment horizontal="center" vertical="center" wrapText="1"/>
    </xf>
    <xf numFmtId="0" fontId="17" fillId="0" borderId="0" xfId="3" applyFont="1" applyAlignment="1">
      <alignment wrapText="1"/>
    </xf>
    <xf numFmtId="0" fontId="7" fillId="0" borderId="65" xfId="11" applyFont="1" applyBorder="1" applyAlignment="1">
      <alignment wrapText="1"/>
    </xf>
    <xf numFmtId="0" fontId="7" fillId="0" borderId="65" xfId="11" applyFont="1" applyBorder="1"/>
    <xf numFmtId="0" fontId="34" fillId="41" borderId="65" xfId="11" applyFont="1" applyFill="1" applyBorder="1" applyAlignment="1">
      <alignment horizontal="center" vertical="center" wrapText="1"/>
    </xf>
    <xf numFmtId="0" fontId="17" fillId="0" borderId="0" xfId="6" applyFont="1" applyAlignment="1">
      <alignment wrapText="1"/>
    </xf>
    <xf numFmtId="0" fontId="7" fillId="0" borderId="65" xfId="11" applyFont="1" applyBorder="1" applyAlignment="1">
      <alignment wrapText="1"/>
    </xf>
    <xf numFmtId="0" fontId="7" fillId="0" borderId="65" xfId="11" applyFont="1" applyBorder="1"/>
    <xf numFmtId="0" fontId="34" fillId="41" borderId="65" xfId="11" applyFont="1" applyFill="1" applyBorder="1" applyAlignment="1">
      <alignment horizontal="center" vertical="center" wrapText="1"/>
    </xf>
    <xf numFmtId="0" fontId="17" fillId="0" borderId="0" xfId="3" applyFont="1" applyAlignment="1">
      <alignment wrapText="1"/>
    </xf>
    <xf numFmtId="0" fontId="7" fillId="0" borderId="65" xfId="11" applyFont="1" applyBorder="1" applyAlignment="1">
      <alignment wrapText="1"/>
    </xf>
    <xf numFmtId="0" fontId="74" fillId="0" borderId="65" xfId="11" applyFont="1" applyBorder="1"/>
    <xf numFmtId="0" fontId="78" fillId="41" borderId="65" xfId="11" applyFont="1" applyFill="1" applyBorder="1" applyAlignment="1">
      <alignment horizontal="center" vertical="center" wrapText="1"/>
    </xf>
    <xf numFmtId="0" fontId="7" fillId="0" borderId="65" xfId="11" applyFont="1" applyBorder="1" applyAlignment="1">
      <alignment horizontal="left" vertical="center" wrapText="1"/>
    </xf>
    <xf numFmtId="0" fontId="7" fillId="0" borderId="65" xfId="11" applyFont="1" applyBorder="1" applyAlignment="1">
      <alignment horizontal="center" vertical="center"/>
    </xf>
    <xf numFmtId="0" fontId="81" fillId="0" borderId="0" xfId="11" applyFont="1" applyAlignment="1">
      <alignment horizontal="center" vertical="center" wrapText="1"/>
    </xf>
    <xf numFmtId="0" fontId="7" fillId="0" borderId="65" xfId="11" applyFont="1" applyBorder="1" applyAlignment="1">
      <alignment horizontal="center" vertical="center" wrapText="1"/>
    </xf>
    <xf numFmtId="0" fontId="17" fillId="0" borderId="65" xfId="11" applyFont="1" applyBorder="1" applyAlignment="1">
      <alignment horizontal="center" vertical="center"/>
    </xf>
    <xf numFmtId="0" fontId="74" fillId="0" borderId="65" xfId="11" applyFont="1" applyBorder="1"/>
    <xf numFmtId="0" fontId="78" fillId="41" borderId="65" xfId="11" applyFont="1" applyFill="1" applyBorder="1" applyAlignment="1">
      <alignment horizontal="center" vertical="center" wrapText="1"/>
    </xf>
    <xf numFmtId="0" fontId="74" fillId="0" borderId="65" xfId="11" applyFont="1" applyBorder="1" applyAlignment="1">
      <alignment wrapText="1"/>
    </xf>
    <xf numFmtId="0" fontId="74" fillId="0" borderId="65" xfId="11" applyFont="1" applyBorder="1" applyAlignment="1">
      <alignment vertical="center" wrapText="1"/>
    </xf>
    <xf numFmtId="0" fontId="74" fillId="0" borderId="76" xfId="11" applyFont="1" applyBorder="1" applyAlignment="1">
      <alignment vertical="center"/>
    </xf>
    <xf numFmtId="0" fontId="78" fillId="41" borderId="73" xfId="11" applyFont="1" applyFill="1" applyBorder="1" applyAlignment="1">
      <alignment horizontal="center" vertical="center" wrapText="1"/>
    </xf>
    <xf numFmtId="0" fontId="7" fillId="0" borderId="1" xfId="11" applyFont="1" applyBorder="1" applyAlignment="1">
      <alignment horizontal="center" vertical="center"/>
    </xf>
    <xf numFmtId="0" fontId="7" fillId="0" borderId="74" xfId="11" applyFont="1" applyBorder="1" applyAlignment="1">
      <alignment vertical="center" wrapText="1"/>
    </xf>
    <xf numFmtId="0" fontId="74" fillId="0" borderId="65" xfId="11" applyFont="1" applyBorder="1" applyAlignment="1">
      <alignment horizontal="center" vertical="center"/>
    </xf>
    <xf numFmtId="0" fontId="74" fillId="0" borderId="1" xfId="11" applyBorder="1" applyAlignment="1">
      <alignment horizontal="center" vertical="center" wrapText="1"/>
    </xf>
    <xf numFmtId="0" fontId="7" fillId="0" borderId="65" xfId="11" applyFont="1" applyBorder="1"/>
    <xf numFmtId="0" fontId="74" fillId="0" borderId="65" xfId="11" applyFont="1" applyBorder="1"/>
    <xf numFmtId="0" fontId="78" fillId="41" borderId="65" xfId="11" applyFont="1" applyFill="1" applyBorder="1" applyAlignment="1">
      <alignment horizontal="center" vertical="center" wrapText="1"/>
    </xf>
    <xf numFmtId="0" fontId="7" fillId="0" borderId="65" xfId="11" applyFont="1" applyBorder="1"/>
    <xf numFmtId="0" fontId="23" fillId="0" borderId="0" xfId="0" applyFont="1" applyFill="1" applyAlignment="1">
      <alignment horizontal="center" vertical="center"/>
    </xf>
    <xf numFmtId="0" fontId="24" fillId="0" borderId="0" xfId="0" applyFont="1" applyFill="1" applyAlignment="1">
      <alignment horizontal="center" vertical="center"/>
    </xf>
    <xf numFmtId="0" fontId="78" fillId="41" borderId="65" xfId="11" applyFont="1" applyFill="1" applyBorder="1" applyAlignment="1">
      <alignment horizontal="center" vertical="center" wrapText="1"/>
    </xf>
    <xf numFmtId="0" fontId="74" fillId="0" borderId="1" xfId="11" applyBorder="1" applyAlignment="1">
      <alignment horizontal="center" vertical="center"/>
    </xf>
    <xf numFmtId="0" fontId="74" fillId="42" borderId="1" xfId="11" applyFill="1" applyBorder="1" applyAlignment="1">
      <alignment horizontal="center" vertical="center"/>
    </xf>
    <xf numFmtId="0" fontId="74" fillId="8" borderId="1" xfId="11" applyFill="1" applyBorder="1" applyAlignment="1">
      <alignment horizontal="center" vertical="center"/>
    </xf>
    <xf numFmtId="0" fontId="17" fillId="0" borderId="1" xfId="11" applyFont="1" applyBorder="1" applyAlignment="1">
      <alignment horizontal="center" vertical="center"/>
    </xf>
    <xf numFmtId="0" fontId="17" fillId="42" borderId="1" xfId="11" applyFont="1" applyFill="1" applyBorder="1" applyAlignment="1">
      <alignment horizontal="center" vertical="center"/>
    </xf>
    <xf numFmtId="0" fontId="78" fillId="41" borderId="65" xfId="11" applyFont="1" applyFill="1" applyBorder="1" applyAlignment="1">
      <alignment horizontal="center" vertical="center" wrapText="1"/>
    </xf>
    <xf numFmtId="0" fontId="7" fillId="0" borderId="65" xfId="11" applyFont="1" applyBorder="1" applyAlignment="1">
      <alignment horizontal="center" vertical="center"/>
    </xf>
    <xf numFmtId="0" fontId="74" fillId="0" borderId="65" xfId="11" applyFont="1" applyBorder="1" applyAlignment="1">
      <alignment horizontal="center" vertical="center"/>
    </xf>
    <xf numFmtId="0" fontId="7" fillId="0" borderId="65" xfId="11" applyFont="1" applyBorder="1" applyAlignment="1">
      <alignment horizontal="center" vertical="center" wrapText="1"/>
    </xf>
    <xf numFmtId="0" fontId="81" fillId="0" borderId="0" xfId="11" applyFont="1" applyAlignment="1">
      <alignment horizontal="center" vertical="center" wrapText="1"/>
    </xf>
    <xf numFmtId="0" fontId="7" fillId="0" borderId="65" xfId="11" applyFont="1" applyBorder="1" applyAlignment="1">
      <alignment horizontal="left" vertical="center" wrapText="1"/>
    </xf>
    <xf numFmtId="0" fontId="17" fillId="0" borderId="65" xfId="11" applyFont="1" applyFill="1" applyBorder="1" applyAlignment="1">
      <alignment horizontal="center" vertical="center"/>
    </xf>
    <xf numFmtId="0" fontId="17" fillId="0" borderId="65" xfId="11" applyFont="1" applyFill="1" applyBorder="1" applyAlignment="1">
      <alignment horizontal="center" vertical="center" wrapText="1"/>
    </xf>
    <xf numFmtId="0" fontId="78" fillId="41" borderId="65" xfId="11" applyFont="1" applyFill="1" applyBorder="1" applyAlignment="1">
      <alignment horizontal="center" vertical="center" wrapText="1"/>
    </xf>
    <xf numFmtId="0" fontId="7" fillId="0" borderId="65" xfId="6" applyFont="1" applyBorder="1" applyAlignment="1">
      <alignment vertical="center" wrapText="1"/>
    </xf>
    <xf numFmtId="0" fontId="7" fillId="0" borderId="73" xfId="6" applyFont="1" applyBorder="1" applyAlignment="1">
      <alignment vertical="center" wrapText="1"/>
    </xf>
    <xf numFmtId="0" fontId="7" fillId="0" borderId="65" xfId="6" applyFont="1" applyBorder="1" applyAlignment="1">
      <alignment horizontal="center" vertical="center" wrapText="1"/>
    </xf>
    <xf numFmtId="0" fontId="7" fillId="0" borderId="65" xfId="6" applyFont="1" applyBorder="1" applyAlignment="1">
      <alignment horizontal="center" vertical="center"/>
    </xf>
    <xf numFmtId="0" fontId="74" fillId="0" borderId="65" xfId="11" applyFont="1" applyBorder="1" applyAlignment="1">
      <alignment horizontal="center" vertical="center"/>
    </xf>
    <xf numFmtId="0" fontId="7" fillId="0" borderId="73" xfId="6" applyFont="1" applyBorder="1" applyAlignment="1">
      <alignment horizontal="center" vertical="center" wrapText="1"/>
    </xf>
    <xf numFmtId="0" fontId="7" fillId="0" borderId="73" xfId="6" applyFont="1" applyBorder="1" applyAlignment="1">
      <alignment horizontal="center" vertical="center"/>
    </xf>
    <xf numFmtId="0" fontId="74" fillId="0" borderId="73" xfId="11" applyFont="1" applyBorder="1" applyAlignment="1">
      <alignment horizontal="center" vertical="center"/>
    </xf>
    <xf numFmtId="0" fontId="13" fillId="0" borderId="1" xfId="6" applyFont="1" applyBorder="1" applyAlignment="1">
      <alignment horizontal="center" vertical="center" wrapText="1"/>
    </xf>
    <xf numFmtId="0" fontId="74" fillId="0" borderId="1" xfId="11" applyFont="1" applyBorder="1" applyAlignment="1">
      <alignment horizontal="center" vertical="center"/>
    </xf>
    <xf numFmtId="0" fontId="84" fillId="0" borderId="1" xfId="6" applyFont="1" applyBorder="1" applyAlignment="1">
      <alignment horizontal="center" vertical="center" wrapText="1"/>
    </xf>
    <xf numFmtId="0" fontId="85" fillId="0" borderId="1" xfId="6" applyFont="1" applyBorder="1" applyAlignment="1">
      <alignment horizontal="center" vertical="center" wrapText="1"/>
    </xf>
    <xf numFmtId="0" fontId="74" fillId="0" borderId="1" xfId="11" applyBorder="1" applyAlignment="1">
      <alignment horizontal="center" vertical="center"/>
    </xf>
    <xf numFmtId="0" fontId="82" fillId="0" borderId="1" xfId="6" applyFont="1" applyBorder="1" applyAlignment="1">
      <alignment vertical="center" wrapText="1"/>
    </xf>
    <xf numFmtId="0" fontId="83" fillId="0" borderId="1" xfId="6" applyFont="1" applyBorder="1" applyAlignment="1">
      <alignment vertical="center" wrapText="1"/>
    </xf>
    <xf numFmtId="0" fontId="78" fillId="41" borderId="65" xfId="14" applyFont="1" applyFill="1" applyBorder="1" applyAlignment="1">
      <alignment horizontal="center" vertical="center" wrapText="1"/>
    </xf>
    <xf numFmtId="0" fontId="7" fillId="0" borderId="65" xfId="15" applyBorder="1" applyAlignment="1">
      <alignment vertical="center" wrapText="1"/>
    </xf>
    <xf numFmtId="0" fontId="7" fillId="0" borderId="65" xfId="15" applyBorder="1" applyAlignment="1">
      <alignment horizontal="center" vertical="center" wrapText="1"/>
    </xf>
    <xf numFmtId="0" fontId="7" fillId="0" borderId="65" xfId="15" applyBorder="1" applyAlignment="1">
      <alignment horizontal="center" vertical="center"/>
    </xf>
    <xf numFmtId="0" fontId="74" fillId="0" borderId="65" xfId="14" applyBorder="1" applyAlignment="1">
      <alignment horizontal="center" vertical="center"/>
    </xf>
    <xf numFmtId="0" fontId="7" fillId="0" borderId="73" xfId="15" applyBorder="1" applyAlignment="1">
      <alignment vertical="center" wrapText="1"/>
    </xf>
    <xf numFmtId="0" fontId="7" fillId="0" borderId="73" xfId="15" applyBorder="1" applyAlignment="1">
      <alignment horizontal="center" vertical="center" wrapText="1"/>
    </xf>
    <xf numFmtId="0" fontId="7" fillId="0" borderId="73" xfId="15" applyBorder="1" applyAlignment="1">
      <alignment horizontal="center" vertical="center"/>
    </xf>
    <xf numFmtId="0" fontId="74" fillId="0" borderId="73" xfId="14" applyBorder="1" applyAlignment="1">
      <alignment horizontal="center" vertical="center"/>
    </xf>
    <xf numFmtId="0" fontId="82" fillId="0" borderId="1" xfId="15" applyFont="1" applyBorder="1" applyAlignment="1">
      <alignment vertical="center" wrapText="1"/>
    </xf>
    <xf numFmtId="0" fontId="13" fillId="0" borderId="1" xfId="15" applyFont="1" applyBorder="1" applyAlignment="1">
      <alignment horizontal="center" vertical="center" wrapText="1"/>
    </xf>
    <xf numFmtId="0" fontId="74" fillId="0" borderId="1" xfId="14" applyBorder="1" applyAlignment="1">
      <alignment horizontal="center" vertical="center"/>
    </xf>
    <xf numFmtId="0" fontId="83" fillId="0" borderId="1" xfId="15" applyFont="1" applyBorder="1" applyAlignment="1">
      <alignment vertical="center" wrapText="1"/>
    </xf>
    <xf numFmtId="0" fontId="84" fillId="0" borderId="1" xfId="15" applyFont="1" applyBorder="1" applyAlignment="1">
      <alignment horizontal="center" vertical="center" wrapText="1"/>
    </xf>
    <xf numFmtId="0" fontId="85" fillId="0" borderId="1" xfId="15" applyFont="1" applyBorder="1" applyAlignment="1">
      <alignment horizontal="center" vertical="center" wrapText="1"/>
    </xf>
    <xf numFmtId="0" fontId="78" fillId="41" borderId="65" xfId="14" applyFont="1" applyFill="1" applyBorder="1" applyAlignment="1">
      <alignment horizontal="center" vertical="center" wrapText="1"/>
    </xf>
    <xf numFmtId="0" fontId="7" fillId="0" borderId="65" xfId="14" applyFont="1" applyBorder="1"/>
    <xf numFmtId="0" fontId="7" fillId="0" borderId="65" xfId="14" applyFont="1" applyBorder="1" applyAlignment="1">
      <alignment wrapText="1"/>
    </xf>
    <xf numFmtId="0" fontId="78" fillId="41" borderId="73" xfId="14" applyFont="1" applyFill="1" applyBorder="1" applyAlignment="1">
      <alignment horizontal="center" vertical="center" wrapText="1"/>
    </xf>
    <xf numFmtId="0" fontId="7" fillId="0" borderId="1" xfId="14" applyFont="1" applyBorder="1" applyAlignment="1">
      <alignment wrapText="1"/>
    </xf>
    <xf numFmtId="0" fontId="13" fillId="0" borderId="1" xfId="14" applyFont="1" applyBorder="1" applyAlignment="1">
      <alignment wrapText="1"/>
    </xf>
    <xf numFmtId="0" fontId="13" fillId="0" borderId="65" xfId="14" applyFont="1" applyBorder="1" applyAlignment="1">
      <alignment wrapText="1"/>
    </xf>
    <xf numFmtId="0" fontId="84" fillId="0" borderId="0" xfId="14" applyFont="1" applyAlignment="1">
      <alignment wrapText="1"/>
    </xf>
    <xf numFmtId="0" fontId="86" fillId="0" borderId="0" xfId="14" applyFont="1" applyAlignment="1">
      <alignment wrapText="1"/>
    </xf>
    <xf numFmtId="0" fontId="13" fillId="0" borderId="73" xfId="14" applyFont="1" applyBorder="1" applyAlignment="1">
      <alignment wrapText="1"/>
    </xf>
    <xf numFmtId="0" fontId="87" fillId="0" borderId="39" xfId="14" applyFont="1" applyBorder="1" applyAlignment="1">
      <alignment horizontal="center" vertical="center"/>
    </xf>
    <xf numFmtId="0" fontId="87" fillId="43" borderId="39" xfId="14" applyFont="1" applyFill="1" applyBorder="1" applyAlignment="1">
      <alignment horizontal="center" vertical="center"/>
    </xf>
    <xf numFmtId="0" fontId="28" fillId="0" borderId="39" xfId="14" applyFont="1" applyBorder="1" applyAlignment="1">
      <alignment horizontal="center" vertical="center"/>
    </xf>
    <xf numFmtId="0" fontId="74" fillId="0" borderId="46" xfId="14" applyBorder="1"/>
    <xf numFmtId="0" fontId="74" fillId="0" borderId="54" xfId="14" applyBorder="1"/>
    <xf numFmtId="0" fontId="74" fillId="0" borderId="47" xfId="14" applyBorder="1"/>
    <xf numFmtId="0" fontId="78" fillId="41" borderId="65" xfId="14" applyFont="1" applyFill="1" applyBorder="1" applyAlignment="1">
      <alignment horizontal="center" vertical="center" wrapText="1"/>
    </xf>
    <xf numFmtId="0" fontId="7" fillId="0" borderId="65" xfId="14" applyFont="1" applyBorder="1"/>
    <xf numFmtId="0" fontId="7" fillId="0" borderId="65" xfId="14" applyFont="1" applyBorder="1" applyAlignment="1">
      <alignment wrapText="1"/>
    </xf>
    <xf numFmtId="0" fontId="78" fillId="41" borderId="73" xfId="14" applyFont="1" applyFill="1" applyBorder="1" applyAlignment="1">
      <alignment horizontal="center" vertical="center" wrapText="1"/>
    </xf>
    <xf numFmtId="0" fontId="7" fillId="0" borderId="1" xfId="14" applyFont="1" applyBorder="1" applyAlignment="1">
      <alignment wrapText="1"/>
    </xf>
    <xf numFmtId="0" fontId="13" fillId="0" borderId="1" xfId="14" applyFont="1" applyBorder="1" applyAlignment="1">
      <alignment wrapText="1"/>
    </xf>
    <xf numFmtId="0" fontId="13" fillId="0" borderId="65" xfId="14" applyFont="1" applyBorder="1" applyAlignment="1">
      <alignment wrapText="1"/>
    </xf>
    <xf numFmtId="0" fontId="84" fillId="0" borderId="0" xfId="14" applyFont="1" applyAlignment="1">
      <alignment wrapText="1"/>
    </xf>
    <xf numFmtId="0" fontId="86" fillId="0" borderId="0" xfId="14" applyFont="1" applyAlignment="1">
      <alignment wrapText="1"/>
    </xf>
    <xf numFmtId="0" fontId="13" fillId="0" borderId="73" xfId="14" applyFont="1" applyBorder="1" applyAlignment="1">
      <alignment wrapText="1"/>
    </xf>
    <xf numFmtId="0" fontId="87" fillId="0" borderId="39" xfId="14" applyFont="1" applyBorder="1" applyAlignment="1">
      <alignment horizontal="center" vertical="center"/>
    </xf>
    <xf numFmtId="0" fontId="87" fillId="43" borderId="39" xfId="14" applyFont="1" applyFill="1" applyBorder="1" applyAlignment="1">
      <alignment horizontal="center" vertical="center"/>
    </xf>
    <xf numFmtId="0" fontId="28" fillId="0" borderId="39" xfId="14" applyFont="1" applyBorder="1" applyAlignment="1">
      <alignment horizontal="center" vertical="center"/>
    </xf>
    <xf numFmtId="0" fontId="74" fillId="0" borderId="46" xfId="14" applyBorder="1"/>
    <xf numFmtId="0" fontId="74" fillId="0" borderId="54" xfId="14" applyBorder="1"/>
    <xf numFmtId="0" fontId="74" fillId="0" borderId="47" xfId="14" applyBorder="1"/>
    <xf numFmtId="0" fontId="78" fillId="41" borderId="65" xfId="14" applyFont="1" applyFill="1" applyBorder="1" applyAlignment="1">
      <alignment horizontal="center" vertical="center" wrapText="1"/>
    </xf>
    <xf numFmtId="0" fontId="74" fillId="0" borderId="65" xfId="14" applyFont="1" applyBorder="1" applyAlignment="1">
      <alignment wrapText="1"/>
    </xf>
    <xf numFmtId="0" fontId="78" fillId="41" borderId="65" xfId="14" applyFont="1" applyFill="1" applyBorder="1" applyAlignment="1">
      <alignment horizontal="center" vertical="center" wrapText="1"/>
    </xf>
    <xf numFmtId="0" fontId="7" fillId="0" borderId="65" xfId="14" applyFont="1" applyBorder="1"/>
    <xf numFmtId="0" fontId="7" fillId="0" borderId="73" xfId="14" applyFont="1" applyBorder="1"/>
    <xf numFmtId="0" fontId="7" fillId="0" borderId="73" xfId="14" applyFont="1" applyBorder="1" applyAlignment="1">
      <alignment wrapText="1"/>
    </xf>
    <xf numFmtId="0" fontId="7" fillId="0" borderId="65" xfId="14" applyFont="1" applyBorder="1"/>
    <xf numFmtId="0" fontId="34" fillId="41" borderId="65" xfId="14" applyFont="1" applyFill="1" applyBorder="1" applyAlignment="1">
      <alignment horizontal="center" vertical="center" wrapText="1"/>
    </xf>
    <xf numFmtId="0" fontId="7" fillId="0" borderId="65" xfId="14" applyFont="1" applyBorder="1" applyAlignment="1">
      <alignment wrapText="1"/>
    </xf>
    <xf numFmtId="0" fontId="74" fillId="0" borderId="65" xfId="14" applyFont="1" applyBorder="1"/>
    <xf numFmtId="0" fontId="78" fillId="41" borderId="65" xfId="14" applyFont="1" applyFill="1" applyBorder="1" applyAlignment="1">
      <alignment horizontal="center" vertical="center" wrapText="1"/>
    </xf>
    <xf numFmtId="0" fontId="74" fillId="0" borderId="0" xfId="14" applyAlignment="1">
      <alignment wrapText="1"/>
    </xf>
    <xf numFmtId="0" fontId="7" fillId="0" borderId="65" xfId="14" applyFont="1" applyBorder="1"/>
    <xf numFmtId="0" fontId="7" fillId="0" borderId="65" xfId="14" applyFont="1" applyBorder="1" applyAlignment="1">
      <alignment wrapText="1"/>
    </xf>
    <xf numFmtId="0" fontId="74" fillId="0" borderId="65" xfId="14" applyFont="1" applyBorder="1"/>
    <xf numFmtId="0" fontId="78" fillId="41" borderId="65" xfId="14" applyFont="1" applyFill="1" applyBorder="1" applyAlignment="1">
      <alignment horizontal="center" vertical="center" wrapText="1"/>
    </xf>
    <xf numFmtId="0" fontId="74" fillId="0" borderId="0" xfId="14" applyAlignment="1">
      <alignment wrapText="1"/>
    </xf>
    <xf numFmtId="0" fontId="7" fillId="0" borderId="65" xfId="14" applyFont="1" applyBorder="1"/>
    <xf numFmtId="0" fontId="7" fillId="0" borderId="65" xfId="14" applyFont="1" applyBorder="1" applyAlignment="1">
      <alignment wrapText="1"/>
    </xf>
    <xf numFmtId="0" fontId="74" fillId="0" borderId="65" xfId="14" applyFont="1" applyBorder="1"/>
    <xf numFmtId="0" fontId="78" fillId="41" borderId="65" xfId="14" applyFont="1" applyFill="1" applyBorder="1" applyAlignment="1">
      <alignment horizontal="center" vertical="center" wrapText="1"/>
    </xf>
    <xf numFmtId="0" fontId="74" fillId="0" borderId="0" xfId="14" applyAlignment="1">
      <alignment wrapText="1"/>
    </xf>
    <xf numFmtId="0" fontId="7" fillId="0" borderId="65" xfId="14" applyFont="1" applyBorder="1"/>
    <xf numFmtId="0" fontId="7" fillId="0" borderId="65" xfId="14" applyFont="1" applyBorder="1" applyAlignment="1">
      <alignment wrapText="1"/>
    </xf>
    <xf numFmtId="0" fontId="34" fillId="41" borderId="65" xfId="14" applyFont="1" applyFill="1" applyBorder="1" applyAlignment="1">
      <alignment horizontal="center" vertical="center" wrapText="1"/>
    </xf>
    <xf numFmtId="0" fontId="7" fillId="0" borderId="65" xfId="14" applyFont="1" applyBorder="1"/>
    <xf numFmtId="0" fontId="7" fillId="0" borderId="65" xfId="14" applyFont="1" applyBorder="1" applyAlignment="1">
      <alignment wrapText="1"/>
    </xf>
    <xf numFmtId="0" fontId="7" fillId="0" borderId="65" xfId="14" applyFont="1" applyBorder="1" applyAlignment="1">
      <alignment vertical="center" wrapText="1"/>
    </xf>
    <xf numFmtId="0" fontId="34" fillId="41" borderId="160" xfId="14" applyFont="1" applyFill="1" applyBorder="1" applyAlignment="1">
      <alignment horizontal="center" vertical="center" wrapText="1"/>
    </xf>
    <xf numFmtId="0" fontId="74" fillId="0" borderId="0" xfId="14"/>
    <xf numFmtId="0" fontId="7" fillId="0" borderId="65" xfId="14" applyFont="1" applyBorder="1"/>
    <xf numFmtId="0" fontId="34" fillId="41" borderId="65" xfId="14" applyFont="1" applyFill="1" applyBorder="1" applyAlignment="1">
      <alignment horizontal="center" vertical="center" wrapText="1"/>
    </xf>
    <xf numFmtId="0" fontId="7" fillId="0" borderId="65" xfId="14" applyFont="1" applyBorder="1" applyAlignment="1">
      <alignment wrapText="1"/>
    </xf>
    <xf numFmtId="0" fontId="34" fillId="41" borderId="160" xfId="14" applyFont="1" applyFill="1" applyBorder="1" applyAlignment="1">
      <alignment horizontal="center" vertical="center" wrapText="1"/>
    </xf>
    <xf numFmtId="0" fontId="7" fillId="0" borderId="65" xfId="14" applyFont="1" applyBorder="1" applyAlignment="1">
      <alignment vertical="center" wrapText="1"/>
    </xf>
    <xf numFmtId="0" fontId="74" fillId="0" borderId="0" xfId="14"/>
    <xf numFmtId="0" fontId="7" fillId="0" borderId="65" xfId="14" applyFont="1" applyBorder="1"/>
    <xf numFmtId="0" fontId="34" fillId="41" borderId="65" xfId="14" applyFont="1" applyFill="1" applyBorder="1" applyAlignment="1">
      <alignment horizontal="center" vertical="center" wrapText="1"/>
    </xf>
    <xf numFmtId="0" fontId="7" fillId="0" borderId="65" xfId="14" applyFont="1" applyBorder="1" applyAlignment="1">
      <alignment wrapText="1"/>
    </xf>
    <xf numFmtId="0" fontId="34" fillId="41" borderId="160" xfId="14" applyFont="1" applyFill="1" applyBorder="1" applyAlignment="1">
      <alignment horizontal="center" vertical="center" wrapText="1"/>
    </xf>
    <xf numFmtId="0" fontId="7" fillId="0" borderId="65" xfId="14" applyFont="1" applyBorder="1"/>
    <xf numFmtId="0" fontId="34" fillId="41" borderId="65" xfId="14" applyFont="1" applyFill="1" applyBorder="1" applyAlignment="1">
      <alignment horizontal="center" vertical="center" wrapText="1"/>
    </xf>
    <xf numFmtId="0" fontId="7" fillId="0" borderId="65" xfId="14" applyFont="1" applyBorder="1" applyAlignment="1">
      <alignment wrapText="1"/>
    </xf>
    <xf numFmtId="0" fontId="7" fillId="0" borderId="65" xfId="14" applyFont="1" applyBorder="1"/>
    <xf numFmtId="0" fontId="34" fillId="41" borderId="65" xfId="14" applyFont="1" applyFill="1" applyBorder="1" applyAlignment="1">
      <alignment horizontal="center" vertical="center" wrapText="1"/>
    </xf>
    <xf numFmtId="0" fontId="7" fillId="0" borderId="65" xfId="14" applyFont="1" applyBorder="1" applyAlignment="1">
      <alignment wrapText="1"/>
    </xf>
    <xf numFmtId="0" fontId="88" fillId="44" borderId="155" xfId="14" applyFont="1" applyFill="1" applyBorder="1" applyAlignment="1">
      <alignment horizontal="center" vertical="center" wrapText="1"/>
    </xf>
    <xf numFmtId="0" fontId="88" fillId="44" borderId="93" xfId="14" applyFont="1" applyFill="1" applyBorder="1" applyAlignment="1">
      <alignment horizontal="center" vertical="center" wrapText="1"/>
    </xf>
    <xf numFmtId="0" fontId="87" fillId="0" borderId="8" xfId="14" applyFont="1" applyBorder="1" applyAlignment="1">
      <alignment horizontal="center" vertical="center"/>
    </xf>
    <xf numFmtId="0" fontId="87" fillId="0" borderId="34" xfId="14" applyFont="1" applyBorder="1" applyAlignment="1">
      <alignment horizontal="center" vertical="center"/>
    </xf>
    <xf numFmtId="0" fontId="87" fillId="43" borderId="34" xfId="14" applyFont="1" applyFill="1" applyBorder="1" applyAlignment="1">
      <alignment horizontal="center" vertical="center"/>
    </xf>
    <xf numFmtId="0" fontId="87" fillId="0" borderId="49" xfId="14" applyFont="1" applyBorder="1" applyAlignment="1">
      <alignment horizontal="center" vertical="center" wrapText="1"/>
    </xf>
    <xf numFmtId="0" fontId="87" fillId="0" borderId="34" xfId="14" applyFont="1" applyBorder="1" applyAlignment="1">
      <alignment horizontal="center" vertical="center" wrapText="1"/>
    </xf>
    <xf numFmtId="0" fontId="28" fillId="0" borderId="209" xfId="14" applyFont="1" applyBorder="1" applyAlignment="1">
      <alignment horizontal="center" vertical="center" wrapText="1"/>
    </xf>
    <xf numFmtId="0" fontId="87" fillId="0" borderId="53" xfId="14" applyFont="1" applyBorder="1" applyAlignment="1">
      <alignment horizontal="center" vertical="center" wrapText="1"/>
    </xf>
    <xf numFmtId="0" fontId="87" fillId="0" borderId="53" xfId="14" applyFont="1" applyBorder="1" applyAlignment="1">
      <alignment horizontal="center" vertical="center"/>
    </xf>
    <xf numFmtId="0" fontId="78" fillId="41" borderId="65" xfId="14" applyFont="1" applyFill="1" applyBorder="1" applyAlignment="1">
      <alignment horizontal="center" vertical="center" wrapText="1"/>
    </xf>
    <xf numFmtId="0" fontId="74" fillId="0" borderId="65" xfId="14" applyFont="1" applyBorder="1" applyAlignment="1">
      <alignment horizontal="center"/>
    </xf>
    <xf numFmtId="0" fontId="74" fillId="0" borderId="65" xfId="14" applyFont="1" applyBorder="1" applyAlignment="1">
      <alignment horizontal="center" vertical="center"/>
    </xf>
    <xf numFmtId="0" fontId="7" fillId="0" borderId="65" xfId="14" applyFont="1" applyBorder="1" applyAlignment="1">
      <alignment horizontal="center" vertical="center"/>
    </xf>
    <xf numFmtId="0" fontId="7" fillId="0" borderId="65" xfId="14" applyFont="1" applyBorder="1" applyAlignment="1">
      <alignment horizontal="center"/>
    </xf>
    <xf numFmtId="0" fontId="78" fillId="41" borderId="65" xfId="14" applyFont="1" applyFill="1" applyBorder="1" applyAlignment="1">
      <alignment horizontal="center" vertical="center" wrapText="1"/>
    </xf>
    <xf numFmtId="0" fontId="74" fillId="0" borderId="1" xfId="14" applyBorder="1" applyAlignment="1">
      <alignment horizontal="center" vertical="center"/>
    </xf>
    <xf numFmtId="0" fontId="74" fillId="42" borderId="1" xfId="14" applyFill="1" applyBorder="1" applyAlignment="1">
      <alignment horizontal="center" vertical="center"/>
    </xf>
    <xf numFmtId="0" fontId="74" fillId="8" borderId="1" xfId="14" applyFill="1" applyBorder="1" applyAlignment="1">
      <alignment horizontal="center" vertical="center"/>
    </xf>
    <xf numFmtId="0" fontId="17" fillId="0" borderId="1" xfId="14" applyFont="1" applyBorder="1" applyAlignment="1">
      <alignment horizontal="center" vertical="center"/>
    </xf>
    <xf numFmtId="0" fontId="17" fillId="42" borderId="1" xfId="14" applyFont="1" applyFill="1" applyBorder="1" applyAlignment="1">
      <alignment horizontal="center" vertical="center"/>
    </xf>
    <xf numFmtId="0" fontId="78" fillId="41" borderId="65" xfId="14" applyFont="1" applyFill="1" applyBorder="1" applyAlignment="1">
      <alignment horizontal="center" vertical="center" wrapText="1"/>
    </xf>
    <xf numFmtId="0" fontId="74" fillId="0" borderId="65" xfId="14" applyFont="1" applyBorder="1" applyAlignment="1">
      <alignment horizontal="center"/>
    </xf>
    <xf numFmtId="0" fontId="74" fillId="0" borderId="65" xfId="14" applyFont="1" applyBorder="1" applyAlignment="1">
      <alignment horizontal="center" vertical="center"/>
    </xf>
    <xf numFmtId="0" fontId="7" fillId="0" borderId="65" xfId="14" applyFont="1" applyBorder="1" applyAlignment="1">
      <alignment horizontal="center" vertical="center"/>
    </xf>
    <xf numFmtId="0" fontId="74" fillId="0" borderId="0" xfId="14" applyAlignment="1">
      <alignment horizontal="center"/>
    </xf>
    <xf numFmtId="0" fontId="7" fillId="0" borderId="74" xfId="14" applyFont="1" applyBorder="1" applyAlignment="1">
      <alignment horizontal="center" vertical="center"/>
    </xf>
    <xf numFmtId="0" fontId="74" fillId="0" borderId="76" xfId="14" applyFont="1" applyBorder="1" applyAlignment="1">
      <alignment horizontal="center" vertical="center"/>
    </xf>
    <xf numFmtId="0" fontId="78" fillId="41" borderId="73" xfId="14" applyFont="1" applyFill="1" applyBorder="1" applyAlignment="1">
      <alignment horizontal="center" vertical="center" wrapText="1"/>
    </xf>
    <xf numFmtId="0" fontId="7" fillId="0" borderId="1" xfId="14" applyFont="1" applyBorder="1" applyAlignment="1">
      <alignment horizontal="center" vertical="center"/>
    </xf>
    <xf numFmtId="0" fontId="28" fillId="23" borderId="1" xfId="14" applyFont="1" applyFill="1" applyBorder="1" applyAlignment="1">
      <alignment horizontal="center" vertical="center"/>
    </xf>
    <xf numFmtId="0" fontId="74" fillId="0" borderId="74" xfId="14" applyFont="1" applyBorder="1" applyAlignment="1">
      <alignment horizontal="center" vertical="center"/>
    </xf>
    <xf numFmtId="0" fontId="7" fillId="0" borderId="75" xfId="14" applyFont="1" applyBorder="1" applyAlignment="1">
      <alignment horizontal="center" vertical="center"/>
    </xf>
    <xf numFmtId="0" fontId="7" fillId="0" borderId="16" xfId="14" applyFont="1" applyBorder="1" applyAlignment="1">
      <alignment horizontal="center" vertical="center"/>
    </xf>
    <xf numFmtId="0" fontId="7" fillId="0" borderId="89" xfId="14" applyFont="1" applyBorder="1" applyAlignment="1">
      <alignment horizontal="center" vertical="center"/>
    </xf>
    <xf numFmtId="0" fontId="74" fillId="0" borderId="76" xfId="14" applyFont="1" applyBorder="1" applyAlignment="1">
      <alignment horizontal="center"/>
    </xf>
    <xf numFmtId="0" fontId="76" fillId="28" borderId="1" xfId="14" applyFont="1" applyFill="1" applyBorder="1" applyAlignment="1">
      <alignment horizontal="center" vertical="center" wrapText="1"/>
    </xf>
    <xf numFmtId="0" fontId="89" fillId="0" borderId="1" xfId="14" applyFont="1" applyBorder="1" applyAlignment="1">
      <alignment horizontal="left" vertical="top"/>
    </xf>
    <xf numFmtId="0" fontId="89" fillId="0" borderId="65" xfId="14" applyFont="1" applyBorder="1" applyAlignment="1">
      <alignment horizontal="left" vertical="top"/>
    </xf>
    <xf numFmtId="0" fontId="76" fillId="27" borderId="1" xfId="14" applyFont="1" applyFill="1" applyBorder="1" applyAlignment="1">
      <alignment horizontal="center" vertical="center" wrapText="1"/>
    </xf>
    <xf numFmtId="0" fontId="28" fillId="26" borderId="1" xfId="14" applyFont="1" applyFill="1" applyBorder="1" applyAlignment="1">
      <alignment horizontal="center" vertical="center"/>
    </xf>
    <xf numFmtId="0" fontId="78" fillId="41" borderId="65" xfId="14" applyFont="1" applyFill="1" applyBorder="1" applyAlignment="1">
      <alignment horizontal="center" vertical="center" wrapText="1"/>
    </xf>
    <xf numFmtId="0" fontId="7" fillId="0" borderId="1" xfId="15" applyBorder="1" applyAlignment="1">
      <alignment horizontal="center" vertical="center"/>
    </xf>
    <xf numFmtId="0" fontId="74" fillId="0" borderId="1" xfId="14" applyBorder="1" applyAlignment="1">
      <alignment horizontal="center"/>
    </xf>
    <xf numFmtId="0" fontId="7" fillId="8" borderId="1" xfId="15" applyFill="1" applyBorder="1" applyAlignment="1">
      <alignment horizontal="center" vertical="center"/>
    </xf>
    <xf numFmtId="0" fontId="7" fillId="0" borderId="1" xfId="15" applyFont="1" applyBorder="1" applyAlignment="1">
      <alignment horizontal="center" vertical="center"/>
    </xf>
    <xf numFmtId="0" fontId="78" fillId="41" borderId="65" xfId="14" applyFont="1" applyFill="1" applyBorder="1" applyAlignment="1">
      <alignment horizontal="center" vertical="center" wrapText="1"/>
    </xf>
    <xf numFmtId="0" fontId="7" fillId="0" borderId="1" xfId="15" applyBorder="1" applyAlignment="1">
      <alignment horizontal="center" vertical="center"/>
    </xf>
    <xf numFmtId="0" fontId="74" fillId="0" borderId="1" xfId="14" applyBorder="1" applyAlignment="1">
      <alignment horizontal="center"/>
    </xf>
    <xf numFmtId="0" fontId="7" fillId="8" borderId="1" xfId="15" applyFill="1" applyBorder="1" applyAlignment="1">
      <alignment horizontal="center" vertical="center"/>
    </xf>
    <xf numFmtId="0" fontId="7" fillId="0" borderId="1" xfId="15" applyFont="1" applyBorder="1" applyAlignment="1">
      <alignment horizontal="center" vertical="center"/>
    </xf>
    <xf numFmtId="0" fontId="78" fillId="41" borderId="65" xfId="14" applyFont="1" applyFill="1" applyBorder="1" applyAlignment="1">
      <alignment horizontal="center" vertical="center" wrapText="1"/>
    </xf>
    <xf numFmtId="0" fontId="80" fillId="0" borderId="65" xfId="14" applyFont="1" applyBorder="1" applyAlignment="1">
      <alignment horizontal="center" vertical="center"/>
    </xf>
    <xf numFmtId="0" fontId="7" fillId="0" borderId="65" xfId="14" applyFont="1" applyBorder="1" applyAlignment="1">
      <alignment horizontal="center" vertical="center"/>
    </xf>
    <xf numFmtId="0" fontId="74" fillId="0" borderId="65" xfId="14" applyFont="1" applyBorder="1" applyAlignment="1">
      <alignment horizontal="center" vertical="center"/>
    </xf>
    <xf numFmtId="0" fontId="81" fillId="0" borderId="0" xfId="14" applyFont="1" applyAlignment="1">
      <alignment horizontal="center" vertical="center" wrapText="1"/>
    </xf>
    <xf numFmtId="0" fontId="7" fillId="0" borderId="65" xfId="14" applyFont="1" applyBorder="1" applyAlignment="1">
      <alignment horizontal="left" vertical="center" wrapText="1"/>
    </xf>
    <xf numFmtId="0" fontId="7" fillId="0" borderId="65" xfId="14" applyFont="1" applyBorder="1" applyAlignment="1">
      <alignment horizontal="center" vertical="center" wrapText="1"/>
    </xf>
    <xf numFmtId="0" fontId="17" fillId="0" borderId="65" xfId="14" applyFont="1" applyBorder="1" applyAlignment="1">
      <alignment horizontal="center" vertical="center"/>
    </xf>
    <xf numFmtId="0" fontId="7" fillId="0" borderId="65" xfId="14" applyFont="1" applyBorder="1"/>
    <xf numFmtId="0" fontId="34" fillId="41" borderId="65" xfId="14" applyFont="1" applyFill="1" applyBorder="1" applyAlignment="1">
      <alignment horizontal="center" vertical="center" wrapText="1"/>
    </xf>
    <xf numFmtId="0" fontId="7" fillId="0" borderId="65" xfId="14" applyFont="1" applyBorder="1" applyAlignment="1">
      <alignment vertical="center"/>
    </xf>
    <xf numFmtId="0" fontId="7" fillId="0" borderId="65" xfId="14" applyFont="1" applyBorder="1" applyAlignment="1">
      <alignment vertical="center" wrapText="1"/>
    </xf>
    <xf numFmtId="0" fontId="7" fillId="0" borderId="65" xfId="14" applyFont="1" applyBorder="1" applyAlignment="1">
      <alignment horizontal="left" vertical="center" wrapText="1"/>
    </xf>
    <xf numFmtId="0" fontId="7" fillId="0" borderId="73" xfId="14" applyFont="1" applyBorder="1" applyAlignment="1">
      <alignment vertical="center" wrapText="1"/>
    </xf>
    <xf numFmtId="0" fontId="34" fillId="41" borderId="65" xfId="14" applyFont="1" applyFill="1" applyBorder="1" applyAlignment="1">
      <alignment horizontal="center" vertical="center" wrapText="1"/>
    </xf>
    <xf numFmtId="0" fontId="7" fillId="0" borderId="1" xfId="15" applyBorder="1" applyAlignment="1">
      <alignment horizontal="center" vertical="center"/>
    </xf>
    <xf numFmtId="0" fontId="7" fillId="0" borderId="1" xfId="15" applyBorder="1" applyAlignment="1">
      <alignment horizontal="center" vertical="center" wrapText="1"/>
    </xf>
    <xf numFmtId="0" fontId="7" fillId="8" borderId="1" xfId="15" applyFill="1" applyBorder="1" applyAlignment="1">
      <alignment horizontal="center" vertical="center"/>
    </xf>
    <xf numFmtId="0" fontId="74" fillId="0" borderId="1" xfId="15" applyFont="1" applyBorder="1" applyAlignment="1">
      <alignment horizontal="center" vertical="center" wrapText="1"/>
    </xf>
    <xf numFmtId="0" fontId="34" fillId="41" borderId="65" xfId="14" applyFont="1" applyFill="1" applyBorder="1" applyAlignment="1">
      <alignment horizontal="center" vertical="center" wrapText="1"/>
    </xf>
    <xf numFmtId="0" fontId="74" fillId="0" borderId="1" xfId="14" applyBorder="1" applyAlignment="1">
      <alignment horizontal="center" vertical="center"/>
    </xf>
    <xf numFmtId="0" fontId="74" fillId="42" borderId="1" xfId="14" applyFill="1" applyBorder="1" applyAlignment="1">
      <alignment horizontal="center" vertical="center"/>
    </xf>
    <xf numFmtId="0" fontId="7" fillId="0" borderId="65" xfId="14" applyFont="1" applyBorder="1"/>
    <xf numFmtId="0" fontId="34" fillId="41" borderId="65" xfId="14" applyFont="1" applyFill="1" applyBorder="1" applyAlignment="1">
      <alignment horizontal="center" vertical="center" wrapText="1"/>
    </xf>
    <xf numFmtId="0" fontId="74" fillId="0" borderId="1" xfId="14" applyBorder="1" applyAlignment="1">
      <alignment horizontal="center" vertical="center"/>
    </xf>
    <xf numFmtId="0" fontId="7" fillId="0" borderId="1" xfId="14" applyFont="1" applyBorder="1" applyAlignment="1">
      <alignment horizontal="center" vertical="center"/>
    </xf>
    <xf numFmtId="0" fontId="17" fillId="0" borderId="1" xfId="14" applyFont="1" applyBorder="1" applyAlignment="1">
      <alignment horizontal="center" vertical="center"/>
    </xf>
    <xf numFmtId="0" fontId="74" fillId="0" borderId="1" xfId="14" applyBorder="1" applyAlignment="1">
      <alignment horizontal="center" vertical="center" wrapText="1"/>
    </xf>
    <xf numFmtId="0" fontId="17" fillId="0" borderId="1" xfId="14" applyFont="1" applyBorder="1" applyAlignment="1">
      <alignment horizontal="center" vertical="center" wrapText="1"/>
    </xf>
    <xf numFmtId="16" fontId="74" fillId="0" borderId="1" xfId="14" applyNumberFormat="1" applyBorder="1" applyAlignment="1">
      <alignment horizontal="center" vertical="center"/>
    </xf>
    <xf numFmtId="0" fontId="7" fillId="0" borderId="73" xfId="14" applyFont="1" applyBorder="1"/>
    <xf numFmtId="0" fontId="74" fillId="0" borderId="1" xfId="14" applyBorder="1"/>
    <xf numFmtId="0" fontId="7" fillId="0" borderId="65" xfId="14" applyFont="1" applyBorder="1"/>
    <xf numFmtId="0" fontId="34" fillId="41" borderId="65" xfId="14" applyFont="1" applyFill="1" applyBorder="1" applyAlignment="1">
      <alignment horizontal="center" vertical="center" wrapText="1"/>
    </xf>
    <xf numFmtId="0" fontId="7" fillId="0" borderId="65" xfId="14" applyFont="1" applyBorder="1" applyAlignment="1">
      <alignment wrapText="1"/>
    </xf>
    <xf numFmtId="0" fontId="7" fillId="0" borderId="65" xfId="14" applyFont="1" applyBorder="1" applyAlignment="1">
      <alignment vertical="top" wrapText="1"/>
    </xf>
    <xf numFmtId="0" fontId="74" fillId="0" borderId="75" xfId="14" applyFont="1" applyBorder="1" applyAlignment="1"/>
    <xf numFmtId="0" fontId="74" fillId="0" borderId="76" xfId="14" applyFont="1" applyBorder="1" applyAlignment="1">
      <alignment wrapText="1"/>
    </xf>
    <xf numFmtId="0" fontId="74" fillId="0" borderId="0" xfId="14"/>
    <xf numFmtId="0" fontId="27" fillId="21" borderId="61" xfId="14" applyFont="1" applyFill="1" applyBorder="1" applyAlignment="1">
      <alignment horizontal="center" vertical="center"/>
    </xf>
    <xf numFmtId="0" fontId="28" fillId="0" borderId="0" xfId="14" applyFont="1" applyAlignment="1">
      <alignment horizontal="left" vertical="center"/>
    </xf>
    <xf numFmtId="0" fontId="27" fillId="21" borderId="62" xfId="14" applyFont="1" applyFill="1" applyBorder="1" applyAlignment="1">
      <alignment horizontal="center" vertical="center"/>
    </xf>
    <xf numFmtId="0" fontId="27" fillId="21" borderId="66" xfId="14" applyFont="1" applyFill="1" applyBorder="1" applyAlignment="1">
      <alignment horizontal="center" vertical="center"/>
    </xf>
    <xf numFmtId="0" fontId="27" fillId="21" borderId="67" xfId="14" applyFont="1" applyFill="1" applyBorder="1" applyAlignment="1">
      <alignment horizontal="center" vertical="center"/>
    </xf>
    <xf numFmtId="0" fontId="28" fillId="0" borderId="0" xfId="14" applyFont="1" applyAlignment="1">
      <alignment horizontal="left" vertical="center" wrapText="1"/>
    </xf>
    <xf numFmtId="0" fontId="27" fillId="21" borderId="68" xfId="14" applyFont="1" applyFill="1" applyBorder="1" applyAlignment="1">
      <alignment horizontal="center" vertical="center"/>
    </xf>
    <xf numFmtId="0" fontId="27" fillId="21" borderId="61" xfId="14" applyFont="1" applyFill="1" applyBorder="1" applyAlignment="1">
      <alignment horizontal="center" vertical="center" wrapText="1"/>
    </xf>
    <xf numFmtId="0" fontId="27" fillId="0" borderId="0" xfId="14" applyFont="1" applyAlignment="1">
      <alignment horizontal="center" vertical="center"/>
    </xf>
    <xf numFmtId="0" fontId="27" fillId="21" borderId="62" xfId="14" applyFont="1" applyFill="1" applyBorder="1" applyAlignment="1">
      <alignment horizontal="center" vertical="center" wrapText="1"/>
    </xf>
    <xf numFmtId="0" fontId="31" fillId="0" borderId="0" xfId="14" applyFont="1" applyAlignment="1">
      <alignment vertical="center"/>
    </xf>
    <xf numFmtId="0" fontId="27" fillId="0" borderId="0" xfId="14" applyFont="1" applyAlignment="1">
      <alignment vertical="center"/>
    </xf>
    <xf numFmtId="0" fontId="27" fillId="0" borderId="0" xfId="14" applyFont="1" applyAlignment="1">
      <alignment vertical="center" wrapText="1"/>
    </xf>
    <xf numFmtId="0" fontId="27" fillId="21" borderId="73" xfId="14" applyFont="1" applyFill="1" applyBorder="1"/>
    <xf numFmtId="0" fontId="27" fillId="21" borderId="71" xfId="14" applyFont="1" applyFill="1" applyBorder="1" applyAlignment="1">
      <alignment horizontal="center"/>
    </xf>
    <xf numFmtId="0" fontId="28" fillId="23" borderId="78" xfId="14" applyFont="1" applyFill="1" applyBorder="1" applyAlignment="1">
      <alignment vertical="center"/>
    </xf>
    <xf numFmtId="0" fontId="28" fillId="23" borderId="61" xfId="14" applyFont="1" applyFill="1" applyBorder="1" applyAlignment="1">
      <alignment horizontal="left" vertical="center"/>
    </xf>
    <xf numFmtId="0" fontId="28" fillId="0" borderId="78" xfId="14" applyFont="1" applyBorder="1" applyAlignment="1">
      <alignment horizontal="left" vertical="center"/>
    </xf>
    <xf numFmtId="0" fontId="28" fillId="23" borderId="79" xfId="14" applyFont="1" applyFill="1" applyBorder="1" applyAlignment="1">
      <alignment vertical="center"/>
    </xf>
    <xf numFmtId="0" fontId="28" fillId="23" borderId="80" xfId="14" applyFont="1" applyFill="1" applyBorder="1" applyAlignment="1">
      <alignment vertical="center"/>
    </xf>
    <xf numFmtId="0" fontId="28" fillId="0" borderId="79" xfId="14" applyFont="1" applyBorder="1"/>
    <xf numFmtId="0" fontId="28" fillId="23" borderId="82" xfId="14" applyFont="1" applyFill="1" applyBorder="1" applyAlignment="1">
      <alignment vertical="center"/>
    </xf>
    <xf numFmtId="0" fontId="28" fillId="23" borderId="83" xfId="14" applyFont="1" applyFill="1" applyBorder="1" applyAlignment="1">
      <alignment vertical="center"/>
    </xf>
    <xf numFmtId="0" fontId="28" fillId="0" borderId="84" xfId="14" applyFont="1" applyBorder="1"/>
    <xf numFmtId="0" fontId="28" fillId="23" borderId="84" xfId="14" applyFont="1" applyFill="1" applyBorder="1" applyAlignment="1">
      <alignment vertical="center"/>
    </xf>
    <xf numFmtId="0" fontId="28" fillId="23" borderId="78" xfId="14" applyFont="1" applyFill="1" applyBorder="1" applyAlignment="1">
      <alignment vertical="center" wrapText="1"/>
    </xf>
    <xf numFmtId="0" fontId="28" fillId="23" borderId="82" xfId="14" applyFont="1" applyFill="1" applyBorder="1" applyAlignment="1">
      <alignment vertical="center" wrapText="1"/>
    </xf>
    <xf numFmtId="0" fontId="28" fillId="23" borderId="83" xfId="14" applyFont="1" applyFill="1" applyBorder="1" applyAlignment="1">
      <alignment vertical="center" wrapText="1"/>
    </xf>
    <xf numFmtId="0" fontId="35" fillId="24" borderId="78" xfId="14" applyFont="1" applyFill="1" applyBorder="1" applyAlignment="1">
      <alignment vertical="center"/>
    </xf>
    <xf numFmtId="0" fontId="35" fillId="24" borderId="84" xfId="14" applyFont="1" applyFill="1" applyBorder="1" applyAlignment="1">
      <alignment vertical="center"/>
    </xf>
    <xf numFmtId="0" fontId="35" fillId="24" borderId="87" xfId="14" applyFont="1" applyFill="1" applyBorder="1" applyAlignment="1">
      <alignment vertical="center"/>
    </xf>
    <xf numFmtId="0" fontId="28" fillId="23" borderId="83" xfId="14" applyFont="1" applyFill="1" applyBorder="1" applyAlignment="1">
      <alignment horizontal="left" vertical="center"/>
    </xf>
    <xf numFmtId="0" fontId="35" fillId="23" borderId="79" xfId="14" applyFont="1" applyFill="1" applyBorder="1" applyAlignment="1">
      <alignment vertical="center"/>
    </xf>
    <xf numFmtId="0" fontId="35" fillId="23" borderId="83" xfId="14" applyFont="1" applyFill="1" applyBorder="1" applyAlignment="1">
      <alignment vertical="center"/>
    </xf>
    <xf numFmtId="0" fontId="35" fillId="23" borderId="84" xfId="14" applyFont="1" applyFill="1" applyBorder="1" applyAlignment="1">
      <alignment vertical="center"/>
    </xf>
    <xf numFmtId="0" fontId="35" fillId="23" borderId="82" xfId="14" applyFont="1" applyFill="1" applyBorder="1" applyAlignment="1">
      <alignment vertical="center"/>
    </xf>
    <xf numFmtId="0" fontId="35" fillId="23" borderId="78" xfId="14" applyFont="1" applyFill="1" applyBorder="1" applyAlignment="1">
      <alignment vertical="center"/>
    </xf>
    <xf numFmtId="0" fontId="35" fillId="26" borderId="78" xfId="14" applyFont="1" applyFill="1" applyBorder="1" applyAlignment="1">
      <alignment vertical="center"/>
    </xf>
    <xf numFmtId="0" fontId="35" fillId="26" borderId="83" xfId="14" applyFont="1" applyFill="1" applyBorder="1" applyAlignment="1">
      <alignment vertical="center"/>
    </xf>
    <xf numFmtId="0" fontId="35" fillId="26" borderId="82" xfId="14" applyFont="1" applyFill="1" applyBorder="1" applyAlignment="1">
      <alignment vertical="center"/>
    </xf>
    <xf numFmtId="0" fontId="28" fillId="27" borderId="78" xfId="14" applyFont="1" applyFill="1" applyBorder="1" applyAlignment="1">
      <alignment wrapText="1"/>
    </xf>
    <xf numFmtId="0" fontId="28" fillId="27" borderId="83" xfId="14" applyFont="1" applyFill="1" applyBorder="1" applyAlignment="1">
      <alignment wrapText="1"/>
    </xf>
    <xf numFmtId="0" fontId="28" fillId="27" borderId="84" xfId="14" applyFont="1" applyFill="1" applyBorder="1" applyAlignment="1">
      <alignment wrapText="1"/>
    </xf>
    <xf numFmtId="0" fontId="28" fillId="27" borderId="87" xfId="14" applyFont="1" applyFill="1" applyBorder="1" applyAlignment="1">
      <alignment wrapText="1"/>
    </xf>
    <xf numFmtId="0" fontId="35" fillId="28" borderId="78" xfId="14" applyFont="1" applyFill="1" applyBorder="1" applyAlignment="1">
      <alignment vertical="center"/>
    </xf>
    <xf numFmtId="0" fontId="35" fillId="28" borderId="83" xfId="14" applyFont="1" applyFill="1" applyBorder="1" applyAlignment="1">
      <alignment vertical="center"/>
    </xf>
    <xf numFmtId="0" fontId="35" fillId="28" borderId="82" xfId="14" applyFont="1" applyFill="1" applyBorder="1" applyAlignment="1">
      <alignment vertical="center"/>
    </xf>
    <xf numFmtId="0" fontId="35" fillId="28" borderId="87" xfId="14" applyFont="1" applyFill="1" applyBorder="1" applyAlignment="1">
      <alignment vertical="center" wrapText="1"/>
    </xf>
    <xf numFmtId="0" fontId="28" fillId="28" borderId="83" xfId="14" applyFont="1" applyFill="1" applyBorder="1" applyAlignment="1">
      <alignment vertical="center" wrapText="1"/>
    </xf>
    <xf numFmtId="0" fontId="28" fillId="28" borderId="78" xfId="14" applyFont="1" applyFill="1" applyBorder="1" applyAlignment="1">
      <alignment horizontal="left" vertical="center"/>
    </xf>
    <xf numFmtId="0" fontId="28" fillId="28" borderId="83" xfId="14" applyFont="1" applyFill="1" applyBorder="1" applyAlignment="1">
      <alignment horizontal="left" vertical="center"/>
    </xf>
    <xf numFmtId="0" fontId="28" fillId="28" borderId="84" xfId="14" applyFont="1" applyFill="1" applyBorder="1" applyAlignment="1">
      <alignment horizontal="left" vertical="center"/>
    </xf>
    <xf numFmtId="0" fontId="28" fillId="28" borderId="82" xfId="14" applyFont="1" applyFill="1" applyBorder="1" applyAlignment="1">
      <alignment horizontal="left" vertical="center"/>
    </xf>
    <xf numFmtId="0" fontId="35" fillId="28" borderId="82" xfId="14" applyFont="1" applyFill="1" applyBorder="1" applyAlignment="1">
      <alignment vertical="center" wrapText="1"/>
    </xf>
    <xf numFmtId="0" fontId="28" fillId="28" borderId="78" xfId="14" applyFont="1" applyFill="1" applyBorder="1" applyAlignment="1">
      <alignment horizontal="left" vertical="center" wrapText="1"/>
    </xf>
    <xf numFmtId="0" fontId="28" fillId="28" borderId="83" xfId="14" applyFont="1" applyFill="1" applyBorder="1" applyAlignment="1">
      <alignment horizontal="left" vertical="center" wrapText="1"/>
    </xf>
    <xf numFmtId="0" fontId="28" fillId="28" borderId="84" xfId="14" applyFont="1" applyFill="1" applyBorder="1" applyAlignment="1">
      <alignment horizontal="left" vertical="center" wrapText="1"/>
    </xf>
    <xf numFmtId="0" fontId="35" fillId="28" borderId="83" xfId="14" applyFont="1" applyFill="1" applyBorder="1"/>
    <xf numFmtId="0" fontId="35" fillId="28" borderId="69" xfId="14" applyFont="1" applyFill="1" applyBorder="1" applyAlignment="1">
      <alignment horizontal="left" vertical="center" wrapText="1"/>
    </xf>
    <xf numFmtId="0" fontId="35" fillId="28" borderId="67" xfId="14" applyFont="1" applyFill="1" applyBorder="1" applyAlignment="1">
      <alignment horizontal="left" vertical="center" wrapText="1"/>
    </xf>
    <xf numFmtId="0" fontId="28" fillId="0" borderId="82" xfId="14" applyFont="1" applyBorder="1"/>
    <xf numFmtId="0" fontId="29" fillId="0" borderId="69" xfId="14" applyFont="1" applyBorder="1" applyAlignment="1">
      <alignment vertical="center"/>
    </xf>
    <xf numFmtId="0" fontId="29" fillId="0" borderId="65" xfId="14" applyFont="1" applyBorder="1" applyAlignment="1">
      <alignment horizontal="left" vertical="center"/>
    </xf>
    <xf numFmtId="0" fontId="30" fillId="0" borderId="65" xfId="14" applyFont="1" applyBorder="1" applyAlignment="1">
      <alignment horizontal="left" vertical="center"/>
    </xf>
    <xf numFmtId="0" fontId="28" fillId="0" borderId="69" xfId="14" applyFont="1" applyBorder="1" applyAlignment="1">
      <alignment horizontal="left" vertical="center" wrapText="1"/>
    </xf>
    <xf numFmtId="0" fontId="29" fillId="0" borderId="0" xfId="14" applyFont="1" applyAlignment="1">
      <alignment vertical="center"/>
    </xf>
    <xf numFmtId="0" fontId="0" fillId="0" borderId="0" xfId="0"/>
    <xf numFmtId="0" fontId="0" fillId="0" borderId="0" xfId="0" applyBorder="1"/>
    <xf numFmtId="0" fontId="0" fillId="0" borderId="0" xfId="0" applyAlignment="1">
      <alignment vertical="center"/>
    </xf>
    <xf numFmtId="11" fontId="7" fillId="0" borderId="31" xfId="0" applyNumberFormat="1" applyFont="1" applyFill="1" applyBorder="1" applyAlignment="1">
      <alignment horizontal="center" vertical="center" wrapText="1"/>
    </xf>
    <xf numFmtId="0" fontId="0" fillId="0" borderId="0" xfId="0"/>
    <xf numFmtId="0" fontId="0" fillId="0" borderId="0" xfId="0" applyAlignment="1">
      <alignment horizontal="left"/>
    </xf>
    <xf numFmtId="0" fontId="41" fillId="21" borderId="71" xfId="0" applyFont="1" applyFill="1" applyBorder="1" applyAlignment="1">
      <alignment horizontal="center"/>
    </xf>
    <xf numFmtId="0" fontId="60" fillId="25" borderId="74" xfId="0" applyFont="1" applyFill="1" applyBorder="1" applyAlignment="1">
      <alignment horizontal="center" vertical="center" wrapText="1"/>
    </xf>
    <xf numFmtId="0" fontId="29" fillId="0" borderId="75" xfId="0" applyFont="1" applyBorder="1" applyAlignment="1"/>
    <xf numFmtId="0" fontId="17"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29" fillId="0" borderId="76" xfId="0" applyFont="1" applyBorder="1" applyAlignment="1"/>
    <xf numFmtId="0" fontId="1" fillId="8" borderId="0" xfId="0" applyFont="1" applyFill="1" applyBorder="1" applyAlignment="1">
      <alignment horizontal="left" vertical="center"/>
    </xf>
    <xf numFmtId="0" fontId="0" fillId="8" borderId="0" xfId="0" applyFont="1" applyFill="1" applyBorder="1" applyAlignment="1">
      <alignment horizontal="center" vertical="center" wrapText="1"/>
    </xf>
    <xf numFmtId="0" fontId="0" fillId="8" borderId="0" xfId="0" applyFont="1" applyFill="1" applyBorder="1" applyAlignment="1">
      <alignment vertical="center"/>
    </xf>
    <xf numFmtId="0" fontId="1" fillId="8" borderId="0" xfId="0" applyFont="1" applyFill="1" applyBorder="1" applyAlignment="1">
      <alignment horizontal="left"/>
    </xf>
    <xf numFmtId="0" fontId="8" fillId="10" borderId="1" xfId="1" applyFill="1" applyBorder="1" applyAlignment="1">
      <alignment horizontal="center" vertical="center"/>
    </xf>
    <xf numFmtId="0" fontId="0" fillId="0" borderId="0" xfId="0" applyAlignment="1">
      <alignment horizontal="center"/>
    </xf>
    <xf numFmtId="0" fontId="0" fillId="0" borderId="6" xfId="0" applyBorder="1" applyAlignment="1">
      <alignment horizontal="center"/>
    </xf>
    <xf numFmtId="0" fontId="0" fillId="0" borderId="0" xfId="0"/>
    <xf numFmtId="0" fontId="0" fillId="0" borderId="1" xfId="0" applyBorder="1" applyAlignment="1">
      <alignment horizontal="center" vertical="center" wrapText="1"/>
    </xf>
    <xf numFmtId="0" fontId="0" fillId="0" borderId="0" xfId="0" applyAlignment="1">
      <alignment horizontal="center" vertical="center" wrapText="1"/>
    </xf>
    <xf numFmtId="0" fontId="8" fillId="0" borderId="0" xfId="1" applyAlignment="1">
      <alignment horizontal="center" vertical="center" wrapText="1"/>
    </xf>
    <xf numFmtId="0" fontId="23" fillId="20" borderId="0" xfId="0" applyFont="1" applyFill="1" applyAlignment="1">
      <alignment horizontal="center" vertical="center"/>
    </xf>
    <xf numFmtId="0" fontId="0" fillId="0" borderId="40" xfId="0" applyBorder="1" applyAlignment="1">
      <alignment horizontal="center" vertical="center"/>
    </xf>
    <xf numFmtId="0" fontId="0" fillId="0" borderId="57" xfId="0" applyBorder="1" applyAlignment="1">
      <alignment horizontal="center" vertical="center"/>
    </xf>
    <xf numFmtId="0" fontId="0" fillId="0" borderId="57" xfId="0" applyFill="1" applyBorder="1" applyAlignment="1">
      <alignment horizontal="center" vertical="center"/>
    </xf>
    <xf numFmtId="6" fontId="0" fillId="0" borderId="12" xfId="0" applyNumberFormat="1" applyBorder="1" applyAlignment="1">
      <alignment vertical="center"/>
    </xf>
    <xf numFmtId="6" fontId="0" fillId="0" borderId="16" xfId="0" applyNumberFormat="1" applyBorder="1" applyAlignment="1">
      <alignment vertical="center"/>
    </xf>
    <xf numFmtId="6" fontId="0" fillId="0" borderId="18" xfId="0" applyNumberFormat="1" applyBorder="1" applyAlignment="1">
      <alignment vertical="center"/>
    </xf>
    <xf numFmtId="6" fontId="0" fillId="0" borderId="16" xfId="0" applyNumberFormat="1" applyBorder="1"/>
    <xf numFmtId="6" fontId="0" fillId="0" borderId="16" xfId="0" applyNumberFormat="1" applyBorder="1" applyAlignment="1">
      <alignment wrapText="1"/>
    </xf>
    <xf numFmtId="0" fontId="0" fillId="0" borderId="14" xfId="0" applyBorder="1"/>
    <xf numFmtId="0" fontId="7" fillId="0" borderId="10" xfId="1" applyFont="1" applyFill="1" applyBorder="1" applyAlignment="1">
      <alignment vertical="center"/>
    </xf>
    <xf numFmtId="0" fontId="0" fillId="0" borderId="10" xfId="0" applyFill="1" applyBorder="1" applyAlignment="1">
      <alignment vertical="center"/>
    </xf>
    <xf numFmtId="0" fontId="0" fillId="0" borderId="10" xfId="1" applyFont="1" applyFill="1" applyBorder="1" applyAlignment="1">
      <alignment vertical="center"/>
    </xf>
    <xf numFmtId="0" fontId="0" fillId="0" borderId="10" xfId="1" applyFont="1" applyFill="1" applyBorder="1" applyAlignment="1">
      <alignment vertical="center" wrapText="1"/>
    </xf>
    <xf numFmtId="0" fontId="0" fillId="0" borderId="10" xfId="1" applyFont="1" applyFill="1" applyBorder="1" applyAlignment="1">
      <alignment horizontal="center" vertical="center" wrapText="1"/>
    </xf>
    <xf numFmtId="0" fontId="0" fillId="0" borderId="10" xfId="0" applyFont="1" applyFill="1" applyBorder="1" applyAlignment="1">
      <alignment vertical="center" wrapText="1"/>
    </xf>
    <xf numFmtId="0" fontId="0" fillId="0" borderId="11" xfId="1" applyFont="1" applyFill="1" applyBorder="1" applyAlignment="1">
      <alignment vertical="center"/>
    </xf>
    <xf numFmtId="0" fontId="7" fillId="0" borderId="23" xfId="1" applyFont="1" applyFill="1" applyBorder="1" applyAlignment="1">
      <alignment vertical="center"/>
    </xf>
    <xf numFmtId="0" fontId="0" fillId="0" borderId="23" xfId="0" applyFill="1" applyBorder="1" applyAlignment="1">
      <alignment vertical="center"/>
    </xf>
    <xf numFmtId="0" fontId="0" fillId="0" borderId="23" xfId="1" applyFont="1" applyFill="1" applyBorder="1" applyAlignment="1">
      <alignment vertical="center"/>
    </xf>
    <xf numFmtId="0" fontId="0" fillId="0" borderId="23" xfId="1" applyFont="1" applyFill="1" applyBorder="1" applyAlignment="1">
      <alignment vertical="center" wrapText="1"/>
    </xf>
    <xf numFmtId="0" fontId="0" fillId="0" borderId="23" xfId="0" applyFill="1" applyBorder="1" applyAlignment="1">
      <alignment horizontal="center" vertical="center"/>
    </xf>
    <xf numFmtId="0" fontId="0" fillId="0" borderId="23" xfId="1" applyFont="1" applyFill="1" applyBorder="1" applyAlignment="1">
      <alignment horizontal="center" vertical="center" wrapText="1"/>
    </xf>
    <xf numFmtId="0" fontId="0" fillId="0" borderId="23" xfId="0" applyFill="1" applyBorder="1" applyAlignment="1">
      <alignment horizontal="center"/>
    </xf>
    <xf numFmtId="0" fontId="0" fillId="16" borderId="1" xfId="1" applyFont="1" applyFill="1" applyBorder="1" applyAlignment="1">
      <alignment horizontal="center" vertical="center"/>
    </xf>
    <xf numFmtId="0" fontId="0" fillId="16" borderId="1" xfId="0" applyFill="1" applyBorder="1" applyAlignment="1">
      <alignment horizontal="center" vertical="center"/>
    </xf>
    <xf numFmtId="0" fontId="7" fillId="16" borderId="1" xfId="1" applyFont="1" applyFill="1" applyBorder="1" applyAlignment="1">
      <alignment horizontal="center" vertical="center" wrapText="1"/>
    </xf>
    <xf numFmtId="0" fontId="0" fillId="16" borderId="1" xfId="1" applyFont="1" applyFill="1" applyBorder="1" applyAlignment="1">
      <alignment horizontal="center" vertical="center" wrapText="1"/>
    </xf>
    <xf numFmtId="0" fontId="7" fillId="16" borderId="1" xfId="1" applyFont="1" applyFill="1" applyBorder="1" applyAlignment="1">
      <alignment horizontal="center" vertical="center"/>
    </xf>
    <xf numFmtId="0" fontId="7" fillId="16" borderId="1" xfId="0" applyFont="1" applyFill="1" applyBorder="1" applyAlignment="1">
      <alignment horizontal="center" vertical="center"/>
    </xf>
    <xf numFmtId="0" fontId="0" fillId="0" borderId="214" xfId="0" applyBorder="1" applyAlignment="1">
      <alignment horizontal="center" vertical="center" wrapText="1"/>
    </xf>
    <xf numFmtId="0" fontId="0" fillId="0" borderId="65" xfId="14" applyFont="1" applyBorder="1" applyAlignment="1">
      <alignment horizontal="left" vertical="center" wrapText="1"/>
    </xf>
    <xf numFmtId="0" fontId="0" fillId="0" borderId="65" xfId="14" applyFont="1" applyBorder="1" applyAlignment="1">
      <alignment vertical="center" wrapText="1"/>
    </xf>
    <xf numFmtId="0" fontId="0" fillId="0" borderId="65" xfId="11" applyFont="1" applyBorder="1" applyAlignment="1">
      <alignment horizontal="left" vertical="center" wrapText="1"/>
    </xf>
    <xf numFmtId="0" fontId="0" fillId="0" borderId="0" xfId="0" applyAlignment="1">
      <alignment horizontal="center" vertical="center" wrapText="1"/>
    </xf>
    <xf numFmtId="0" fontId="0" fillId="0" borderId="0" xfId="0"/>
    <xf numFmtId="0" fontId="0" fillId="36" borderId="1" xfId="0" applyFont="1" applyFill="1" applyBorder="1" applyAlignment="1">
      <alignment horizontal="center" vertical="center"/>
    </xf>
    <xf numFmtId="0" fontId="9" fillId="5" borderId="2" xfId="0" applyFont="1" applyFill="1" applyBorder="1" applyAlignment="1">
      <alignment horizontal="center" vertical="center"/>
    </xf>
    <xf numFmtId="0" fontId="10" fillId="4" borderId="45" xfId="0" applyFont="1" applyFill="1" applyBorder="1" applyAlignment="1">
      <alignment horizontal="center" vertical="center"/>
    </xf>
    <xf numFmtId="0" fontId="0" fillId="0" borderId="1" xfId="0" applyFont="1" applyFill="1" applyBorder="1" applyAlignment="1">
      <alignment horizontal="center" vertical="center"/>
    </xf>
    <xf numFmtId="11" fontId="7" fillId="0" borderId="30"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8" borderId="1" xfId="0" applyFont="1" applyFill="1" applyBorder="1" applyAlignment="1">
      <alignment horizontal="center" vertical="center" wrapText="1"/>
    </xf>
    <xf numFmtId="0" fontId="7" fillId="8" borderId="1" xfId="0" applyFont="1" applyFill="1" applyBorder="1" applyAlignment="1">
      <alignment horizontal="center" vertical="center" wrapText="1"/>
    </xf>
    <xf numFmtId="0" fontId="47" fillId="28" borderId="92" xfId="0" applyFont="1" applyFill="1" applyBorder="1" applyAlignment="1">
      <alignment horizontal="center" vertical="center" wrapText="1"/>
    </xf>
    <xf numFmtId="0" fontId="34" fillId="28" borderId="92" xfId="0" applyFont="1" applyFill="1" applyBorder="1" applyAlignment="1">
      <alignment horizontal="center" vertical="center" wrapText="1"/>
    </xf>
    <xf numFmtId="0" fontId="28" fillId="0" borderId="83" xfId="0" applyFont="1" applyFill="1" applyBorder="1"/>
    <xf numFmtId="0" fontId="42" fillId="0" borderId="65" xfId="0" applyFont="1" applyFill="1" applyBorder="1"/>
    <xf numFmtId="3" fontId="42" fillId="0" borderId="65" xfId="0" applyNumberFormat="1" applyFont="1" applyFill="1" applyBorder="1"/>
    <xf numFmtId="3" fontId="42" fillId="0" borderId="74" xfId="0" applyNumberFormat="1" applyFont="1" applyFill="1" applyBorder="1"/>
    <xf numFmtId="0" fontId="28" fillId="0" borderId="44" xfId="0" applyFont="1" applyFill="1" applyBorder="1"/>
    <xf numFmtId="0" fontId="42" fillId="0" borderId="1" xfId="0" applyFont="1" applyFill="1" applyBorder="1"/>
    <xf numFmtId="3" fontId="42" fillId="0" borderId="43" xfId="0" applyNumberFormat="1" applyFont="1" applyFill="1" applyBorder="1"/>
    <xf numFmtId="0" fontId="28" fillId="38" borderId="83" xfId="2" applyFont="1" applyFill="1" applyBorder="1"/>
    <xf numFmtId="0" fontId="34" fillId="0" borderId="84" xfId="0" applyFont="1" applyFill="1" applyBorder="1" applyAlignment="1">
      <alignment horizontal="center"/>
    </xf>
    <xf numFmtId="0" fontId="28" fillId="0" borderId="65" xfId="0" applyFont="1" applyFill="1" applyBorder="1"/>
    <xf numFmtId="164" fontId="28" fillId="0" borderId="65" xfId="4" applyNumberFormat="1" applyFont="1" applyFill="1" applyBorder="1"/>
    <xf numFmtId="0" fontId="34" fillId="0" borderId="84" xfId="0" applyFont="1" applyFill="1" applyBorder="1" applyAlignment="1">
      <alignment horizontal="center" vertical="center"/>
    </xf>
    <xf numFmtId="168" fontId="0" fillId="0" borderId="1" xfId="0" applyNumberFormat="1" applyFill="1" applyBorder="1" applyAlignment="1">
      <alignment horizontal="right"/>
    </xf>
    <xf numFmtId="0" fontId="0" fillId="0" borderId="1" xfId="0" applyFill="1" applyBorder="1"/>
    <xf numFmtId="168" fontId="0" fillId="0" borderId="30" xfId="0" applyNumberFormat="1" applyFont="1" applyFill="1" applyBorder="1" applyAlignment="1">
      <alignment vertical="center"/>
    </xf>
    <xf numFmtId="167" fontId="0" fillId="0" borderId="1" xfId="0" applyNumberFormat="1" applyFill="1" applyBorder="1"/>
    <xf numFmtId="167" fontId="0" fillId="0" borderId="30" xfId="0" applyNumberFormat="1" applyFill="1" applyBorder="1" applyAlignment="1">
      <alignment horizontal="center" vertical="center"/>
    </xf>
    <xf numFmtId="167" fontId="0" fillId="0" borderId="23" xfId="0" applyNumberFormat="1" applyFill="1" applyBorder="1" applyAlignment="1">
      <alignment horizontal="center" vertical="center"/>
    </xf>
    <xf numFmtId="0" fontId="0" fillId="0" borderId="65" xfId="14" applyFont="1" applyBorder="1" applyAlignment="1">
      <alignment wrapText="1"/>
    </xf>
    <xf numFmtId="0" fontId="0" fillId="0" borderId="1" xfId="0" applyFont="1" applyBorder="1" applyAlignment="1">
      <alignment horizontal="center" vertical="center" wrapText="1"/>
    </xf>
    <xf numFmtId="0" fontId="0" fillId="0" borderId="76" xfId="0" quotePrefix="1" applyFont="1" applyBorder="1" applyAlignment="1">
      <alignment horizontal="left" vertical="center" wrapText="1"/>
    </xf>
    <xf numFmtId="0" fontId="0" fillId="0" borderId="65" xfId="11" applyFont="1" applyBorder="1" applyAlignment="1">
      <alignment wrapText="1"/>
    </xf>
    <xf numFmtId="0" fontId="0" fillId="0" borderId="0" xfId="0"/>
    <xf numFmtId="0" fontId="0" fillId="45" borderId="215" xfId="0" applyFill="1" applyBorder="1" applyAlignment="1">
      <alignment horizontal="right" wrapText="1"/>
    </xf>
    <xf numFmtId="0" fontId="23" fillId="0" borderId="0" xfId="0" applyFont="1"/>
    <xf numFmtId="4" fontId="23" fillId="0" borderId="0" xfId="0" applyNumberFormat="1" applyFont="1"/>
    <xf numFmtId="9" fontId="23" fillId="0" borderId="0" xfId="18" applyFont="1"/>
    <xf numFmtId="0" fontId="0" fillId="30" borderId="192" xfId="0" applyFill="1" applyBorder="1" applyAlignment="1">
      <alignment wrapText="1"/>
    </xf>
    <xf numFmtId="0" fontId="0" fillId="36" borderId="1" xfId="0" applyFont="1" applyFill="1" applyBorder="1" applyAlignment="1">
      <alignment horizontal="center" vertical="center"/>
    </xf>
    <xf numFmtId="0" fontId="0" fillId="36" borderId="16" xfId="0" applyFont="1" applyFill="1" applyBorder="1" applyAlignment="1">
      <alignment horizontal="center" vertical="center" wrapText="1"/>
    </xf>
    <xf numFmtId="0" fontId="0" fillId="36" borderId="17" xfId="0" applyFont="1" applyFill="1" applyBorder="1" applyAlignment="1">
      <alignment horizontal="center" vertical="center" wrapText="1"/>
    </xf>
    <xf numFmtId="0" fontId="0" fillId="36" borderId="16" xfId="0" applyFont="1" applyFill="1" applyBorder="1" applyAlignment="1">
      <alignment horizontal="center" vertical="center"/>
    </xf>
    <xf numFmtId="0" fontId="0" fillId="36" borderId="17" xfId="0" applyFont="1" applyFill="1" applyBorder="1" applyAlignment="1">
      <alignment horizontal="center" vertical="center"/>
    </xf>
    <xf numFmtId="0" fontId="7" fillId="0" borderId="30" xfId="0" applyFont="1" applyFill="1" applyBorder="1" applyAlignment="1">
      <alignment horizontal="center" vertical="center" wrapText="1"/>
    </xf>
    <xf numFmtId="0" fontId="7" fillId="0" borderId="23" xfId="0" applyFont="1" applyFill="1" applyBorder="1" applyAlignment="1">
      <alignment horizontal="center" vertical="center" wrapText="1"/>
    </xf>
    <xf numFmtId="0" fontId="0" fillId="36" borderId="22" xfId="0" applyFont="1" applyFill="1" applyBorder="1" applyAlignment="1">
      <alignment horizontal="center" vertical="center" wrapText="1"/>
    </xf>
    <xf numFmtId="168" fontId="0" fillId="0" borderId="30" xfId="0" applyNumberFormat="1" applyFill="1" applyBorder="1" applyAlignment="1">
      <alignment horizontal="center" vertical="center"/>
    </xf>
    <xf numFmtId="168" fontId="0" fillId="0" borderId="23" xfId="0" applyNumberFormat="1" applyFill="1" applyBorder="1" applyAlignment="1">
      <alignment horizontal="center" vertical="center"/>
    </xf>
    <xf numFmtId="0" fontId="0" fillId="36" borderId="22" xfId="0" applyFont="1" applyFill="1" applyBorder="1" applyAlignment="1">
      <alignment horizontal="center" vertical="center"/>
    </xf>
    <xf numFmtId="168" fontId="7" fillId="0" borderId="30" xfId="0" applyNumberFormat="1" applyFont="1" applyFill="1" applyBorder="1" applyAlignment="1">
      <alignment horizontal="center" vertical="center" wrapText="1"/>
    </xf>
    <xf numFmtId="168" fontId="7" fillId="0" borderId="23" xfId="0" applyNumberFormat="1" applyFont="1" applyFill="1" applyBorder="1" applyAlignment="1">
      <alignment horizontal="center" vertical="center" wrapText="1"/>
    </xf>
    <xf numFmtId="11" fontId="7" fillId="8" borderId="1" xfId="0" applyNumberFormat="1"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25" xfId="0" applyFont="1" applyFill="1" applyBorder="1" applyAlignment="1">
      <alignment horizontal="center" vertical="center"/>
    </xf>
    <xf numFmtId="0" fontId="9" fillId="5" borderId="3" xfId="0" applyFont="1" applyFill="1" applyBorder="1" applyAlignment="1">
      <alignment horizontal="center" vertical="center"/>
    </xf>
    <xf numFmtId="0" fontId="0" fillId="36" borderId="16" xfId="0" applyFill="1" applyBorder="1" applyAlignment="1">
      <alignment horizontal="center" vertical="center"/>
    </xf>
    <xf numFmtId="0" fontId="0" fillId="36" borderId="22" xfId="0" applyFill="1" applyBorder="1" applyAlignment="1">
      <alignment horizontal="center" vertical="center"/>
    </xf>
    <xf numFmtId="0" fontId="0" fillId="36" borderId="17" xfId="0" applyFill="1" applyBorder="1" applyAlignment="1">
      <alignment horizontal="center" vertical="center"/>
    </xf>
    <xf numFmtId="0" fontId="7" fillId="0" borderId="31" xfId="0" applyFont="1" applyFill="1" applyBorder="1" applyAlignment="1">
      <alignment horizontal="center" vertical="center" wrapText="1"/>
    </xf>
    <xf numFmtId="11" fontId="0" fillId="0" borderId="18" xfId="0" applyNumberFormat="1" applyFont="1" applyFill="1" applyBorder="1" applyAlignment="1">
      <alignment horizontal="center" vertical="center" wrapText="1"/>
    </xf>
    <xf numFmtId="11" fontId="7" fillId="0" borderId="20" xfId="0" applyNumberFormat="1" applyFont="1" applyFill="1" applyBorder="1" applyAlignment="1">
      <alignment horizontal="center" vertical="center" wrapText="1"/>
    </xf>
    <xf numFmtId="0" fontId="0" fillId="8" borderId="30" xfId="0" applyFont="1" applyFill="1" applyBorder="1" applyAlignment="1">
      <alignment horizontal="center" vertical="center"/>
    </xf>
    <xf numFmtId="0" fontId="0" fillId="8" borderId="23" xfId="0" applyFont="1" applyFill="1" applyBorder="1" applyAlignment="1">
      <alignment horizontal="center" vertical="center"/>
    </xf>
    <xf numFmtId="0" fontId="10" fillId="4" borderId="44" xfId="0" applyFont="1" applyFill="1" applyBorder="1" applyAlignment="1">
      <alignment horizontal="center" vertical="center"/>
    </xf>
    <xf numFmtId="0" fontId="10" fillId="4" borderId="1" xfId="0" applyFont="1" applyFill="1" applyBorder="1" applyAlignment="1">
      <alignment horizontal="center" vertical="center"/>
    </xf>
    <xf numFmtId="11" fontId="7" fillId="0" borderId="18" xfId="0" applyNumberFormat="1" applyFont="1" applyFill="1" applyBorder="1" applyAlignment="1">
      <alignment horizontal="center" vertical="center" wrapText="1"/>
    </xf>
    <xf numFmtId="11" fontId="7" fillId="0" borderId="27" xfId="0" applyNumberFormat="1" applyFont="1" applyFill="1" applyBorder="1" applyAlignment="1">
      <alignment horizontal="center" vertical="center" wrapText="1"/>
    </xf>
    <xf numFmtId="11" fontId="7" fillId="0" borderId="30" xfId="0" applyNumberFormat="1" applyFont="1" applyFill="1" applyBorder="1" applyAlignment="1">
      <alignment horizontal="center" vertical="center" wrapText="1"/>
    </xf>
    <xf numFmtId="11" fontId="7" fillId="0" borderId="23" xfId="0" applyNumberFormat="1" applyFont="1" applyFill="1" applyBorder="1" applyAlignment="1">
      <alignment horizontal="center" vertical="center" wrapText="1"/>
    </xf>
    <xf numFmtId="0" fontId="0" fillId="0" borderId="30"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30" xfId="0" applyFont="1" applyFill="1" applyBorder="1" applyAlignment="1">
      <alignment horizontal="center" vertical="center" wrapText="1"/>
    </xf>
    <xf numFmtId="0" fontId="7" fillId="8" borderId="158" xfId="0" applyFont="1" applyFill="1" applyBorder="1" applyAlignment="1">
      <alignment horizontal="center" vertical="center" wrapText="1"/>
    </xf>
    <xf numFmtId="0" fontId="7" fillId="8" borderId="159" xfId="0" applyFont="1" applyFill="1" applyBorder="1" applyAlignment="1">
      <alignment horizontal="center" vertical="center" wrapText="1"/>
    </xf>
    <xf numFmtId="11" fontId="0" fillId="0" borderId="30" xfId="0" applyNumberFormat="1" applyFont="1" applyFill="1" applyBorder="1" applyAlignment="1">
      <alignment horizontal="center" vertical="center" wrapText="1"/>
    </xf>
    <xf numFmtId="11" fontId="7" fillId="0" borderId="31" xfId="0" applyNumberFormat="1" applyFont="1" applyFill="1" applyBorder="1" applyAlignment="1">
      <alignment horizontal="center" vertical="center" wrapText="1"/>
    </xf>
    <xf numFmtId="11" fontId="0" fillId="8" borderId="30" xfId="0" applyNumberFormat="1" applyFont="1" applyFill="1" applyBorder="1" applyAlignment="1">
      <alignment horizontal="center" vertical="center" wrapText="1"/>
    </xf>
    <xf numFmtId="11" fontId="0" fillId="8" borderId="31" xfId="0" applyNumberFormat="1" applyFont="1" applyFill="1" applyBorder="1" applyAlignment="1">
      <alignment horizontal="center" vertical="center" wrapText="1"/>
    </xf>
    <xf numFmtId="11" fontId="0" fillId="8" borderId="23"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8" borderId="1" xfId="0" applyFont="1" applyFill="1" applyBorder="1" applyAlignment="1">
      <alignment horizontal="center" vertical="center" wrapText="1"/>
    </xf>
    <xf numFmtId="0" fontId="7" fillId="8" borderId="1" xfId="0" applyFont="1"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xf>
    <xf numFmtId="0" fontId="0" fillId="0" borderId="30" xfId="0" applyBorder="1" applyAlignment="1">
      <alignment horizontal="center" vertical="center" wrapText="1"/>
    </xf>
    <xf numFmtId="0" fontId="0" fillId="0" borderId="23" xfId="0" applyBorder="1" applyAlignment="1">
      <alignment horizontal="center" vertical="center" wrapText="1"/>
    </xf>
    <xf numFmtId="0" fontId="0" fillId="0" borderId="31" xfId="0" applyBorder="1" applyAlignment="1">
      <alignment horizontal="center" vertical="center" wrapText="1"/>
    </xf>
    <xf numFmtId="0" fontId="0" fillId="0" borderId="57" xfId="0" applyBorder="1" applyAlignment="1">
      <alignment horizontal="center" vertical="center" wrapText="1"/>
    </xf>
    <xf numFmtId="0" fontId="0" fillId="0" borderId="6" xfId="0" applyBorder="1" applyAlignment="1">
      <alignment horizontal="center"/>
    </xf>
    <xf numFmtId="0" fontId="0" fillId="0" borderId="7" xfId="0" applyBorder="1" applyAlignment="1">
      <alignment horizontal="center"/>
    </xf>
    <xf numFmtId="0" fontId="0" fillId="0" borderId="56" xfId="0" applyBorder="1" applyAlignment="1">
      <alignment horizontal="center" vertical="center" wrapText="1"/>
    </xf>
    <xf numFmtId="0" fontId="0" fillId="0" borderId="30" xfId="0" applyFont="1" applyBorder="1" applyAlignment="1">
      <alignment horizontal="center" vertical="center" wrapText="1"/>
    </xf>
    <xf numFmtId="0" fontId="0" fillId="0" borderId="23" xfId="0" applyFont="1" applyBorder="1" applyAlignment="1">
      <alignment horizontal="center" vertical="center" wrapText="1"/>
    </xf>
    <xf numFmtId="0" fontId="47" fillId="28" borderId="74" xfId="0" applyFont="1" applyFill="1" applyBorder="1" applyAlignment="1">
      <alignment horizontal="center" vertical="center" wrapText="1"/>
    </xf>
    <xf numFmtId="0" fontId="43" fillId="0" borderId="75" xfId="0" applyFont="1" applyBorder="1"/>
    <xf numFmtId="0" fontId="48" fillId="0" borderId="75" xfId="0" applyFont="1" applyBorder="1" applyAlignment="1">
      <alignment horizontal="center" vertical="center" wrapText="1"/>
    </xf>
    <xf numFmtId="0" fontId="43" fillId="0" borderId="76" xfId="0" applyFont="1" applyBorder="1"/>
    <xf numFmtId="0" fontId="47" fillId="28" borderId="71" xfId="0" applyFont="1" applyFill="1" applyBorder="1" applyAlignment="1">
      <alignment horizontal="center" vertical="center" wrapText="1"/>
    </xf>
    <xf numFmtId="0" fontId="43" fillId="0" borderId="91" xfId="0" applyFont="1" applyBorder="1"/>
    <xf numFmtId="0" fontId="43" fillId="0" borderId="89" xfId="0" applyFont="1" applyBorder="1"/>
    <xf numFmtId="0" fontId="43" fillId="0" borderId="90" xfId="0" applyFont="1" applyBorder="1"/>
    <xf numFmtId="0" fontId="48" fillId="25" borderId="75" xfId="0" applyFont="1" applyFill="1" applyBorder="1" applyAlignment="1">
      <alignment horizontal="center" vertical="center" wrapText="1"/>
    </xf>
    <xf numFmtId="0" fontId="47" fillId="28" borderId="77" xfId="0" applyFont="1" applyFill="1" applyBorder="1" applyAlignment="1">
      <alignment horizontal="center" vertical="center" wrapText="1"/>
    </xf>
    <xf numFmtId="0" fontId="43" fillId="0" borderId="77" xfId="0" applyFont="1" applyBorder="1"/>
    <xf numFmtId="0" fontId="43" fillId="0" borderId="0" xfId="0" applyFont="1" applyBorder="1"/>
    <xf numFmtId="0" fontId="50" fillId="25" borderId="75" xfId="0" applyFont="1" applyFill="1" applyBorder="1" applyAlignment="1">
      <alignment horizontal="left" vertical="center" wrapText="1"/>
    </xf>
    <xf numFmtId="0" fontId="42" fillId="25" borderId="75" xfId="0" applyFont="1" applyFill="1" applyBorder="1" applyAlignment="1">
      <alignment horizontal="center"/>
    </xf>
    <xf numFmtId="0" fontId="47" fillId="28" borderId="62" xfId="0" applyFont="1" applyFill="1" applyBorder="1" applyAlignment="1">
      <alignment horizontal="center" vertical="center" wrapText="1"/>
    </xf>
    <xf numFmtId="0" fontId="43" fillId="0" borderId="63" xfId="0" applyFont="1" applyBorder="1"/>
    <xf numFmtId="0" fontId="43" fillId="0" borderId="64" xfId="0" applyFont="1" applyBorder="1"/>
    <xf numFmtId="0" fontId="47" fillId="28" borderId="86" xfId="0" applyFont="1" applyFill="1" applyBorder="1" applyAlignment="1">
      <alignment horizontal="center" vertical="center" wrapText="1"/>
    </xf>
    <xf numFmtId="0" fontId="43" fillId="0" borderId="86" xfId="0" applyFont="1" applyBorder="1"/>
    <xf numFmtId="0" fontId="43" fillId="0" borderId="70" xfId="0" applyFont="1" applyBorder="1"/>
    <xf numFmtId="0" fontId="48" fillId="0" borderId="75" xfId="0" applyFont="1" applyBorder="1" applyAlignment="1">
      <alignment horizontal="left" vertical="center" wrapText="1"/>
    </xf>
    <xf numFmtId="0" fontId="3" fillId="0" borderId="190" xfId="0" applyFont="1" applyBorder="1" applyAlignment="1">
      <alignment vertical="center" wrapText="1"/>
    </xf>
    <xf numFmtId="0" fontId="3" fillId="0" borderId="63" xfId="0" applyFont="1" applyBorder="1" applyAlignment="1">
      <alignment vertical="center" wrapText="1"/>
    </xf>
    <xf numFmtId="0" fontId="3" fillId="0" borderId="191" xfId="0" applyFont="1" applyBorder="1" applyAlignment="1">
      <alignment vertical="center" wrapText="1"/>
    </xf>
    <xf numFmtId="0" fontId="32" fillId="0" borderId="75" xfId="0" applyFont="1" applyBorder="1" applyAlignment="1">
      <alignment horizontal="left" vertical="center" wrapText="1"/>
    </xf>
    <xf numFmtId="0" fontId="47" fillId="28" borderId="92" xfId="0" applyFont="1" applyFill="1" applyBorder="1" applyAlignment="1">
      <alignment horizontal="center" vertical="center" wrapText="1"/>
    </xf>
    <xf numFmtId="0" fontId="43" fillId="0" borderId="93" xfId="0" applyFont="1" applyBorder="1"/>
    <xf numFmtId="0" fontId="43" fillId="0" borderId="88" xfId="0" applyFont="1" applyBorder="1"/>
    <xf numFmtId="0" fontId="43" fillId="0" borderId="94" xfId="0" applyFont="1" applyBorder="1"/>
    <xf numFmtId="0" fontId="43" fillId="0" borderId="95" xfId="0" applyFont="1" applyBorder="1"/>
    <xf numFmtId="0" fontId="48" fillId="0" borderId="77" xfId="0" applyFont="1" applyBorder="1" applyAlignment="1">
      <alignment horizontal="center" vertical="center" wrapText="1"/>
    </xf>
    <xf numFmtId="0" fontId="43" fillId="0" borderId="72" xfId="0" applyFont="1" applyBorder="1"/>
    <xf numFmtId="0" fontId="43" fillId="0" borderId="85" xfId="0" applyFont="1" applyBorder="1"/>
    <xf numFmtId="0" fontId="48" fillId="25" borderId="75" xfId="0" applyFont="1" applyFill="1" applyBorder="1" applyAlignment="1">
      <alignment horizontal="center" vertical="center"/>
    </xf>
    <xf numFmtId="0" fontId="47" fillId="26" borderId="71" xfId="0" applyFont="1" applyFill="1" applyBorder="1" applyAlignment="1">
      <alignment horizontal="center" vertical="center"/>
    </xf>
    <xf numFmtId="0" fontId="47" fillId="27" borderId="71" xfId="0" applyFont="1" applyFill="1" applyBorder="1" applyAlignment="1">
      <alignment horizontal="center" vertical="center" wrapText="1"/>
    </xf>
    <xf numFmtId="0" fontId="47" fillId="23" borderId="71" xfId="0" applyFont="1" applyFill="1" applyBorder="1" applyAlignment="1">
      <alignment horizontal="center" vertical="center" wrapText="1"/>
    </xf>
    <xf numFmtId="0" fontId="0" fillId="0" borderId="0" xfId="0" applyFont="1" applyAlignment="1"/>
    <xf numFmtId="0" fontId="43" fillId="0" borderId="81" xfId="0" applyFont="1" applyBorder="1"/>
    <xf numFmtId="0" fontId="48" fillId="25" borderId="77" xfId="0" applyFont="1" applyFill="1" applyBorder="1" applyAlignment="1">
      <alignment horizontal="center" vertical="center" wrapText="1"/>
    </xf>
    <xf numFmtId="0" fontId="47" fillId="24" borderId="71" xfId="0" applyFont="1" applyFill="1" applyBorder="1" applyAlignment="1">
      <alignment horizontal="center" vertical="center" wrapText="1"/>
    </xf>
    <xf numFmtId="0" fontId="47" fillId="23" borderId="62" xfId="0" applyFont="1" applyFill="1" applyBorder="1" applyAlignment="1">
      <alignment horizontal="center" vertical="center" wrapText="1"/>
    </xf>
    <xf numFmtId="0" fontId="47" fillId="23" borderId="86" xfId="0" applyFont="1" applyFill="1" applyBorder="1" applyAlignment="1">
      <alignment horizontal="center" vertical="center" wrapText="1"/>
    </xf>
    <xf numFmtId="0" fontId="47" fillId="23" borderId="77" xfId="0" applyFont="1" applyFill="1" applyBorder="1" applyAlignment="1">
      <alignment horizontal="center" vertical="center" wrapText="1"/>
    </xf>
    <xf numFmtId="0" fontId="28" fillId="0" borderId="0" xfId="0" applyFont="1" applyBorder="1" applyAlignment="1">
      <alignment horizontal="center" vertical="center" wrapText="1"/>
    </xf>
    <xf numFmtId="0" fontId="42" fillId="0" borderId="0" xfId="0" applyFont="1" applyBorder="1" applyAlignment="1">
      <alignment horizontal="center" vertical="center" wrapText="1"/>
    </xf>
    <xf numFmtId="0" fontId="42" fillId="0" borderId="62" xfId="0" applyFont="1" applyBorder="1" applyAlignment="1">
      <alignment horizontal="left" vertical="center"/>
    </xf>
    <xf numFmtId="0" fontId="42" fillId="0" borderId="62" xfId="0" applyFont="1" applyBorder="1" applyAlignment="1">
      <alignment horizontal="center" vertical="center"/>
    </xf>
    <xf numFmtId="0" fontId="42" fillId="0" borderId="62" xfId="0" applyFont="1" applyBorder="1" applyAlignment="1">
      <alignment horizontal="left" vertical="center" wrapText="1"/>
    </xf>
    <xf numFmtId="0" fontId="28" fillId="0" borderId="62" xfId="0" applyFont="1" applyBorder="1" applyAlignment="1">
      <alignment horizontal="center" vertical="center" wrapText="1"/>
    </xf>
    <xf numFmtId="0" fontId="43" fillId="0" borderId="63" xfId="0" applyFont="1" applyBorder="1" applyAlignment="1">
      <alignment wrapText="1"/>
    </xf>
    <xf numFmtId="0" fontId="43" fillId="0" borderId="64" xfId="0" applyFont="1" applyBorder="1" applyAlignment="1">
      <alignment wrapText="1"/>
    </xf>
    <xf numFmtId="0" fontId="41" fillId="21" borderId="0" xfId="0" applyFont="1" applyFill="1" applyBorder="1" applyAlignment="1">
      <alignment horizontal="center" vertical="center" wrapText="1"/>
    </xf>
    <xf numFmtId="0" fontId="46" fillId="22" borderId="0" xfId="0" applyFont="1" applyFill="1" applyBorder="1" applyAlignment="1">
      <alignment horizontal="center" vertical="center" wrapText="1"/>
    </xf>
    <xf numFmtId="0" fontId="41" fillId="21" borderId="74" xfId="0" applyFont="1" applyFill="1" applyBorder="1" applyAlignment="1">
      <alignment horizontal="center"/>
    </xf>
    <xf numFmtId="0" fontId="41" fillId="21" borderId="71" xfId="0" applyFont="1" applyFill="1" applyBorder="1" applyAlignment="1">
      <alignment horizontal="left"/>
    </xf>
    <xf numFmtId="0" fontId="62" fillId="25" borderId="74" xfId="0" applyFont="1" applyFill="1" applyBorder="1" applyAlignment="1">
      <alignment horizontal="center" vertical="center" wrapText="1"/>
    </xf>
    <xf numFmtId="0" fontId="32" fillId="0" borderId="75" xfId="0" applyFont="1" applyBorder="1" applyAlignment="1">
      <alignment horizontal="center" vertical="center" wrapText="1"/>
    </xf>
    <xf numFmtId="0" fontId="48" fillId="0" borderId="77" xfId="0" applyFont="1" applyBorder="1" applyAlignment="1">
      <alignment horizontal="center" vertical="center"/>
    </xf>
    <xf numFmtId="0" fontId="32" fillId="0" borderId="77" xfId="0" applyFont="1" applyBorder="1" applyAlignment="1">
      <alignment horizontal="center" vertical="center"/>
    </xf>
    <xf numFmtId="0" fontId="23" fillId="0" borderId="0" xfId="0" applyFont="1" applyFill="1" applyAlignment="1">
      <alignment horizontal="center" vertical="center"/>
    </xf>
    <xf numFmtId="0" fontId="28" fillId="0" borderId="62" xfId="0" applyFont="1" applyBorder="1" applyAlignment="1">
      <alignment horizontal="center" vertical="center"/>
    </xf>
    <xf numFmtId="0" fontId="28" fillId="0" borderId="62" xfId="0" applyFont="1" applyBorder="1" applyAlignment="1">
      <alignment horizontal="left" vertical="center" wrapText="1"/>
    </xf>
    <xf numFmtId="0" fontId="42" fillId="0" borderId="66" xfId="0" applyFont="1" applyBorder="1" applyAlignment="1">
      <alignment horizontal="center" vertical="center" wrapText="1"/>
    </xf>
    <xf numFmtId="0" fontId="62" fillId="25" borderId="74" xfId="2" applyFont="1" applyFill="1" applyBorder="1" applyAlignment="1">
      <alignment horizontal="center" vertical="center" wrapText="1"/>
    </xf>
    <xf numFmtId="0" fontId="43" fillId="0" borderId="75" xfId="2" applyFont="1" applyBorder="1"/>
    <xf numFmtId="0" fontId="43" fillId="0" borderId="76" xfId="2" applyFont="1" applyBorder="1"/>
    <xf numFmtId="0" fontId="32" fillId="0" borderId="77" xfId="0" applyFont="1" applyBorder="1" applyAlignment="1">
      <alignment horizontal="center" vertical="center" wrapText="1"/>
    </xf>
    <xf numFmtId="0" fontId="78" fillId="33" borderId="74" xfId="14" applyFont="1" applyFill="1" applyBorder="1" applyAlignment="1">
      <alignment horizontal="center" vertical="center"/>
    </xf>
    <xf numFmtId="0" fontId="77" fillId="0" borderId="75" xfId="14" applyFont="1" applyBorder="1"/>
    <xf numFmtId="0" fontId="87" fillId="0" borderId="48" xfId="14" applyFont="1" applyBorder="1" applyAlignment="1">
      <alignment horizontal="center" vertical="center" wrapText="1"/>
    </xf>
    <xf numFmtId="0" fontId="87" fillId="0" borderId="209" xfId="14" applyFont="1" applyBorder="1" applyAlignment="1">
      <alignment horizontal="center" vertical="center" wrapText="1"/>
    </xf>
    <xf numFmtId="0" fontId="87" fillId="0" borderId="49" xfId="14" applyFont="1" applyBorder="1" applyAlignment="1">
      <alignment horizontal="center" vertical="center" wrapText="1"/>
    </xf>
    <xf numFmtId="0" fontId="87" fillId="0" borderId="48" xfId="14" applyFont="1" applyBorder="1" applyAlignment="1">
      <alignment horizontal="center" vertical="center"/>
    </xf>
    <xf numFmtId="0" fontId="87" fillId="0" borderId="209" xfId="14" applyFont="1" applyBorder="1" applyAlignment="1">
      <alignment horizontal="center" vertical="center"/>
    </xf>
    <xf numFmtId="0" fontId="87" fillId="0" borderId="49" xfId="14" applyFont="1" applyBorder="1" applyAlignment="1">
      <alignment horizontal="center" vertical="center"/>
    </xf>
    <xf numFmtId="0" fontId="28" fillId="0" borderId="48" xfId="14" applyFont="1" applyBorder="1" applyAlignment="1">
      <alignment horizontal="center" vertical="center" wrapText="1"/>
    </xf>
    <xf numFmtId="0" fontId="28" fillId="0" borderId="209" xfId="14" applyFont="1" applyBorder="1" applyAlignment="1">
      <alignment horizontal="center" vertical="center" wrapText="1"/>
    </xf>
    <xf numFmtId="0" fontId="28" fillId="0" borderId="210" xfId="14" applyFont="1" applyBorder="1" applyAlignment="1">
      <alignment horizontal="center" vertical="center" wrapText="1"/>
    </xf>
    <xf numFmtId="0" fontId="28" fillId="0" borderId="213" xfId="14" applyFont="1" applyBorder="1" applyAlignment="1">
      <alignment horizontal="center" vertical="center" wrapText="1"/>
    </xf>
    <xf numFmtId="0" fontId="28" fillId="0" borderId="49" xfId="14" applyFont="1" applyBorder="1" applyAlignment="1">
      <alignment horizontal="center" vertical="center" wrapText="1"/>
    </xf>
    <xf numFmtId="0" fontId="28" fillId="0" borderId="48" xfId="14" applyFont="1" applyBorder="1" applyAlignment="1">
      <alignment horizontal="center" vertical="center"/>
    </xf>
    <xf numFmtId="0" fontId="28" fillId="0" borderId="49" xfId="14" applyFont="1" applyBorder="1" applyAlignment="1">
      <alignment horizontal="center" vertical="center"/>
    </xf>
    <xf numFmtId="0" fontId="32" fillId="0" borderId="62" xfId="0" applyFont="1" applyBorder="1" applyAlignment="1">
      <alignment horizontal="center" vertical="center" wrapText="1"/>
    </xf>
    <xf numFmtId="0" fontId="0" fillId="0" borderId="0" xfId="0"/>
    <xf numFmtId="0" fontId="0" fillId="0" borderId="0" xfId="0" applyAlignment="1">
      <alignment horizontal="left"/>
    </xf>
    <xf numFmtId="0" fontId="28" fillId="0" borderId="209" xfId="14" applyFont="1" applyBorder="1" applyAlignment="1">
      <alignment horizontal="center" vertical="center"/>
    </xf>
    <xf numFmtId="0" fontId="87" fillId="0" borderId="210" xfId="14" applyFont="1" applyBorder="1" applyAlignment="1">
      <alignment horizontal="center" vertical="center" wrapText="1"/>
    </xf>
    <xf numFmtId="0" fontId="87" fillId="0" borderId="210" xfId="14" applyFont="1" applyBorder="1" applyAlignment="1">
      <alignment horizontal="center" vertical="center"/>
    </xf>
    <xf numFmtId="0" fontId="87" fillId="0" borderId="213" xfId="14" applyFont="1" applyBorder="1" applyAlignment="1">
      <alignment horizontal="center" vertical="center" wrapText="1"/>
    </xf>
    <xf numFmtId="0" fontId="87" fillId="0" borderId="213" xfId="14" applyFont="1" applyBorder="1" applyAlignment="1">
      <alignment horizontal="center" vertical="center"/>
    </xf>
    <xf numFmtId="0" fontId="87" fillId="0" borderId="211" xfId="14" applyFont="1" applyBorder="1" applyAlignment="1">
      <alignment horizontal="center" vertical="center" wrapText="1"/>
    </xf>
    <xf numFmtId="0" fontId="87" fillId="0" borderId="212" xfId="14" applyFont="1" applyBorder="1" applyAlignment="1">
      <alignment horizontal="center" vertical="center" wrapText="1"/>
    </xf>
    <xf numFmtId="0" fontId="87" fillId="0" borderId="212" xfId="14" applyFont="1" applyBorder="1" applyAlignment="1">
      <alignment horizontal="center" vertical="center"/>
    </xf>
    <xf numFmtId="0" fontId="32" fillId="0" borderId="75" xfId="0" applyFont="1" applyFill="1" applyBorder="1" applyAlignment="1">
      <alignment horizontal="center" vertical="center" wrapText="1"/>
    </xf>
    <xf numFmtId="0" fontId="43" fillId="0" borderId="75" xfId="0" applyFont="1" applyFill="1" applyBorder="1"/>
    <xf numFmtId="0" fontId="43" fillId="0" borderId="76" xfId="0" applyFont="1" applyFill="1" applyBorder="1"/>
    <xf numFmtId="0" fontId="48" fillId="25" borderId="77" xfId="0" applyFont="1" applyFill="1" applyBorder="1" applyAlignment="1">
      <alignment horizontal="center" vertical="center"/>
    </xf>
    <xf numFmtId="0" fontId="32" fillId="0" borderId="123" xfId="0" applyFont="1" applyFill="1" applyBorder="1" applyAlignment="1">
      <alignment horizontal="center" vertical="center" wrapText="1"/>
    </xf>
    <xf numFmtId="0" fontId="32" fillId="0" borderId="7" xfId="0" applyFont="1" applyFill="1" applyBorder="1" applyAlignment="1">
      <alignment horizontal="center" vertical="center" wrapText="1"/>
    </xf>
    <xf numFmtId="0" fontId="32" fillId="0" borderId="122" xfId="0" applyFont="1" applyFill="1" applyBorder="1" applyAlignment="1">
      <alignment horizontal="center" vertical="center" wrapText="1"/>
    </xf>
    <xf numFmtId="0" fontId="51" fillId="28" borderId="202" xfId="0" applyFont="1" applyFill="1" applyBorder="1" applyAlignment="1">
      <alignment horizontal="center" vertical="center" wrapText="1"/>
    </xf>
    <xf numFmtId="0" fontId="51" fillId="28" borderId="94" xfId="0" applyFont="1" applyFill="1" applyBorder="1" applyAlignment="1">
      <alignment horizontal="center" vertical="center" wrapText="1"/>
    </xf>
    <xf numFmtId="0" fontId="51" fillId="28" borderId="95" xfId="0" applyFont="1" applyFill="1" applyBorder="1" applyAlignment="1">
      <alignment horizontal="center" vertical="center" wrapText="1"/>
    </xf>
    <xf numFmtId="0" fontId="48" fillId="0" borderId="70" xfId="0" applyFont="1" applyBorder="1" applyAlignment="1">
      <alignment horizontal="center" vertical="center" wrapText="1"/>
    </xf>
    <xf numFmtId="0" fontId="41" fillId="21" borderId="71" xfId="0" applyFont="1" applyFill="1" applyBorder="1" applyAlignment="1">
      <alignment horizontal="center"/>
    </xf>
    <xf numFmtId="0" fontId="48" fillId="0" borderId="18" xfId="0" applyFont="1" applyBorder="1" applyAlignment="1">
      <alignment horizontal="center" vertical="center" wrapText="1"/>
    </xf>
    <xf numFmtId="0" fontId="48" fillId="0" borderId="24" xfId="0" applyFont="1" applyBorder="1" applyAlignment="1">
      <alignment horizontal="center" vertical="center" wrapText="1"/>
    </xf>
    <xf numFmtId="0" fontId="48" fillId="0" borderId="19" xfId="0" applyFont="1" applyBorder="1" applyAlignment="1">
      <alignment horizontal="center" vertical="center" wrapText="1"/>
    </xf>
    <xf numFmtId="0" fontId="48" fillId="0" borderId="27" xfId="0" applyFont="1" applyBorder="1" applyAlignment="1">
      <alignment horizontal="center" vertical="center" wrapText="1"/>
    </xf>
    <xf numFmtId="0" fontId="48" fillId="0" borderId="0" xfId="0" applyFont="1" applyBorder="1" applyAlignment="1">
      <alignment horizontal="center" vertical="center" wrapText="1"/>
    </xf>
    <xf numFmtId="0" fontId="48" fillId="0" borderId="28" xfId="0" applyFont="1" applyBorder="1" applyAlignment="1">
      <alignment horizontal="center" vertical="center" wrapText="1"/>
    </xf>
    <xf numFmtId="0" fontId="32" fillId="0" borderId="35" xfId="0" applyFont="1" applyBorder="1" applyAlignment="1">
      <alignment horizontal="center" vertical="center" wrapText="1"/>
    </xf>
    <xf numFmtId="0" fontId="43" fillId="0" borderId="35" xfId="0" applyFont="1" applyBorder="1"/>
    <xf numFmtId="0" fontId="43" fillId="0" borderId="38" xfId="0" applyFont="1" applyBorder="1"/>
    <xf numFmtId="0" fontId="0" fillId="0" borderId="0" xfId="0" applyBorder="1"/>
    <xf numFmtId="0" fontId="43" fillId="0" borderId="53" xfId="0" applyFont="1" applyBorder="1"/>
    <xf numFmtId="0" fontId="43" fillId="0" borderId="39" xfId="0" applyFont="1" applyBorder="1"/>
    <xf numFmtId="0" fontId="43" fillId="0" borderId="34" xfId="0" applyFont="1" applyBorder="1"/>
    <xf numFmtId="0" fontId="43" fillId="0" borderId="63" xfId="0" applyFont="1" applyBorder="1" applyAlignment="1">
      <alignment horizontal="left"/>
    </xf>
    <xf numFmtId="0" fontId="43" fillId="0" borderId="64" xfId="0" applyFont="1" applyBorder="1" applyAlignment="1">
      <alignment horizontal="left"/>
    </xf>
    <xf numFmtId="0" fontId="28"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74" fillId="0" borderId="1" xfId="14" applyBorder="1" applyAlignment="1">
      <alignment horizontal="center" vertical="center" wrapText="1"/>
    </xf>
    <xf numFmtId="0" fontId="74" fillId="0" borderId="1" xfId="14" applyBorder="1" applyAlignment="1">
      <alignment horizontal="center" vertical="center"/>
    </xf>
    <xf numFmtId="0" fontId="17" fillId="0" borderId="1" xfId="14" applyFont="1" applyBorder="1" applyAlignment="1">
      <alignment horizontal="center" vertical="center" wrapText="1"/>
    </xf>
    <xf numFmtId="0" fontId="17" fillId="0" borderId="1" xfId="14" applyFont="1" applyBorder="1" applyAlignment="1">
      <alignment horizontal="center" vertical="center"/>
    </xf>
    <xf numFmtId="16" fontId="74" fillId="0" borderId="1" xfId="14" applyNumberFormat="1" applyBorder="1" applyAlignment="1">
      <alignment horizontal="center" vertical="center"/>
    </xf>
    <xf numFmtId="0" fontId="17" fillId="0" borderId="30" xfId="14" applyFont="1" applyBorder="1" applyAlignment="1">
      <alignment horizontal="center" vertical="center" wrapText="1"/>
    </xf>
    <xf numFmtId="0" fontId="17" fillId="0" borderId="23" xfId="14" applyFont="1" applyBorder="1" applyAlignment="1">
      <alignment horizontal="center" vertical="center" wrapText="1"/>
    </xf>
    <xf numFmtId="0" fontId="74" fillId="0" borderId="30" xfId="14" applyBorder="1" applyAlignment="1">
      <alignment horizontal="center" vertical="center" wrapText="1"/>
    </xf>
    <xf numFmtId="0" fontId="74" fillId="0" borderId="23" xfId="14" applyBorder="1" applyAlignment="1">
      <alignment horizontal="center" vertical="center" wrapText="1"/>
    </xf>
    <xf numFmtId="0" fontId="74" fillId="0" borderId="30" xfId="14" applyBorder="1" applyAlignment="1">
      <alignment horizontal="center" vertical="center"/>
    </xf>
    <xf numFmtId="0" fontId="74" fillId="0" borderId="23" xfId="14" applyBorder="1" applyAlignment="1">
      <alignment horizontal="center" vertical="center"/>
    </xf>
    <xf numFmtId="0" fontId="17" fillId="0" borderId="31" xfId="14" applyFont="1" applyBorder="1" applyAlignment="1">
      <alignment horizontal="center" vertical="center" wrapText="1"/>
    </xf>
    <xf numFmtId="0" fontId="72" fillId="0" borderId="190" xfId="0" applyFont="1" applyBorder="1" applyAlignment="1">
      <alignment vertical="center" wrapText="1"/>
    </xf>
    <xf numFmtId="0" fontId="72" fillId="0" borderId="63" xfId="0" applyFont="1" applyBorder="1" applyAlignment="1">
      <alignment vertical="center" wrapText="1"/>
    </xf>
    <xf numFmtId="0" fontId="72" fillId="0" borderId="191" xfId="0" applyFont="1" applyBorder="1" applyAlignment="1">
      <alignment vertical="center" wrapText="1"/>
    </xf>
    <xf numFmtId="0" fontId="72" fillId="0" borderId="190" xfId="0" applyFont="1" applyBorder="1" applyAlignment="1">
      <alignment horizontal="center" vertical="center" wrapText="1"/>
    </xf>
    <xf numFmtId="0" fontId="72" fillId="0" borderId="63" xfId="0" applyFont="1" applyBorder="1" applyAlignment="1">
      <alignment horizontal="center" vertical="center" wrapText="1"/>
    </xf>
    <xf numFmtId="0" fontId="72" fillId="0" borderId="191" xfId="0" applyFont="1" applyBorder="1" applyAlignment="1">
      <alignment horizontal="center" vertical="center" wrapText="1"/>
    </xf>
    <xf numFmtId="0" fontId="72" fillId="0" borderId="195" xfId="0" applyFont="1" applyBorder="1" applyAlignment="1">
      <alignment horizontal="center" vertical="center" wrapText="1"/>
    </xf>
    <xf numFmtId="0" fontId="72" fillId="0" borderId="92" xfId="0" applyFont="1" applyBorder="1" applyAlignment="1">
      <alignment horizontal="center" vertical="center" wrapText="1"/>
    </xf>
    <xf numFmtId="0" fontId="72" fillId="0" borderId="196" xfId="0" applyFont="1" applyBorder="1" applyAlignment="1">
      <alignment horizontal="center" vertical="center" wrapText="1"/>
    </xf>
    <xf numFmtId="0" fontId="72" fillId="0" borderId="193" xfId="0" applyFont="1" applyBorder="1" applyAlignment="1">
      <alignment horizontal="center" vertical="center" wrapText="1"/>
    </xf>
    <xf numFmtId="0" fontId="72" fillId="0" borderId="94" xfId="0" applyFont="1" applyBorder="1" applyAlignment="1">
      <alignment horizontal="center" vertical="center" wrapText="1"/>
    </xf>
    <xf numFmtId="0" fontId="72" fillId="0" borderId="194" xfId="0" applyFont="1" applyBorder="1" applyAlignment="1">
      <alignment horizontal="center" vertical="center" wrapText="1"/>
    </xf>
    <xf numFmtId="0" fontId="42" fillId="0" borderId="62" xfId="0" applyFont="1" applyBorder="1" applyAlignment="1">
      <alignment horizontal="center" vertical="center" wrapText="1"/>
    </xf>
    <xf numFmtId="0" fontId="43" fillId="0" borderId="63" xfId="0" applyFont="1" applyBorder="1" applyAlignment="1">
      <alignment horizontal="center"/>
    </xf>
    <xf numFmtId="0" fontId="43" fillId="0" borderId="64" xfId="0" applyFont="1" applyBorder="1" applyAlignment="1">
      <alignment horizontal="center"/>
    </xf>
    <xf numFmtId="0" fontId="78" fillId="33" borderId="74" xfId="11" applyFont="1" applyFill="1" applyBorder="1" applyAlignment="1">
      <alignment horizontal="center" vertical="center"/>
    </xf>
    <xf numFmtId="0" fontId="77" fillId="0" borderId="75" xfId="11" applyFont="1" applyBorder="1"/>
    <xf numFmtId="0" fontId="72" fillId="0" borderId="197" xfId="0" applyFont="1" applyBorder="1" applyAlignment="1">
      <alignment horizontal="center" vertical="center" wrapText="1"/>
    </xf>
    <xf numFmtId="0" fontId="72" fillId="0" borderId="0" xfId="0" applyFont="1" applyBorder="1" applyAlignment="1">
      <alignment horizontal="center" vertical="center" wrapText="1"/>
    </xf>
    <xf numFmtId="0" fontId="72" fillId="0" borderId="198" xfId="0" applyFont="1" applyBorder="1" applyAlignment="1">
      <alignment horizontal="center" vertical="center" wrapText="1"/>
    </xf>
    <xf numFmtId="0" fontId="3" fillId="0" borderId="190" xfId="0" applyFont="1" applyBorder="1" applyAlignment="1">
      <alignment horizontal="center" vertical="center" wrapText="1"/>
    </xf>
    <xf numFmtId="0" fontId="3" fillId="0" borderId="63" xfId="0" applyFont="1" applyBorder="1" applyAlignment="1">
      <alignment horizontal="center" vertical="center" wrapText="1"/>
    </xf>
    <xf numFmtId="0" fontId="3" fillId="0" borderId="191" xfId="0" applyFont="1" applyBorder="1" applyAlignment="1">
      <alignment horizontal="center" vertical="center" wrapText="1"/>
    </xf>
    <xf numFmtId="0" fontId="0" fillId="40" borderId="190" xfId="0" applyFill="1" applyBorder="1" applyAlignment="1">
      <alignment vertical="center" wrapText="1"/>
    </xf>
    <xf numFmtId="0" fontId="0" fillId="40" borderId="63" xfId="0" applyFill="1" applyBorder="1" applyAlignment="1">
      <alignment vertical="center" wrapText="1"/>
    </xf>
    <xf numFmtId="0" fontId="0" fillId="40" borderId="191" xfId="0" applyFill="1" applyBorder="1" applyAlignment="1">
      <alignment vertical="center" wrapText="1"/>
    </xf>
    <xf numFmtId="0" fontId="0" fillId="40" borderId="190" xfId="0" applyFill="1" applyBorder="1" applyAlignment="1">
      <alignment wrapText="1"/>
    </xf>
    <xf numFmtId="0" fontId="0" fillId="40" borderId="63" xfId="0" applyFill="1" applyBorder="1" applyAlignment="1">
      <alignment wrapText="1"/>
    </xf>
    <xf numFmtId="0" fontId="0" fillId="40" borderId="191" xfId="0" applyFill="1" applyBorder="1" applyAlignment="1">
      <alignment wrapText="1"/>
    </xf>
    <xf numFmtId="0" fontId="3" fillId="0" borderId="195" xfId="0" applyFont="1" applyBorder="1" applyAlignment="1">
      <alignment horizontal="center" vertical="center" wrapText="1"/>
    </xf>
    <xf numFmtId="0" fontId="3" fillId="0" borderId="92" xfId="0" applyFont="1" applyBorder="1" applyAlignment="1">
      <alignment horizontal="center" vertical="center" wrapText="1"/>
    </xf>
    <xf numFmtId="0" fontId="3" fillId="0" borderId="196" xfId="0" applyFont="1" applyBorder="1" applyAlignment="1">
      <alignment horizontal="center" vertical="center" wrapText="1"/>
    </xf>
    <xf numFmtId="0" fontId="3" fillId="0" borderId="193" xfId="0" applyFont="1" applyBorder="1" applyAlignment="1">
      <alignment horizontal="center" vertical="center" wrapText="1"/>
    </xf>
    <xf numFmtId="0" fontId="3" fillId="0" borderId="94" xfId="0" applyFont="1" applyBorder="1" applyAlignment="1">
      <alignment horizontal="center" vertical="center" wrapText="1"/>
    </xf>
    <xf numFmtId="0" fontId="3" fillId="0" borderId="194" xfId="0" applyFont="1" applyBorder="1" applyAlignment="1">
      <alignment horizontal="center" vertical="center" wrapText="1"/>
    </xf>
    <xf numFmtId="0" fontId="3" fillId="0" borderId="197"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98" xfId="0" applyFont="1" applyBorder="1" applyAlignment="1">
      <alignment horizontal="center" vertical="center" wrapText="1"/>
    </xf>
    <xf numFmtId="0" fontId="72" fillId="0" borderId="216" xfId="0" applyFont="1" applyBorder="1" applyAlignment="1">
      <alignment horizontal="center" vertical="center" wrapText="1"/>
    </xf>
    <xf numFmtId="0" fontId="72" fillId="0" borderId="217" xfId="0" applyFont="1" applyBorder="1" applyAlignment="1">
      <alignment horizontal="center" vertical="center" wrapText="1"/>
    </xf>
    <xf numFmtId="0" fontId="72" fillId="0" borderId="218" xfId="0" applyFont="1" applyBorder="1" applyAlignment="1">
      <alignment horizontal="center" vertical="center" wrapText="1"/>
    </xf>
    <xf numFmtId="0" fontId="48" fillId="0" borderId="75" xfId="2" applyFont="1" applyBorder="1" applyAlignment="1">
      <alignment horizontal="center" vertical="center" wrapText="1"/>
    </xf>
    <xf numFmtId="0" fontId="48" fillId="0" borderId="77" xfId="2" applyFont="1" applyBorder="1" applyAlignment="1">
      <alignment horizontal="center" vertical="center" wrapText="1"/>
    </xf>
    <xf numFmtId="0" fontId="43" fillId="0" borderId="77" xfId="2" applyFont="1" applyBorder="1"/>
    <xf numFmtId="0" fontId="43" fillId="0" borderId="72" xfId="2" applyFont="1" applyBorder="1"/>
    <xf numFmtId="0" fontId="43" fillId="0" borderId="70" xfId="2" applyFont="1" applyBorder="1"/>
    <xf numFmtId="0" fontId="43" fillId="0" borderId="85" xfId="2" applyFont="1" applyBorder="1"/>
    <xf numFmtId="0" fontId="48" fillId="25" borderId="75" xfId="2" applyFont="1" applyFill="1" applyBorder="1" applyAlignment="1">
      <alignment horizontal="center" vertical="center"/>
    </xf>
    <xf numFmtId="0" fontId="48" fillId="0" borderId="75" xfId="2" applyFont="1" applyBorder="1" applyAlignment="1">
      <alignment horizontal="left" vertical="center" wrapText="1"/>
    </xf>
    <xf numFmtId="0" fontId="48" fillId="25" borderId="75" xfId="2" applyFont="1" applyFill="1" applyBorder="1" applyAlignment="1">
      <alignment horizontal="center" vertical="center" wrapText="1"/>
    </xf>
    <xf numFmtId="0" fontId="32" fillId="0" borderId="75" xfId="2" applyFont="1" applyBorder="1" applyAlignment="1">
      <alignment horizontal="center" vertical="center" wrapText="1"/>
    </xf>
    <xf numFmtId="0" fontId="50" fillId="25" borderId="75" xfId="2" applyFont="1" applyFill="1" applyBorder="1" applyAlignment="1">
      <alignment horizontal="left" vertical="center" wrapText="1"/>
    </xf>
    <xf numFmtId="0" fontId="42" fillId="25" borderId="75" xfId="2" applyFont="1" applyFill="1" applyBorder="1" applyAlignment="1">
      <alignment horizontal="center"/>
    </xf>
    <xf numFmtId="0" fontId="47" fillId="28" borderId="77" xfId="2" applyFont="1" applyFill="1" applyBorder="1" applyAlignment="1">
      <alignment horizontal="center" vertical="center" wrapText="1"/>
    </xf>
    <xf numFmtId="0" fontId="43" fillId="0" borderId="0" xfId="2" applyFont="1" applyBorder="1"/>
    <xf numFmtId="0" fontId="47" fillId="28" borderId="74" xfId="2" applyFont="1" applyFill="1" applyBorder="1" applyAlignment="1">
      <alignment horizontal="center" vertical="center" wrapText="1"/>
    </xf>
    <xf numFmtId="0" fontId="47" fillId="23" borderId="71" xfId="2" applyFont="1" applyFill="1" applyBorder="1" applyAlignment="1">
      <alignment horizontal="center" vertical="center" wrapText="1"/>
    </xf>
    <xf numFmtId="0" fontId="43" fillId="0" borderId="91" xfId="2" applyFont="1" applyBorder="1"/>
    <xf numFmtId="0" fontId="47" fillId="26" borderId="71" xfId="2" applyFont="1" applyFill="1" applyBorder="1" applyAlignment="1">
      <alignment horizontal="center" vertical="center"/>
    </xf>
    <xf numFmtId="0" fontId="43" fillId="0" borderId="89" xfId="2" applyFont="1" applyBorder="1"/>
    <xf numFmtId="0" fontId="43" fillId="0" borderId="90" xfId="2" applyFont="1" applyBorder="1"/>
    <xf numFmtId="0" fontId="47" fillId="27" borderId="71" xfId="2" applyFont="1" applyFill="1" applyBorder="1" applyAlignment="1">
      <alignment horizontal="center" vertical="center" wrapText="1"/>
    </xf>
    <xf numFmtId="0" fontId="43" fillId="0" borderId="86" xfId="2" applyFont="1" applyBorder="1"/>
    <xf numFmtId="0" fontId="47" fillId="28" borderId="92" xfId="2" applyFont="1" applyFill="1" applyBorder="1" applyAlignment="1">
      <alignment horizontal="center" vertical="center" wrapText="1"/>
    </xf>
    <xf numFmtId="0" fontId="43" fillId="0" borderId="93" xfId="2" applyFont="1" applyBorder="1"/>
    <xf numFmtId="0" fontId="43" fillId="0" borderId="88" xfId="2" applyFont="1" applyBorder="1"/>
    <xf numFmtId="0" fontId="43" fillId="0" borderId="94" xfId="2" applyFont="1" applyBorder="1"/>
    <xf numFmtId="0" fontId="43" fillId="0" borderId="95" xfId="2" applyFont="1" applyBorder="1"/>
    <xf numFmtId="0" fontId="47" fillId="28" borderId="62" xfId="2" applyFont="1" applyFill="1" applyBorder="1" applyAlignment="1">
      <alignment horizontal="center" vertical="center" wrapText="1"/>
    </xf>
    <xf numFmtId="0" fontId="43" fillId="0" borderId="63" xfId="2" applyFont="1" applyBorder="1"/>
    <xf numFmtId="0" fontId="43" fillId="0" borderId="64" xfId="2" applyFont="1" applyBorder="1"/>
    <xf numFmtId="0" fontId="32" fillId="0" borderId="77" xfId="2" applyFont="1" applyBorder="1" applyAlignment="1">
      <alignment horizontal="center" vertical="center"/>
    </xf>
    <xf numFmtId="0" fontId="47" fillId="28" borderId="86" xfId="2" applyFont="1" applyFill="1" applyBorder="1" applyAlignment="1">
      <alignment horizontal="center" vertical="center" wrapText="1"/>
    </xf>
    <xf numFmtId="0" fontId="47" fillId="28" borderId="71" xfId="2" applyFont="1" applyFill="1" applyBorder="1" applyAlignment="1">
      <alignment horizontal="center" vertical="center" wrapText="1"/>
    </xf>
    <xf numFmtId="0" fontId="37" fillId="0" borderId="0" xfId="2"/>
    <xf numFmtId="0" fontId="43" fillId="0" borderId="81" xfId="2" applyFont="1" applyBorder="1"/>
    <xf numFmtId="0" fontId="48" fillId="25" borderId="77" xfId="2" applyFont="1" applyFill="1" applyBorder="1" applyAlignment="1">
      <alignment horizontal="center" vertical="center" wrapText="1"/>
    </xf>
    <xf numFmtId="0" fontId="32" fillId="0" borderId="77" xfId="2" applyFont="1" applyBorder="1" applyAlignment="1">
      <alignment horizontal="center" vertical="center" wrapText="1"/>
    </xf>
    <xf numFmtId="0" fontId="42" fillId="0" borderId="62" xfId="2" applyFont="1" applyBorder="1" applyAlignment="1">
      <alignment horizontal="center" vertical="center" wrapText="1"/>
    </xf>
    <xf numFmtId="0" fontId="43" fillId="0" borderId="63" xfId="2" applyFont="1" applyBorder="1" applyAlignment="1">
      <alignment wrapText="1"/>
    </xf>
    <xf numFmtId="0" fontId="43" fillId="0" borderId="64" xfId="2" applyFont="1" applyBorder="1" applyAlignment="1">
      <alignment wrapText="1"/>
    </xf>
    <xf numFmtId="0" fontId="42" fillId="0" borderId="62" xfId="2" applyFont="1" applyBorder="1" applyAlignment="1">
      <alignment horizontal="left" vertical="center" wrapText="1"/>
    </xf>
    <xf numFmtId="0" fontId="41" fillId="21" borderId="0" xfId="2" applyFont="1" applyFill="1" applyBorder="1" applyAlignment="1">
      <alignment horizontal="center" vertical="center" wrapText="1"/>
    </xf>
    <xf numFmtId="0" fontId="42" fillId="0" borderId="62" xfId="2" applyFont="1" applyBorder="1" applyAlignment="1">
      <alignment horizontal="left" vertical="center"/>
    </xf>
    <xf numFmtId="0" fontId="42" fillId="0" borderId="62" xfId="2" applyFont="1" applyBorder="1" applyAlignment="1">
      <alignment horizontal="center" vertical="center"/>
    </xf>
    <xf numFmtId="0" fontId="28" fillId="0" borderId="62" xfId="2" applyFont="1" applyBorder="1" applyAlignment="1">
      <alignment horizontal="left" vertical="center" wrapText="1"/>
    </xf>
    <xf numFmtId="0" fontId="42" fillId="0" borderId="0" xfId="2" applyFont="1" applyBorder="1" applyAlignment="1">
      <alignment horizontal="center" vertical="center" wrapText="1"/>
    </xf>
    <xf numFmtId="0" fontId="41" fillId="21" borderId="71" xfId="2" applyFont="1" applyFill="1" applyBorder="1" applyAlignment="1">
      <alignment horizontal="left"/>
    </xf>
    <xf numFmtId="0" fontId="46" fillId="22" borderId="0" xfId="2" applyFont="1" applyFill="1" applyBorder="1" applyAlignment="1">
      <alignment horizontal="center" vertical="center" wrapText="1"/>
    </xf>
    <xf numFmtId="0" fontId="41" fillId="21" borderId="74" xfId="2" applyFont="1" applyFill="1" applyBorder="1" applyAlignment="1">
      <alignment horizontal="center"/>
    </xf>
    <xf numFmtId="0" fontId="47" fillId="23" borderId="77" xfId="2" applyFont="1" applyFill="1" applyBorder="1" applyAlignment="1">
      <alignment horizontal="center" vertical="center" wrapText="1"/>
    </xf>
    <xf numFmtId="0" fontId="47" fillId="24" borderId="71" xfId="2" applyFont="1" applyFill="1" applyBorder="1" applyAlignment="1">
      <alignment horizontal="center" vertical="center" wrapText="1"/>
    </xf>
    <xf numFmtId="0" fontId="47" fillId="23" borderId="62" xfId="2" applyFont="1" applyFill="1" applyBorder="1" applyAlignment="1">
      <alignment horizontal="center" vertical="center" wrapText="1"/>
    </xf>
    <xf numFmtId="0" fontId="47" fillId="23" borderId="86" xfId="2" applyFont="1" applyFill="1" applyBorder="1" applyAlignment="1">
      <alignment horizontal="center" vertical="center" wrapText="1"/>
    </xf>
    <xf numFmtId="0" fontId="0" fillId="7" borderId="1" xfId="0" applyFill="1" applyBorder="1" applyAlignment="1">
      <alignment horizontal="center" vertical="center" wrapText="1"/>
    </xf>
    <xf numFmtId="0" fontId="3" fillId="0" borderId="1" xfId="0" applyFont="1" applyBorder="1" applyAlignment="1">
      <alignment horizontal="left" vertical="center" wrapText="1"/>
    </xf>
    <xf numFmtId="0" fontId="6" fillId="0" borderId="1" xfId="0" applyFont="1" applyBorder="1" applyAlignment="1">
      <alignment horizontal="left" vertical="center" wrapText="1"/>
    </xf>
    <xf numFmtId="0" fontId="0" fillId="3" borderId="1" xfId="0" applyFill="1" applyBorder="1" applyAlignment="1">
      <alignment horizontal="left" vertical="center" wrapText="1"/>
    </xf>
    <xf numFmtId="0" fontId="3" fillId="0" borderId="16" xfId="0" applyFont="1" applyBorder="1" applyAlignment="1">
      <alignment horizontal="left" vertical="center" wrapText="1"/>
    </xf>
    <xf numFmtId="0" fontId="3" fillId="0" borderId="22" xfId="0" applyFont="1" applyBorder="1" applyAlignment="1">
      <alignment horizontal="left" vertical="center" wrapText="1"/>
    </xf>
    <xf numFmtId="0" fontId="3" fillId="0" borderId="17" xfId="0" applyFont="1" applyBorder="1" applyAlignment="1">
      <alignment horizontal="left" vertical="center" wrapText="1"/>
    </xf>
    <xf numFmtId="0" fontId="0" fillId="2" borderId="24" xfId="0" applyFill="1" applyBorder="1" applyAlignment="1">
      <alignment horizontal="center" vertical="center" wrapText="1"/>
    </xf>
    <xf numFmtId="0" fontId="0" fillId="2" borderId="0" xfId="0" applyFill="1" applyAlignment="1">
      <alignment horizontal="center" vertical="center" wrapText="1"/>
    </xf>
    <xf numFmtId="0" fontId="3" fillId="0" borderId="1" xfId="0" applyFont="1" applyBorder="1" applyAlignment="1">
      <alignment horizontal="left" vertical="center"/>
    </xf>
    <xf numFmtId="0" fontId="1" fillId="5" borderId="1" xfId="0" applyFont="1" applyFill="1" applyBorder="1" applyAlignment="1">
      <alignment horizontal="left"/>
    </xf>
    <xf numFmtId="0" fontId="1" fillId="5" borderId="1" xfId="0" applyFont="1" applyFill="1" applyBorder="1" applyAlignment="1">
      <alignment horizontal="center"/>
    </xf>
    <xf numFmtId="0" fontId="3" fillId="0" borderId="18" xfId="0" applyFont="1" applyBorder="1" applyAlignment="1">
      <alignment horizontal="left" vertical="center" wrapText="1"/>
    </xf>
    <xf numFmtId="0" fontId="3" fillId="0" borderId="24" xfId="0" applyFont="1" applyBorder="1" applyAlignment="1">
      <alignment horizontal="left" vertical="center" wrapText="1"/>
    </xf>
    <xf numFmtId="0" fontId="3" fillId="0" borderId="19" xfId="0" applyFont="1" applyBorder="1" applyAlignment="1">
      <alignment horizontal="left" vertical="center" wrapText="1"/>
    </xf>
    <xf numFmtId="0" fontId="3" fillId="0" borderId="20" xfId="0" applyFont="1" applyBorder="1" applyAlignment="1">
      <alignment horizontal="left" vertical="center" wrapText="1"/>
    </xf>
    <xf numFmtId="0" fontId="3" fillId="0" borderId="29" xfId="0" applyFont="1" applyBorder="1" applyAlignment="1">
      <alignment horizontal="left" vertical="center" wrapText="1"/>
    </xf>
    <xf numFmtId="0" fontId="3" fillId="0" borderId="21" xfId="0" applyFont="1" applyBorder="1" applyAlignment="1">
      <alignment horizontal="left" vertical="center" wrapText="1"/>
    </xf>
    <xf numFmtId="0" fontId="1" fillId="5" borderId="6" xfId="0" applyFont="1" applyFill="1" applyBorder="1" applyAlignment="1">
      <alignment horizontal="left" vertical="center"/>
    </xf>
    <xf numFmtId="0" fontId="1" fillId="5" borderId="7" xfId="0" applyFont="1" applyFill="1" applyBorder="1" applyAlignment="1">
      <alignment horizontal="left" vertical="center"/>
    </xf>
    <xf numFmtId="0" fontId="0" fillId="0" borderId="6" xfId="0" applyFont="1" applyBorder="1" applyAlignment="1">
      <alignment horizontal="center" vertical="center" wrapText="1"/>
    </xf>
    <xf numFmtId="0" fontId="0" fillId="0" borderId="8" xfId="0" applyFont="1" applyBorder="1" applyAlignment="1">
      <alignment horizontal="center" vertical="center" wrapText="1"/>
    </xf>
    <xf numFmtId="0" fontId="25" fillId="0" borderId="50" xfId="0" applyFont="1" applyBorder="1" applyAlignment="1">
      <alignment horizontal="center" vertical="center"/>
    </xf>
    <xf numFmtId="0" fontId="25" fillId="0" borderId="24" xfId="0" applyFont="1" applyBorder="1" applyAlignment="1">
      <alignment horizontal="center" vertical="center"/>
    </xf>
    <xf numFmtId="0" fontId="25" fillId="0" borderId="19" xfId="0" applyFont="1" applyBorder="1" applyAlignment="1">
      <alignment horizontal="center" vertical="center"/>
    </xf>
    <xf numFmtId="0" fontId="0" fillId="0" borderId="12" xfId="0" applyBorder="1" applyAlignment="1">
      <alignment horizontal="left"/>
    </xf>
    <xf numFmtId="0" fontId="0" fillId="0" borderId="13" xfId="0" applyBorder="1" applyAlignment="1">
      <alignment horizontal="left"/>
    </xf>
    <xf numFmtId="0" fontId="0" fillId="0" borderId="14" xfId="0" applyBorder="1" applyAlignment="1">
      <alignment horizontal="left"/>
    </xf>
    <xf numFmtId="0" fontId="0" fillId="0" borderId="15" xfId="0" applyBorder="1" applyAlignment="1">
      <alignment horizontal="left"/>
    </xf>
    <xf numFmtId="0" fontId="1" fillId="5" borderId="2" xfId="0" applyFont="1" applyFill="1" applyBorder="1" applyAlignment="1">
      <alignment horizontal="left" vertical="center"/>
    </xf>
    <xf numFmtId="0" fontId="1" fillId="5" borderId="4" xfId="0" applyFont="1" applyFill="1" applyBorder="1" applyAlignment="1">
      <alignment horizontal="left" vertical="center"/>
    </xf>
    <xf numFmtId="0" fontId="0" fillId="0" borderId="25" xfId="0" applyBorder="1" applyAlignment="1">
      <alignment horizontal="left" vertical="center" wrapText="1"/>
    </xf>
    <xf numFmtId="0" fontId="0" fillId="0" borderId="3" xfId="0" applyBorder="1" applyAlignment="1">
      <alignment horizontal="left" vertical="center" wrapText="1"/>
    </xf>
    <xf numFmtId="0" fontId="0" fillId="0" borderId="26" xfId="0" applyBorder="1" applyAlignment="1">
      <alignment horizontal="left" vertical="center" wrapText="1"/>
    </xf>
    <xf numFmtId="0" fontId="0" fillId="0" borderId="5" xfId="0" applyBorder="1" applyAlignment="1">
      <alignment horizontal="left" vertical="center" wrapText="1"/>
    </xf>
    <xf numFmtId="0" fontId="0" fillId="0" borderId="10" xfId="0" applyBorder="1" applyAlignment="1">
      <alignment horizontal="left"/>
    </xf>
    <xf numFmtId="0" fontId="0" fillId="0" borderId="11" xfId="0" applyBorder="1" applyAlignment="1">
      <alignment horizontal="left"/>
    </xf>
    <xf numFmtId="0" fontId="29" fillId="0" borderId="0" xfId="0" applyFont="1" applyBorder="1" applyAlignment="1">
      <alignment horizontal="center" vertical="center" wrapText="1"/>
    </xf>
    <xf numFmtId="0" fontId="28" fillId="0" borderId="62" xfId="0" applyFont="1" applyBorder="1" applyAlignment="1">
      <alignment horizontal="left" vertical="center"/>
    </xf>
    <xf numFmtId="0" fontId="43" fillId="0" borderId="63" xfId="0" applyFont="1" applyBorder="1" applyAlignment="1">
      <alignment horizontal="left" wrapText="1"/>
    </xf>
    <xf numFmtId="0" fontId="43" fillId="0" borderId="64" xfId="0" applyFont="1" applyBorder="1" applyAlignment="1">
      <alignment horizontal="left" wrapText="1"/>
    </xf>
    <xf numFmtId="0" fontId="29" fillId="0" borderId="62" xfId="0" applyFont="1" applyBorder="1" applyAlignment="1">
      <alignment horizontal="left" vertical="center" wrapText="1"/>
    </xf>
    <xf numFmtId="0" fontId="74" fillId="0" borderId="73" xfId="14" applyFont="1" applyBorder="1" applyAlignment="1">
      <alignment horizontal="center" vertical="center"/>
    </xf>
    <xf numFmtId="0" fontId="74" fillId="0" borderId="166" xfId="14" applyFont="1" applyBorder="1" applyAlignment="1">
      <alignment horizontal="center" vertical="center"/>
    </xf>
    <xf numFmtId="0" fontId="7" fillId="0" borderId="73" xfId="14" applyFont="1" applyBorder="1" applyAlignment="1">
      <alignment horizontal="center" vertical="center"/>
    </xf>
    <xf numFmtId="0" fontId="7" fillId="0" borderId="166" xfId="14" applyFont="1" applyBorder="1" applyAlignment="1">
      <alignment horizontal="center" vertical="center"/>
    </xf>
    <xf numFmtId="0" fontId="7" fillId="0" borderId="73" xfId="14" applyFont="1" applyBorder="1" applyAlignment="1">
      <alignment horizontal="center" vertical="center" wrapText="1"/>
    </xf>
    <xf numFmtId="0" fontId="7" fillId="0" borderId="166" xfId="14" applyFont="1" applyBorder="1" applyAlignment="1">
      <alignment horizontal="center" vertical="center" wrapText="1"/>
    </xf>
    <xf numFmtId="0" fontId="48" fillId="0" borderId="107" xfId="0" applyFont="1" applyBorder="1" applyAlignment="1">
      <alignment horizontal="center" vertical="center" wrapText="1"/>
    </xf>
    <xf numFmtId="0" fontId="43" fillId="0" borderId="108" xfId="0" applyFont="1" applyBorder="1"/>
    <xf numFmtId="0" fontId="43" fillId="0" borderId="112" xfId="0" applyFont="1" applyBorder="1"/>
    <xf numFmtId="0" fontId="48" fillId="25" borderId="113" xfId="0" applyFont="1" applyFill="1" applyBorder="1" applyAlignment="1">
      <alignment horizontal="center" vertical="center" wrapText="1"/>
    </xf>
    <xf numFmtId="0" fontId="43" fillId="0" borderId="104" xfId="0" applyFont="1" applyBorder="1"/>
    <xf numFmtId="0" fontId="48" fillId="0" borderId="113" xfId="0" applyFont="1" applyBorder="1" applyAlignment="1">
      <alignment horizontal="center" vertical="center" wrapText="1"/>
    </xf>
    <xf numFmtId="0" fontId="50" fillId="25" borderId="113" xfId="0" applyFont="1" applyFill="1" applyBorder="1" applyAlignment="1">
      <alignment horizontal="left" vertical="center" wrapText="1"/>
    </xf>
    <xf numFmtId="0" fontId="42" fillId="25" borderId="113" xfId="0" applyFont="1" applyFill="1" applyBorder="1" applyAlignment="1">
      <alignment horizontal="center"/>
    </xf>
    <xf numFmtId="0" fontId="48" fillId="0" borderId="113" xfId="0" applyFont="1" applyBorder="1" applyAlignment="1">
      <alignment horizontal="left" vertical="center" wrapText="1"/>
    </xf>
    <xf numFmtId="0" fontId="39" fillId="0" borderId="113" xfId="0" quotePrefix="1" applyFont="1" applyBorder="1" applyAlignment="1">
      <alignment horizontal="center" vertical="center" wrapText="1"/>
    </xf>
    <xf numFmtId="0" fontId="43" fillId="0" borderId="75" xfId="0" applyFont="1" applyBorder="1" applyAlignment="1">
      <alignment horizontal="center"/>
    </xf>
    <xf numFmtId="0" fontId="43" fillId="0" borderId="104" xfId="0" applyFont="1" applyBorder="1" applyAlignment="1">
      <alignment horizontal="center"/>
    </xf>
    <xf numFmtId="0" fontId="39" fillId="0" borderId="113" xfId="0" applyFont="1" applyBorder="1" applyAlignment="1">
      <alignment horizontal="center" vertical="center" wrapText="1"/>
    </xf>
    <xf numFmtId="0" fontId="48" fillId="0" borderId="58" xfId="0" applyFont="1" applyBorder="1" applyAlignment="1">
      <alignment horizontal="center" vertical="center" wrapText="1"/>
    </xf>
    <xf numFmtId="0" fontId="43" fillId="0" borderId="99" xfId="0" applyFont="1" applyBorder="1"/>
    <xf numFmtId="0" fontId="43" fillId="0" borderId="100" xfId="0" applyFont="1" applyBorder="1"/>
    <xf numFmtId="0" fontId="48" fillId="25" borderId="113" xfId="0" applyFont="1" applyFill="1" applyBorder="1" applyAlignment="1">
      <alignment horizontal="center" vertical="center"/>
    </xf>
    <xf numFmtId="0" fontId="32" fillId="0" borderId="113" xfId="0" applyFont="1" applyBorder="1" applyAlignment="1">
      <alignment horizontal="center" vertical="center" wrapText="1"/>
    </xf>
    <xf numFmtId="0" fontId="48" fillId="25" borderId="101" xfId="0" applyFont="1" applyFill="1" applyBorder="1" applyAlignment="1">
      <alignment horizontal="center" vertical="center" wrapText="1"/>
    </xf>
    <xf numFmtId="0" fontId="43" fillId="0" borderId="102" xfId="0" applyFont="1" applyBorder="1"/>
    <xf numFmtId="0" fontId="48" fillId="0" borderId="101" xfId="0" applyFont="1" applyBorder="1" applyAlignment="1">
      <alignment horizontal="center" vertical="center" wrapText="1"/>
    </xf>
    <xf numFmtId="0" fontId="48" fillId="0" borderId="101" xfId="0" applyFont="1" applyBorder="1" applyAlignment="1">
      <alignment horizontal="center" vertical="center"/>
    </xf>
    <xf numFmtId="0" fontId="29" fillId="0" borderId="44" xfId="0" applyFont="1" applyBorder="1" applyAlignment="1">
      <alignment horizontal="center"/>
    </xf>
    <xf numFmtId="0" fontId="43" fillId="0" borderId="1" xfId="0" applyFont="1" applyBorder="1" applyAlignment="1">
      <alignment horizontal="center"/>
    </xf>
    <xf numFmtId="0" fontId="43" fillId="0" borderId="43" xfId="0" applyFont="1" applyBorder="1" applyAlignment="1">
      <alignment horizontal="center"/>
    </xf>
    <xf numFmtId="0" fontId="0" fillId="0" borderId="58" xfId="0" applyBorder="1"/>
    <xf numFmtId="0" fontId="48" fillId="0" borderId="44" xfId="0" applyFont="1" applyBorder="1" applyAlignment="1">
      <alignment horizontal="center" vertical="center" wrapText="1"/>
    </xf>
    <xf numFmtId="0" fontId="43" fillId="0" borderId="1" xfId="0" applyFont="1" applyBorder="1"/>
    <xf numFmtId="0" fontId="43" fillId="0" borderId="43" xfId="0" applyFont="1" applyBorder="1"/>
    <xf numFmtId="0" fontId="43" fillId="0" borderId="44" xfId="0" applyFont="1" applyBorder="1"/>
    <xf numFmtId="0" fontId="23" fillId="19" borderId="0" xfId="0" applyFont="1" applyFill="1" applyAlignment="1">
      <alignment horizontal="center" vertical="center"/>
    </xf>
    <xf numFmtId="0" fontId="48" fillId="0" borderId="2" xfId="0" applyFont="1" applyBorder="1" applyAlignment="1">
      <alignment horizontal="center" vertical="center" wrapText="1"/>
    </xf>
    <xf numFmtId="0" fontId="43" fillId="0" borderId="25" xfId="0" applyFont="1" applyBorder="1"/>
    <xf numFmtId="0" fontId="43" fillId="0" borderId="3" xfId="0" applyFont="1" applyBorder="1"/>
    <xf numFmtId="0" fontId="0" fillId="0" borderId="44" xfId="0" applyBorder="1"/>
    <xf numFmtId="0" fontId="0" fillId="0" borderId="1" xfId="0" applyBorder="1"/>
    <xf numFmtId="0" fontId="32" fillId="0" borderId="0" xfId="0" applyFont="1" applyBorder="1" applyAlignment="1">
      <alignment horizontal="center" vertical="center" wrapText="1"/>
    </xf>
    <xf numFmtId="0" fontId="28" fillId="0" borderId="71" xfId="0" applyFont="1" applyBorder="1" applyAlignment="1">
      <alignment horizontal="right"/>
    </xf>
    <xf numFmtId="0" fontId="28" fillId="0" borderId="86" xfId="0" applyFont="1" applyBorder="1" applyAlignment="1">
      <alignment horizontal="right"/>
    </xf>
    <xf numFmtId="0" fontId="28" fillId="0" borderId="89" xfId="0" applyFont="1" applyBorder="1" applyAlignment="1">
      <alignment horizontal="right"/>
    </xf>
    <xf numFmtId="0" fontId="42" fillId="0" borderId="71" xfId="0" applyFont="1" applyBorder="1" applyAlignment="1">
      <alignment horizontal="right"/>
    </xf>
    <xf numFmtId="0" fontId="42" fillId="0" borderId="89" xfId="0" applyFont="1" applyBorder="1" applyAlignment="1">
      <alignment horizontal="right"/>
    </xf>
    <xf numFmtId="0" fontId="48" fillId="0" borderId="45" xfId="0" applyFont="1" applyBorder="1" applyAlignment="1">
      <alignment horizontal="center" vertical="center" wrapText="1"/>
    </xf>
    <xf numFmtId="0" fontId="48" fillId="0" borderId="22" xfId="0" applyFont="1" applyBorder="1" applyAlignment="1">
      <alignment horizontal="center" vertical="center" wrapText="1"/>
    </xf>
    <xf numFmtId="0" fontId="48" fillId="0" borderId="52" xfId="0" applyFont="1" applyBorder="1" applyAlignment="1">
      <alignment horizontal="center" vertical="center" wrapText="1"/>
    </xf>
    <xf numFmtId="0" fontId="74" fillId="0" borderId="73" xfId="11" applyFont="1" applyBorder="1" applyAlignment="1">
      <alignment horizontal="center" vertical="center" wrapText="1"/>
    </xf>
    <xf numFmtId="0" fontId="74" fillId="0" borderId="160" xfId="11" applyFont="1" applyBorder="1" applyAlignment="1">
      <alignment horizontal="center" vertical="center" wrapText="1"/>
    </xf>
    <xf numFmtId="0" fontId="74" fillId="0" borderId="166" xfId="11" applyFont="1" applyBorder="1" applyAlignment="1">
      <alignment horizontal="center" vertical="center" wrapText="1"/>
    </xf>
    <xf numFmtId="0" fontId="74" fillId="0" borderId="1" xfId="11" applyFont="1" applyBorder="1" applyAlignment="1">
      <alignment horizontal="center" vertical="center"/>
    </xf>
    <xf numFmtId="0" fontId="74" fillId="0" borderId="72" xfId="11" applyFont="1" applyBorder="1" applyAlignment="1">
      <alignment horizontal="center" vertical="center"/>
    </xf>
    <xf numFmtId="0" fontId="74" fillId="0" borderId="81" xfId="11" applyFont="1" applyBorder="1" applyAlignment="1">
      <alignment horizontal="center" vertical="center"/>
    </xf>
    <xf numFmtId="0" fontId="74" fillId="0" borderId="73" xfId="11" applyFont="1" applyBorder="1" applyAlignment="1">
      <alignment horizontal="center" vertical="center"/>
    </xf>
    <xf numFmtId="0" fontId="74" fillId="0" borderId="160" xfId="11" applyFont="1" applyBorder="1" applyAlignment="1">
      <alignment horizontal="center" vertical="center"/>
    </xf>
    <xf numFmtId="0" fontId="74" fillId="0" borderId="166" xfId="11" applyFont="1" applyBorder="1" applyAlignment="1">
      <alignment horizontal="center" vertical="center"/>
    </xf>
    <xf numFmtId="0" fontId="7" fillId="0" borderId="207" xfId="11" applyFont="1" applyBorder="1" applyAlignment="1">
      <alignment horizontal="center" vertical="center" wrapText="1"/>
    </xf>
    <xf numFmtId="0" fontId="7" fillId="0" borderId="28" xfId="11" applyFont="1" applyBorder="1" applyAlignment="1">
      <alignment horizontal="center" vertical="center" wrapText="1"/>
    </xf>
    <xf numFmtId="0" fontId="7" fillId="0" borderId="208" xfId="11" applyFont="1" applyBorder="1" applyAlignment="1">
      <alignment horizontal="center" vertical="center" wrapText="1"/>
    </xf>
    <xf numFmtId="0" fontId="39" fillId="0" borderId="75" xfId="0" applyFont="1" applyBorder="1" applyAlignment="1">
      <alignment horizontal="center" vertical="center" wrapText="1"/>
    </xf>
    <xf numFmtId="0" fontId="29" fillId="0" borderId="75" xfId="0" applyFont="1" applyBorder="1"/>
    <xf numFmtId="0" fontId="29" fillId="0" borderId="76" xfId="0" applyFont="1" applyBorder="1"/>
    <xf numFmtId="0" fontId="39" fillId="0" borderId="114" xfId="0" applyFont="1" applyBorder="1" applyAlignment="1">
      <alignment horizontal="center" vertical="center"/>
    </xf>
    <xf numFmtId="0" fontId="39" fillId="0" borderId="115" xfId="0" applyFont="1" applyBorder="1" applyAlignment="1">
      <alignment horizontal="center" vertical="center"/>
    </xf>
    <xf numFmtId="0" fontId="39" fillId="0" borderId="116" xfId="0" applyFont="1" applyBorder="1" applyAlignment="1">
      <alignment horizontal="center" vertical="center"/>
    </xf>
    <xf numFmtId="0" fontId="29" fillId="0" borderId="62" xfId="0" applyFont="1" applyBorder="1" applyAlignment="1">
      <alignment horizontal="center" vertical="center" wrapText="1"/>
    </xf>
    <xf numFmtId="0" fontId="29" fillId="0" borderId="63" xfId="0" applyFont="1" applyBorder="1" applyAlignment="1">
      <alignment wrapText="1"/>
    </xf>
    <xf numFmtId="0" fontId="29" fillId="0" borderId="64" xfId="0" applyFont="1" applyBorder="1" applyAlignment="1">
      <alignment wrapText="1"/>
    </xf>
    <xf numFmtId="0" fontId="7" fillId="0" borderId="71" xfId="11" applyFont="1" applyBorder="1" applyAlignment="1">
      <alignment horizontal="left" vertical="center" wrapText="1"/>
    </xf>
    <xf numFmtId="0" fontId="7" fillId="0" borderId="77" xfId="11" applyFont="1" applyBorder="1" applyAlignment="1">
      <alignment horizontal="left" vertical="center" wrapText="1"/>
    </xf>
    <xf numFmtId="0" fontId="7" fillId="0" borderId="72" xfId="11" applyFont="1" applyBorder="1" applyAlignment="1">
      <alignment horizontal="left" vertical="center" wrapText="1"/>
    </xf>
    <xf numFmtId="0" fontId="7" fillId="0" borderId="86" xfId="11" applyFont="1" applyBorder="1" applyAlignment="1">
      <alignment horizontal="left" vertical="center" wrapText="1"/>
    </xf>
    <xf numFmtId="0" fontId="7" fillId="0" borderId="0" xfId="11" applyFont="1" applyBorder="1" applyAlignment="1">
      <alignment horizontal="left" vertical="center" wrapText="1"/>
    </xf>
    <xf numFmtId="0" fontId="7" fillId="0" borderId="81" xfId="11" applyFont="1" applyBorder="1" applyAlignment="1">
      <alignment horizontal="left" vertical="center" wrapText="1"/>
    </xf>
    <xf numFmtId="0" fontId="7" fillId="0" borderId="89" xfId="11" applyFont="1" applyBorder="1" applyAlignment="1">
      <alignment horizontal="left" vertical="center" wrapText="1"/>
    </xf>
    <xf numFmtId="0" fontId="7" fillId="0" borderId="70" xfId="11" applyFont="1" applyBorder="1" applyAlignment="1">
      <alignment horizontal="left" vertical="center" wrapText="1"/>
    </xf>
    <xf numFmtId="0" fontId="7" fillId="0" borderId="85" xfId="11" applyFont="1" applyBorder="1" applyAlignment="1">
      <alignment horizontal="left" vertical="center" wrapText="1"/>
    </xf>
    <xf numFmtId="0" fontId="42" fillId="0" borderId="73" xfId="0" applyFont="1" applyBorder="1" applyAlignment="1">
      <alignment horizontal="center" vertical="center"/>
    </xf>
    <xf numFmtId="0" fontId="42" fillId="0" borderId="166" xfId="0" applyFont="1" applyBorder="1" applyAlignment="1">
      <alignment horizontal="center" vertical="center"/>
    </xf>
    <xf numFmtId="0" fontId="39" fillId="0" borderId="75" xfId="0" applyFont="1" applyBorder="1" applyAlignment="1">
      <alignment horizontal="left" vertical="center" wrapText="1"/>
    </xf>
    <xf numFmtId="0" fontId="31" fillId="0" borderId="75" xfId="0" applyFont="1" applyBorder="1"/>
    <xf numFmtId="0" fontId="31" fillId="0" borderId="76" xfId="0" applyFont="1" applyBorder="1"/>
    <xf numFmtId="0" fontId="32" fillId="0" borderId="114" xfId="0" applyFont="1" applyBorder="1" applyAlignment="1">
      <alignment horizontal="center" vertical="center"/>
    </xf>
    <xf numFmtId="0" fontId="48" fillId="0" borderId="115" xfId="0" applyFont="1" applyBorder="1" applyAlignment="1">
      <alignment horizontal="center" vertical="center"/>
    </xf>
    <xf numFmtId="0" fontId="48" fillId="0" borderId="116" xfId="0" applyFont="1" applyBorder="1" applyAlignment="1">
      <alignment horizontal="center" vertical="center"/>
    </xf>
    <xf numFmtId="0" fontId="74" fillId="0" borderId="1" xfId="11" applyBorder="1" applyAlignment="1">
      <alignment horizontal="center" vertical="center" wrapText="1"/>
    </xf>
    <xf numFmtId="0" fontId="74" fillId="0" borderId="1" xfId="11" applyBorder="1" applyAlignment="1">
      <alignment horizontal="center" vertical="center"/>
    </xf>
    <xf numFmtId="0" fontId="28" fillId="0" borderId="66" xfId="0" applyFont="1" applyBorder="1" applyAlignment="1">
      <alignment horizontal="center" vertical="center" wrapText="1"/>
    </xf>
    <xf numFmtId="16" fontId="74" fillId="0" borderId="1" xfId="11" applyNumberFormat="1" applyBorder="1" applyAlignment="1">
      <alignment horizontal="center" vertical="center"/>
    </xf>
    <xf numFmtId="0" fontId="17" fillId="0" borderId="1" xfId="11" applyFont="1" applyBorder="1" applyAlignment="1">
      <alignment horizontal="center" vertical="center" wrapText="1"/>
    </xf>
    <xf numFmtId="0" fontId="17" fillId="0" borderId="1" xfId="11" applyFont="1" applyBorder="1" applyAlignment="1">
      <alignment horizontal="center" vertical="center"/>
    </xf>
    <xf numFmtId="0" fontId="17" fillId="0" borderId="30" xfId="11" applyFont="1" applyBorder="1" applyAlignment="1">
      <alignment horizontal="center" vertical="center" wrapText="1"/>
    </xf>
    <xf numFmtId="0" fontId="17" fillId="0" borderId="23" xfId="11" applyFont="1" applyBorder="1" applyAlignment="1">
      <alignment horizontal="center" vertical="center" wrapText="1"/>
    </xf>
    <xf numFmtId="0" fontId="74" fillId="0" borderId="30" xfId="11" applyBorder="1" applyAlignment="1">
      <alignment horizontal="center" vertical="center" wrapText="1"/>
    </xf>
    <xf numFmtId="0" fontId="74" fillId="0" borderId="23" xfId="11" applyBorder="1" applyAlignment="1">
      <alignment horizontal="center" vertical="center" wrapText="1"/>
    </xf>
    <xf numFmtId="0" fontId="74" fillId="0" borderId="30" xfId="11" applyBorder="1" applyAlignment="1">
      <alignment horizontal="center" vertical="center"/>
    </xf>
    <xf numFmtId="0" fontId="74" fillId="0" borderId="23" xfId="11" applyBorder="1" applyAlignment="1">
      <alignment horizontal="center" vertical="center"/>
    </xf>
    <xf numFmtId="0" fontId="17" fillId="0" borderId="31" xfId="11" applyFont="1" applyBorder="1" applyAlignment="1">
      <alignment horizontal="center" vertical="center" wrapText="1"/>
    </xf>
    <xf numFmtId="0" fontId="34" fillId="28" borderId="74" xfId="0" applyFont="1" applyFill="1" applyBorder="1" applyAlignment="1">
      <alignment horizontal="center" vertical="center" wrapText="1"/>
    </xf>
    <xf numFmtId="0" fontId="34" fillId="24" borderId="71" xfId="0" applyFont="1" applyFill="1" applyBorder="1" applyAlignment="1">
      <alignment horizontal="center" vertical="center" wrapText="1"/>
    </xf>
    <xf numFmtId="0" fontId="29" fillId="0" borderId="72" xfId="0" applyFont="1" applyBorder="1"/>
    <xf numFmtId="0" fontId="29" fillId="0" borderId="86" xfId="0" applyFont="1" applyBorder="1"/>
    <xf numFmtId="0" fontId="29" fillId="0" borderId="81" xfId="0" applyFont="1" applyBorder="1"/>
    <xf numFmtId="0" fontId="29" fillId="0" borderId="77" xfId="0" applyFont="1" applyBorder="1"/>
    <xf numFmtId="0" fontId="29" fillId="0" borderId="70" xfId="0" applyFont="1" applyBorder="1"/>
    <xf numFmtId="0" fontId="29" fillId="0" borderId="85" xfId="0" applyFont="1" applyBorder="1"/>
    <xf numFmtId="0" fontId="34" fillId="23" borderId="62" xfId="0" applyFont="1" applyFill="1" applyBorder="1" applyAlignment="1">
      <alignment horizontal="center" vertical="center" wrapText="1"/>
    </xf>
    <xf numFmtId="0" fontId="29" fillId="0" borderId="63" xfId="0" applyFont="1" applyBorder="1"/>
    <xf numFmtId="0" fontId="29" fillId="0" borderId="64" xfId="0" applyFont="1" applyBorder="1"/>
    <xf numFmtId="0" fontId="34" fillId="28" borderId="62" xfId="0" applyFont="1" applyFill="1" applyBorder="1" applyAlignment="1">
      <alignment horizontal="center" vertical="center" wrapText="1"/>
    </xf>
    <xf numFmtId="0" fontId="34" fillId="28" borderId="86" xfId="0" applyFont="1" applyFill="1" applyBorder="1" applyAlignment="1">
      <alignment horizontal="center" vertical="center" wrapText="1"/>
    </xf>
    <xf numFmtId="0" fontId="29" fillId="0" borderId="0" xfId="0" applyFont="1" applyBorder="1"/>
    <xf numFmtId="0" fontId="29" fillId="0" borderId="89" xfId="0" applyFont="1" applyBorder="1"/>
    <xf numFmtId="0" fontId="34" fillId="28" borderId="71" xfId="0" applyFont="1" applyFill="1" applyBorder="1" applyAlignment="1">
      <alignment horizontal="center" vertical="center" wrapText="1"/>
    </xf>
    <xf numFmtId="0" fontId="29" fillId="0" borderId="91" xfId="0" applyFont="1" applyBorder="1"/>
    <xf numFmtId="0" fontId="29" fillId="0" borderId="90" xfId="0" applyFont="1" applyBorder="1"/>
    <xf numFmtId="0" fontId="32" fillId="25" borderId="75" xfId="0" applyFont="1" applyFill="1" applyBorder="1" applyAlignment="1">
      <alignment horizontal="center" vertical="center" wrapText="1"/>
    </xf>
    <xf numFmtId="0" fontId="34" fillId="28" borderId="77" xfId="0" applyFont="1" applyFill="1" applyBorder="1" applyAlignment="1">
      <alignment horizontal="center" vertical="center" wrapText="1"/>
    </xf>
    <xf numFmtId="0" fontId="36" fillId="25" borderId="75" xfId="0" applyFont="1" applyFill="1" applyBorder="1" applyAlignment="1">
      <alignment horizontal="left" vertical="center" wrapText="1"/>
    </xf>
    <xf numFmtId="0" fontId="28" fillId="25" borderId="75" xfId="0" applyFont="1" applyFill="1" applyBorder="1" applyAlignment="1">
      <alignment horizontal="center"/>
    </xf>
    <xf numFmtId="0" fontId="34" fillId="23" borderId="86" xfId="0" applyFont="1" applyFill="1" applyBorder="1" applyAlignment="1">
      <alignment horizontal="center" vertical="center" wrapText="1"/>
    </xf>
    <xf numFmtId="0" fontId="29" fillId="0" borderId="88" xfId="0" applyFont="1" applyBorder="1"/>
    <xf numFmtId="0" fontId="34" fillId="23" borderId="71" xfId="0" applyFont="1" applyFill="1" applyBorder="1" applyAlignment="1">
      <alignment horizontal="center" vertical="center" wrapText="1"/>
    </xf>
    <xf numFmtId="0" fontId="32" fillId="25" borderId="77" xfId="0" applyFont="1" applyFill="1" applyBorder="1" applyAlignment="1">
      <alignment horizontal="center" vertical="center" wrapText="1"/>
    </xf>
    <xf numFmtId="0" fontId="34" fillId="26" borderId="71" xfId="0" applyFont="1" applyFill="1" applyBorder="1" applyAlignment="1">
      <alignment horizontal="center" vertical="center"/>
    </xf>
    <xf numFmtId="0" fontId="32" fillId="0" borderId="96" xfId="0" applyFont="1" applyBorder="1" applyAlignment="1">
      <alignment horizontal="center" vertical="center" wrapText="1"/>
    </xf>
    <xf numFmtId="0" fontId="0" fillId="0" borderId="77" xfId="0" applyBorder="1" applyAlignment="1">
      <alignment wrapText="1"/>
    </xf>
    <xf numFmtId="0" fontId="0" fillId="0" borderId="72" xfId="0" applyBorder="1" applyAlignment="1">
      <alignment wrapText="1"/>
    </xf>
    <xf numFmtId="0" fontId="34" fillId="27" borderId="71" xfId="0" applyFont="1" applyFill="1" applyBorder="1" applyAlignment="1">
      <alignment horizontal="center" vertical="center" wrapText="1"/>
    </xf>
    <xf numFmtId="0" fontId="32" fillId="0" borderId="96" xfId="0" applyFont="1" applyBorder="1" applyAlignment="1">
      <alignment horizontal="center" vertical="center"/>
    </xf>
    <xf numFmtId="0" fontId="0" fillId="0" borderId="77" xfId="0" applyBorder="1"/>
    <xf numFmtId="0" fontId="0" fillId="0" borderId="72" xfId="0" applyBorder="1"/>
    <xf numFmtId="0" fontId="34" fillId="28" borderId="92" xfId="0" applyFont="1" applyFill="1" applyBorder="1" applyAlignment="1">
      <alignment horizontal="center" vertical="center" wrapText="1"/>
    </xf>
    <xf numFmtId="0" fontId="29" fillId="0" borderId="93" xfId="0" applyFont="1" applyBorder="1"/>
    <xf numFmtId="0" fontId="29" fillId="0" borderId="94" xfId="0" applyFont="1" applyBorder="1"/>
    <xf numFmtId="0" fontId="29" fillId="0" borderId="95" xfId="0" applyFont="1" applyBorder="1"/>
    <xf numFmtId="0" fontId="32" fillId="25" borderId="75" xfId="0" applyFont="1" applyFill="1" applyBorder="1" applyAlignment="1">
      <alignment horizontal="center" vertical="center"/>
    </xf>
    <xf numFmtId="0" fontId="27" fillId="21" borderId="0" xfId="0" applyFont="1" applyFill="1" applyBorder="1" applyAlignment="1">
      <alignment horizontal="center" vertical="center" wrapText="1"/>
    </xf>
    <xf numFmtId="0" fontId="29" fillId="0" borderId="63" xfId="0" applyFont="1" applyBorder="1" applyAlignment="1">
      <alignment horizontal="left"/>
    </xf>
    <xf numFmtId="0" fontId="29" fillId="0" borderId="64" xfId="0" applyFont="1" applyBorder="1" applyAlignment="1">
      <alignment horizontal="left"/>
    </xf>
    <xf numFmtId="0" fontId="28" fillId="0" borderId="63" xfId="0" applyFont="1" applyBorder="1" applyAlignment="1">
      <alignment horizontal="center" vertical="center"/>
    </xf>
    <xf numFmtId="0" fontId="28" fillId="0" borderId="64" xfId="0" applyFont="1" applyBorder="1" applyAlignment="1">
      <alignment horizontal="center" vertical="center"/>
    </xf>
    <xf numFmtId="0" fontId="28" fillId="0" borderId="63" xfId="0" applyFont="1" applyBorder="1" applyAlignment="1">
      <alignment horizontal="left" vertical="center" wrapText="1"/>
    </xf>
    <xf numFmtId="0" fontId="28" fillId="0" borderId="64" xfId="0" applyFont="1" applyBorder="1" applyAlignment="1">
      <alignment horizontal="left" vertical="center" wrapText="1"/>
    </xf>
    <xf numFmtId="0" fontId="33" fillId="22" borderId="0" xfId="0" applyFont="1" applyFill="1" applyBorder="1" applyAlignment="1">
      <alignment horizontal="center" vertical="center" wrapText="1"/>
    </xf>
    <xf numFmtId="0" fontId="27" fillId="21" borderId="74" xfId="0" applyFont="1" applyFill="1" applyBorder="1" applyAlignment="1">
      <alignment horizontal="center"/>
    </xf>
    <xf numFmtId="0" fontId="34" fillId="23" borderId="77" xfId="0" applyFont="1" applyFill="1" applyBorder="1" applyAlignment="1">
      <alignment horizontal="center" vertical="center" wrapText="1"/>
    </xf>
    <xf numFmtId="0" fontId="27" fillId="21" borderId="71" xfId="0" applyFont="1" applyFill="1" applyBorder="1" applyAlignment="1">
      <alignment horizontal="left"/>
    </xf>
    <xf numFmtId="0" fontId="15" fillId="0" borderId="0" xfId="0" applyFont="1" applyFill="1" applyBorder="1" applyAlignment="1">
      <alignment horizontal="left" vertical="center" wrapText="1"/>
    </xf>
    <xf numFmtId="0" fontId="60" fillId="25" borderId="74" xfId="0" applyFont="1" applyFill="1" applyBorder="1" applyAlignment="1">
      <alignment horizontal="center" vertical="center" wrapText="1"/>
    </xf>
    <xf numFmtId="0" fontId="28" fillId="0" borderId="73" xfId="0" applyFont="1" applyBorder="1" applyAlignment="1">
      <alignment horizontal="center" vertical="center"/>
    </xf>
    <xf numFmtId="0" fontId="0" fillId="0" borderId="160" xfId="0" applyBorder="1" applyAlignment="1">
      <alignment horizontal="center" vertical="center"/>
    </xf>
    <xf numFmtId="0" fontId="0" fillId="0" borderId="166" xfId="0" applyBorder="1" applyAlignment="1">
      <alignment horizontal="center" vertical="center"/>
    </xf>
    <xf numFmtId="0" fontId="28" fillId="0" borderId="160" xfId="0" applyFont="1" applyBorder="1" applyAlignment="1">
      <alignment horizontal="center" vertical="center"/>
    </xf>
    <xf numFmtId="0" fontId="60" fillId="25" borderId="74" xfId="2" applyFont="1" applyFill="1" applyBorder="1" applyAlignment="1">
      <alignment horizontal="center" vertical="center" wrapText="1"/>
    </xf>
    <xf numFmtId="0" fontId="60" fillId="25" borderId="75" xfId="2" applyFont="1" applyFill="1" applyBorder="1" applyAlignment="1">
      <alignment horizontal="center" vertical="center" wrapText="1"/>
    </xf>
    <xf numFmtId="0" fontId="29" fillId="0" borderId="75" xfId="2" applyFont="1" applyBorder="1"/>
    <xf numFmtId="0" fontId="29" fillId="0" borderId="76" xfId="2" applyFont="1" applyBorder="1"/>
    <xf numFmtId="0" fontId="28" fillId="0" borderId="73" xfId="2" applyFont="1" applyBorder="1" applyAlignment="1">
      <alignment horizontal="center" vertical="center"/>
    </xf>
    <xf numFmtId="0" fontId="37" fillId="0" borderId="160" xfId="2" applyBorder="1" applyAlignment="1">
      <alignment horizontal="center" vertical="center"/>
    </xf>
    <xf numFmtId="0" fontId="37" fillId="0" borderId="166" xfId="2" applyBorder="1" applyAlignment="1">
      <alignment horizontal="center" vertical="center"/>
    </xf>
    <xf numFmtId="0" fontId="34" fillId="33" borderId="74" xfId="14" applyFont="1" applyFill="1" applyBorder="1" applyAlignment="1">
      <alignment horizontal="center" vertical="center"/>
    </xf>
    <xf numFmtId="0" fontId="29" fillId="0" borderId="75" xfId="14" applyFont="1" applyBorder="1"/>
    <xf numFmtId="0" fontId="28" fillId="0" borderId="160" xfId="2" applyFont="1" applyBorder="1" applyAlignment="1">
      <alignment horizontal="center" vertical="center"/>
    </xf>
    <xf numFmtId="0" fontId="34" fillId="23" borderId="77" xfId="14" applyFont="1" applyFill="1" applyBorder="1" applyAlignment="1">
      <alignment horizontal="center" vertical="center" wrapText="1"/>
    </xf>
    <xf numFmtId="0" fontId="29" fillId="0" borderId="77" xfId="14" applyFont="1" applyBorder="1"/>
    <xf numFmtId="0" fontId="29" fillId="0" borderId="0" xfId="14" applyFont="1" applyBorder="1"/>
    <xf numFmtId="0" fontId="32" fillId="0" borderId="77" xfId="14" applyFont="1" applyBorder="1" applyAlignment="1">
      <alignment horizontal="center" vertical="center" wrapText="1"/>
    </xf>
    <xf numFmtId="0" fontId="29" fillId="0" borderId="72" xfId="14" applyFont="1" applyBorder="1"/>
    <xf numFmtId="0" fontId="74" fillId="0" borderId="0" xfId="14"/>
    <xf numFmtId="0" fontId="29" fillId="0" borderId="81" xfId="14" applyFont="1" applyBorder="1"/>
    <xf numFmtId="0" fontId="29" fillId="0" borderId="70" xfId="14" applyFont="1" applyBorder="1"/>
    <xf numFmtId="0" fontId="29" fillId="0" borderId="85" xfId="14" applyFont="1" applyBorder="1"/>
    <xf numFmtId="0" fontId="28" fillId="0" borderId="62" xfId="14" applyFont="1" applyBorder="1" applyAlignment="1">
      <alignment horizontal="left" vertical="center"/>
    </xf>
    <xf numFmtId="0" fontId="29" fillId="0" borderId="63" xfId="14" applyFont="1" applyBorder="1"/>
    <xf numFmtId="0" fontId="29" fillId="0" borderId="64" xfId="14" applyFont="1" applyBorder="1"/>
    <xf numFmtId="0" fontId="29" fillId="0" borderId="63" xfId="14" applyFont="1" applyBorder="1" applyAlignment="1">
      <alignment horizontal="left"/>
    </xf>
    <xf numFmtId="0" fontId="29" fillId="0" borderId="64" xfId="14" applyFont="1" applyBorder="1" applyAlignment="1">
      <alignment horizontal="left"/>
    </xf>
    <xf numFmtId="0" fontId="28" fillId="0" borderId="62" xfId="14" applyFont="1" applyBorder="1" applyAlignment="1">
      <alignment horizontal="left" vertical="center" wrapText="1"/>
    </xf>
    <xf numFmtId="0" fontId="29" fillId="0" borderId="63" xfId="14" applyFont="1" applyBorder="1" applyAlignment="1">
      <alignment horizontal="left" wrapText="1"/>
    </xf>
    <xf numFmtId="0" fontId="29" fillId="0" borderId="64" xfId="14" applyFont="1" applyBorder="1" applyAlignment="1">
      <alignment horizontal="left" wrapText="1"/>
    </xf>
    <xf numFmtId="0" fontId="27" fillId="21" borderId="0" xfId="14" applyFont="1" applyFill="1" applyBorder="1" applyAlignment="1">
      <alignment horizontal="center" vertical="center" wrapText="1"/>
    </xf>
    <xf numFmtId="0" fontId="33" fillId="22" borderId="0" xfId="14" applyFont="1" applyFill="1" applyBorder="1" applyAlignment="1">
      <alignment horizontal="center" vertical="center" wrapText="1"/>
    </xf>
    <xf numFmtId="0" fontId="27" fillId="21" borderId="71" xfId="14" applyFont="1" applyFill="1" applyBorder="1" applyAlignment="1">
      <alignment horizontal="left"/>
    </xf>
    <xf numFmtId="0" fontId="27" fillId="21" borderId="74" xfId="14" applyFont="1" applyFill="1" applyBorder="1" applyAlignment="1">
      <alignment horizontal="center"/>
    </xf>
    <xf numFmtId="0" fontId="29" fillId="0" borderId="76" xfId="14" applyFont="1" applyBorder="1"/>
    <xf numFmtId="0" fontId="28" fillId="0" borderId="63" xfId="14" applyFont="1" applyBorder="1" applyAlignment="1">
      <alignment horizontal="center" vertical="center" wrapText="1"/>
    </xf>
    <xf numFmtId="0" fontId="28" fillId="0" borderId="64" xfId="14" applyFont="1" applyBorder="1" applyAlignment="1">
      <alignment horizontal="center" vertical="center" wrapText="1"/>
    </xf>
    <xf numFmtId="0" fontId="34" fillId="23" borderId="86" xfId="14" applyFont="1" applyFill="1" applyBorder="1" applyAlignment="1">
      <alignment horizontal="center" vertical="center" wrapText="1"/>
    </xf>
    <xf numFmtId="0" fontId="29" fillId="0" borderId="88" xfId="14" applyFont="1" applyBorder="1"/>
    <xf numFmtId="0" fontId="29" fillId="0" borderId="86" xfId="14" applyFont="1" applyBorder="1"/>
    <xf numFmtId="0" fontId="29" fillId="0" borderId="89" xfId="14" applyFont="1" applyBorder="1"/>
    <xf numFmtId="0" fontId="29" fillId="0" borderId="90" xfId="14" applyFont="1" applyBorder="1"/>
    <xf numFmtId="0" fontId="34" fillId="23" borderId="71" xfId="14" applyFont="1" applyFill="1" applyBorder="1" applyAlignment="1">
      <alignment horizontal="center" vertical="center" wrapText="1"/>
    </xf>
    <xf numFmtId="0" fontId="29" fillId="0" borderId="91" xfId="14" applyFont="1" applyBorder="1"/>
    <xf numFmtId="0" fontId="34" fillId="28" borderId="71" xfId="14" applyFont="1" applyFill="1" applyBorder="1" applyAlignment="1">
      <alignment horizontal="center" vertical="center" wrapText="1"/>
    </xf>
    <xf numFmtId="0" fontId="32" fillId="25" borderId="77" xfId="14" applyFont="1" applyFill="1" applyBorder="1" applyAlignment="1">
      <alignment horizontal="center" vertical="center" wrapText="1"/>
    </xf>
    <xf numFmtId="0" fontId="34" fillId="26" borderId="71" xfId="14" applyFont="1" applyFill="1" applyBorder="1" applyAlignment="1">
      <alignment horizontal="center" vertical="center"/>
    </xf>
    <xf numFmtId="0" fontId="34" fillId="27" borderId="71" xfId="14" applyFont="1" applyFill="1" applyBorder="1" applyAlignment="1">
      <alignment horizontal="center" vertical="center" wrapText="1"/>
    </xf>
    <xf numFmtId="0" fontId="32" fillId="0" borderId="77" xfId="14" applyFont="1" applyBorder="1" applyAlignment="1">
      <alignment horizontal="center" vertical="center"/>
    </xf>
    <xf numFmtId="0" fontId="32" fillId="0" borderId="96" xfId="14" applyFont="1" applyBorder="1" applyAlignment="1">
      <alignment horizontal="center" vertical="center"/>
    </xf>
    <xf numFmtId="0" fontId="74" fillId="0" borderId="77" xfId="14" applyBorder="1"/>
    <xf numFmtId="0" fontId="74" fillId="0" borderId="72" xfId="14" applyBorder="1"/>
    <xf numFmtId="0" fontId="32" fillId="0" borderId="96" xfId="14" applyFont="1" applyBorder="1" applyAlignment="1">
      <alignment horizontal="center" vertical="center" wrapText="1"/>
    </xf>
    <xf numFmtId="0" fontId="74" fillId="0" borderId="77" xfId="14" applyBorder="1" applyAlignment="1">
      <alignment wrapText="1"/>
    </xf>
    <xf numFmtId="0" fontId="74" fillId="0" borderId="72" xfId="14" applyBorder="1" applyAlignment="1">
      <alignment wrapText="1"/>
    </xf>
    <xf numFmtId="0" fontId="34" fillId="28" borderId="86" xfId="14" applyFont="1" applyFill="1" applyBorder="1" applyAlignment="1">
      <alignment horizontal="center" vertical="center" wrapText="1"/>
    </xf>
    <xf numFmtId="0" fontId="32" fillId="0" borderId="75" xfId="14" applyFont="1" applyBorder="1" applyAlignment="1">
      <alignment horizontal="left" vertical="center" wrapText="1"/>
    </xf>
    <xf numFmtId="0" fontId="32" fillId="25" borderId="75" xfId="14" applyFont="1" applyFill="1" applyBorder="1" applyAlignment="1">
      <alignment horizontal="center" vertical="center"/>
    </xf>
    <xf numFmtId="0" fontId="34" fillId="28" borderId="62" xfId="14" applyFont="1" applyFill="1" applyBorder="1" applyAlignment="1">
      <alignment horizontal="center" vertical="center" wrapText="1"/>
    </xf>
    <xf numFmtId="0" fontId="32" fillId="0" borderId="75" xfId="14" applyFont="1" applyBorder="1" applyAlignment="1">
      <alignment horizontal="center" vertical="center" wrapText="1"/>
    </xf>
    <xf numFmtId="0" fontId="34" fillId="24" borderId="71" xfId="14" applyFont="1" applyFill="1" applyBorder="1" applyAlignment="1">
      <alignment horizontal="center" vertical="center" wrapText="1"/>
    </xf>
    <xf numFmtId="0" fontId="34" fillId="23" borderId="62" xfId="14" applyFont="1" applyFill="1" applyBorder="1" applyAlignment="1">
      <alignment horizontal="center" vertical="center" wrapText="1"/>
    </xf>
    <xf numFmtId="0" fontId="34" fillId="28" borderId="77" xfId="14" applyFont="1" applyFill="1" applyBorder="1" applyAlignment="1">
      <alignment horizontal="center" vertical="center" wrapText="1"/>
    </xf>
    <xf numFmtId="0" fontId="36" fillId="25" borderId="75" xfId="14" applyFont="1" applyFill="1" applyBorder="1" applyAlignment="1">
      <alignment horizontal="left" vertical="center" wrapText="1"/>
    </xf>
    <xf numFmtId="0" fontId="28" fillId="25" borderId="75" xfId="14" applyFont="1" applyFill="1" applyBorder="1" applyAlignment="1">
      <alignment horizontal="center"/>
    </xf>
    <xf numFmtId="0" fontId="34" fillId="28" borderId="74" xfId="14" applyFont="1" applyFill="1" applyBorder="1" applyAlignment="1">
      <alignment horizontal="center" vertical="center" wrapText="1"/>
    </xf>
    <xf numFmtId="0" fontId="32" fillId="25" borderId="75" xfId="14" applyFont="1" applyFill="1" applyBorder="1" applyAlignment="1">
      <alignment horizontal="center" vertical="center" wrapText="1"/>
    </xf>
    <xf numFmtId="0" fontId="34" fillId="28" borderId="92" xfId="14" applyFont="1" applyFill="1" applyBorder="1" applyAlignment="1">
      <alignment horizontal="center" vertical="center" wrapText="1"/>
    </xf>
    <xf numFmtId="0" fontId="29" fillId="0" borderId="93" xfId="14" applyFont="1" applyBorder="1"/>
    <xf numFmtId="0" fontId="29" fillId="0" borderId="94" xfId="14" applyFont="1" applyBorder="1"/>
    <xf numFmtId="0" fontId="29" fillId="0" borderId="95" xfId="14" applyFont="1" applyBorder="1"/>
    <xf numFmtId="0" fontId="3" fillId="0" borderId="1" xfId="0" applyFont="1" applyBorder="1" applyAlignment="1">
      <alignment horizontal="center" vertical="center" wrapText="1"/>
    </xf>
    <xf numFmtId="0" fontId="0" fillId="40" borderId="195" xfId="0" applyFill="1" applyBorder="1" applyAlignment="1">
      <alignment wrapText="1"/>
    </xf>
    <xf numFmtId="0" fontId="0" fillId="40" borderId="92" xfId="0" applyFill="1" applyBorder="1" applyAlignment="1">
      <alignment wrapText="1"/>
    </xf>
    <xf numFmtId="0" fontId="0" fillId="40" borderId="196" xfId="0" applyFill="1" applyBorder="1" applyAlignment="1">
      <alignment wrapText="1"/>
    </xf>
    <xf numFmtId="0" fontId="0" fillId="0" borderId="190" xfId="0" applyBorder="1" applyAlignment="1">
      <alignment vertical="center" wrapText="1"/>
    </xf>
    <xf numFmtId="0" fontId="0" fillId="0" borderId="63" xfId="0" applyBorder="1" applyAlignment="1">
      <alignment vertical="center" wrapText="1"/>
    </xf>
    <xf numFmtId="0" fontId="0" fillId="0" borderId="191" xfId="0" applyBorder="1" applyAlignment="1">
      <alignment vertical="center" wrapText="1"/>
    </xf>
    <xf numFmtId="0" fontId="34" fillId="33" borderId="74" xfId="0" applyFont="1" applyFill="1" applyBorder="1" applyAlignment="1">
      <alignment horizontal="center" vertical="center"/>
    </xf>
    <xf numFmtId="0" fontId="29" fillId="0" borderId="63" xfId="0" applyFont="1" applyBorder="1" applyAlignment="1">
      <alignment horizontal="left" wrapText="1"/>
    </xf>
    <xf numFmtId="0" fontId="29" fillId="0" borderId="64" xfId="0" applyFont="1" applyBorder="1" applyAlignment="1">
      <alignment horizontal="left" wrapText="1"/>
    </xf>
    <xf numFmtId="0" fontId="32" fillId="0" borderId="83" xfId="0" applyFont="1" applyBorder="1" applyAlignment="1">
      <alignment horizontal="center" vertical="center" wrapText="1"/>
    </xf>
    <xf numFmtId="0" fontId="32" fillId="0" borderId="76" xfId="0" applyFont="1" applyBorder="1" applyAlignment="1">
      <alignment horizontal="center" vertical="center" wrapText="1"/>
    </xf>
    <xf numFmtId="0" fontId="18" fillId="0" borderId="16" xfId="0" applyFont="1" applyBorder="1" applyAlignment="1">
      <alignment horizontal="left" vertical="center" wrapText="1"/>
    </xf>
    <xf numFmtId="0" fontId="18" fillId="0" borderId="22" xfId="0" applyFont="1" applyBorder="1" applyAlignment="1">
      <alignment horizontal="left" vertical="center" wrapText="1"/>
    </xf>
    <xf numFmtId="0" fontId="18" fillId="0" borderId="52" xfId="0" applyFont="1" applyBorder="1" applyAlignment="1">
      <alignment horizontal="left" vertical="center" wrapText="1"/>
    </xf>
    <xf numFmtId="0" fontId="32" fillId="0" borderId="72" xfId="0" applyFont="1" applyBorder="1" applyAlignment="1">
      <alignment horizontal="center" vertical="center" wrapText="1"/>
    </xf>
    <xf numFmtId="0" fontId="7" fillId="0" borderId="73" xfId="0" applyFont="1" applyBorder="1" applyAlignment="1">
      <alignment horizontal="center" vertical="center" wrapText="1"/>
    </xf>
    <xf numFmtId="0" fontId="7" fillId="0" borderId="160" xfId="0" applyFont="1" applyBorder="1" applyAlignment="1">
      <alignment horizontal="center" vertical="center" wrapText="1"/>
    </xf>
    <xf numFmtId="0" fontId="7" fillId="0" borderId="166" xfId="0" applyFont="1" applyBorder="1" applyAlignment="1">
      <alignment horizontal="center" vertical="center" wrapText="1"/>
    </xf>
    <xf numFmtId="0" fontId="23" fillId="0" borderId="0" xfId="0" applyFont="1" applyAlignment="1">
      <alignment horizontal="center"/>
    </xf>
    <xf numFmtId="0" fontId="47" fillId="28" borderId="107" xfId="0" applyFont="1" applyFill="1" applyBorder="1" applyAlignment="1">
      <alignment horizontal="center" vertical="center" wrapText="1"/>
    </xf>
    <xf numFmtId="0" fontId="48" fillId="0" borderId="108" xfId="0" applyFont="1" applyBorder="1" applyAlignment="1">
      <alignment horizontal="center" vertical="center" wrapText="1"/>
    </xf>
    <xf numFmtId="0" fontId="47" fillId="28" borderId="101" xfId="0" applyFont="1" applyFill="1" applyBorder="1" applyAlignment="1">
      <alignment horizontal="center" vertical="center" wrapText="1"/>
    </xf>
    <xf numFmtId="0" fontId="43" fillId="0" borderId="58" xfId="0" applyFont="1" applyBorder="1"/>
    <xf numFmtId="0" fontId="29" fillId="0" borderId="104" xfId="0" applyFont="1" applyBorder="1"/>
    <xf numFmtId="0" fontId="47" fillId="28" borderId="103" xfId="0" applyFont="1" applyFill="1" applyBorder="1" applyAlignment="1">
      <alignment horizontal="center" vertical="center" wrapText="1"/>
    </xf>
    <xf numFmtId="0" fontId="47" fillId="28" borderId="58" xfId="0" applyFont="1" applyFill="1" applyBorder="1" applyAlignment="1">
      <alignment horizontal="center" vertical="center" wrapText="1"/>
    </xf>
    <xf numFmtId="0" fontId="47" fillId="28" borderId="105" xfId="0" applyFont="1" applyFill="1" applyBorder="1" applyAlignment="1">
      <alignment horizontal="center" vertical="center" wrapText="1"/>
    </xf>
    <xf numFmtId="0" fontId="43" fillId="0" borderId="106" xfId="0" applyFont="1" applyBorder="1"/>
    <xf numFmtId="0" fontId="31" fillId="0" borderId="104" xfId="0" applyFont="1" applyBorder="1"/>
    <xf numFmtId="0" fontId="47" fillId="26" borderId="101" xfId="0" applyFont="1" applyFill="1" applyBorder="1" applyAlignment="1">
      <alignment horizontal="center" vertical="center"/>
    </xf>
    <xf numFmtId="0" fontId="47" fillId="27" borderId="101" xfId="0" applyFont="1" applyFill="1" applyBorder="1" applyAlignment="1">
      <alignment horizontal="center" vertical="center" wrapText="1"/>
    </xf>
    <xf numFmtId="0" fontId="29" fillId="0" borderId="102" xfId="0" applyFont="1" applyBorder="1"/>
    <xf numFmtId="0" fontId="39" fillId="0" borderId="77" xfId="0" applyFont="1" applyBorder="1" applyAlignment="1">
      <alignment horizontal="center" vertical="center" wrapText="1"/>
    </xf>
    <xf numFmtId="0" fontId="29" fillId="0" borderId="100" xfId="0" applyFont="1" applyBorder="1"/>
    <xf numFmtId="0" fontId="0" fillId="0" borderId="0" xfId="0" applyFont="1" applyBorder="1" applyAlignment="1"/>
    <xf numFmtId="0" fontId="47" fillId="23" borderId="101" xfId="0" applyFont="1" applyFill="1" applyBorder="1" applyAlignment="1">
      <alignment horizontal="center" vertical="center" wrapText="1"/>
    </xf>
    <xf numFmtId="0" fontId="53" fillId="0" borderId="62" xfId="0" applyFont="1" applyBorder="1" applyAlignment="1">
      <alignment horizontal="left" vertical="center" wrapText="1"/>
    </xf>
    <xf numFmtId="0" fontId="53" fillId="0" borderId="63" xfId="0" applyFont="1" applyBorder="1"/>
    <xf numFmtId="0" fontId="53" fillId="0" borderId="64" xfId="0" applyFont="1" applyBorder="1"/>
    <xf numFmtId="0" fontId="62" fillId="25" borderId="71" xfId="0" applyFont="1" applyFill="1" applyBorder="1" applyAlignment="1">
      <alignment horizontal="center" vertical="center" wrapText="1"/>
    </xf>
    <xf numFmtId="0" fontId="47" fillId="23" borderId="37" xfId="0" applyFont="1" applyFill="1" applyBorder="1" applyAlignment="1">
      <alignment horizontal="center" vertical="center" wrapText="1"/>
    </xf>
    <xf numFmtId="0" fontId="47" fillId="24" borderId="101" xfId="0" applyFont="1" applyFill="1" applyBorder="1" applyAlignment="1">
      <alignment horizontal="center" vertical="center" wrapText="1"/>
    </xf>
    <xf numFmtId="0" fontId="47" fillId="23" borderId="103" xfId="0" applyFont="1" applyFill="1" applyBorder="1" applyAlignment="1">
      <alignment horizontal="center" vertical="center" wrapText="1"/>
    </xf>
    <xf numFmtId="0" fontId="47" fillId="23" borderId="58" xfId="0" applyFont="1" applyFill="1" applyBorder="1" applyAlignment="1">
      <alignment horizontal="center" vertical="center" wrapText="1"/>
    </xf>
    <xf numFmtId="0" fontId="39" fillId="0" borderId="96" xfId="0" applyFont="1" applyBorder="1" applyAlignment="1">
      <alignment horizontal="center" vertical="center" wrapText="1"/>
    </xf>
    <xf numFmtId="0" fontId="39" fillId="0" borderId="72" xfId="0" applyFont="1" applyBorder="1" applyAlignment="1">
      <alignment horizontal="center" vertical="center" wrapText="1"/>
    </xf>
    <xf numFmtId="0" fontId="28" fillId="8" borderId="0" xfId="0" applyFont="1" applyFill="1" applyBorder="1" applyAlignment="1">
      <alignment horizontal="center" vertical="center" wrapText="1"/>
    </xf>
    <xf numFmtId="0" fontId="28" fillId="8" borderId="62" xfId="0" applyFont="1" applyFill="1" applyBorder="1" applyAlignment="1">
      <alignment horizontal="left" vertical="center" wrapText="1"/>
    </xf>
    <xf numFmtId="0" fontId="29" fillId="8" borderId="63" xfId="0" applyFont="1" applyFill="1" applyBorder="1" applyAlignment="1">
      <alignment horizontal="left" wrapText="1"/>
    </xf>
    <xf numFmtId="0" fontId="29" fillId="8" borderId="64" xfId="0" applyFont="1" applyFill="1" applyBorder="1" applyAlignment="1">
      <alignment horizontal="left" wrapText="1"/>
    </xf>
    <xf numFmtId="0" fontId="32" fillId="0" borderId="72" xfId="0" applyFont="1" applyBorder="1" applyAlignment="1">
      <alignment horizontal="center" vertical="center"/>
    </xf>
    <xf numFmtId="0" fontId="34" fillId="33" borderId="74" xfId="11" applyFont="1" applyFill="1" applyBorder="1" applyAlignment="1">
      <alignment horizontal="center" vertical="center"/>
    </xf>
    <xf numFmtId="0" fontId="29" fillId="0" borderId="75" xfId="11" applyFont="1" applyBorder="1"/>
    <xf numFmtId="0" fontId="27" fillId="21" borderId="93" xfId="0" applyFont="1" applyFill="1" applyBorder="1" applyAlignment="1">
      <alignment horizontal="center" vertical="center" wrapText="1"/>
    </xf>
    <xf numFmtId="0" fontId="27" fillId="21" borderId="88" xfId="0" applyFont="1" applyFill="1" applyBorder="1" applyAlignment="1">
      <alignment horizontal="center" vertical="center" wrapText="1"/>
    </xf>
    <xf numFmtId="0" fontId="32" fillId="8" borderId="75" xfId="0" applyFont="1" applyFill="1" applyBorder="1" applyAlignment="1">
      <alignment horizontal="left" vertical="center" wrapText="1"/>
    </xf>
    <xf numFmtId="0" fontId="29" fillId="8" borderId="75" xfId="0" applyFont="1" applyFill="1" applyBorder="1"/>
    <xf numFmtId="0" fontId="29" fillId="8" borderId="76" xfId="0" applyFont="1" applyFill="1" applyBorder="1"/>
    <xf numFmtId="0" fontId="29" fillId="0" borderId="77" xfId="0" applyFont="1" applyBorder="1" applyAlignment="1">
      <alignment wrapText="1"/>
    </xf>
    <xf numFmtId="0" fontId="29" fillId="0" borderId="72" xfId="0" applyFont="1" applyBorder="1" applyAlignment="1">
      <alignment wrapText="1"/>
    </xf>
    <xf numFmtId="0" fontId="29" fillId="8" borderId="63" xfId="0" applyFont="1" applyFill="1" applyBorder="1"/>
    <xf numFmtId="0" fontId="29" fillId="8" borderId="64" xfId="0" applyFont="1" applyFill="1" applyBorder="1"/>
    <xf numFmtId="0" fontId="28" fillId="0" borderId="68" xfId="0" applyFont="1" applyBorder="1" applyAlignment="1">
      <alignment horizontal="center" vertical="center" wrapText="1"/>
    </xf>
    <xf numFmtId="0" fontId="28" fillId="0" borderId="92" xfId="0" applyFont="1" applyBorder="1" applyAlignment="1">
      <alignment horizontal="center" vertical="center" wrapText="1"/>
    </xf>
    <xf numFmtId="0" fontId="28" fillId="0" borderId="93" xfId="0" applyFont="1" applyBorder="1" applyAlignment="1">
      <alignment horizontal="center" vertical="center" wrapText="1"/>
    </xf>
    <xf numFmtId="0" fontId="28" fillId="0" borderId="202" xfId="0" applyFont="1" applyBorder="1" applyAlignment="1">
      <alignment horizontal="center" vertical="center" wrapText="1"/>
    </xf>
    <xf numFmtId="0" fontId="28" fillId="0" borderId="94" xfId="0" applyFont="1" applyBorder="1" applyAlignment="1">
      <alignment horizontal="center" vertical="center" wrapText="1"/>
    </xf>
    <xf numFmtId="0" fontId="28" fillId="0" borderId="95" xfId="0" applyFont="1" applyBorder="1" applyAlignment="1">
      <alignment horizontal="center" vertical="center" wrapText="1"/>
    </xf>
    <xf numFmtId="0" fontId="57" fillId="0" borderId="0" xfId="0" applyFont="1" applyAlignment="1">
      <alignment horizontal="center" vertical="center" wrapText="1"/>
    </xf>
    <xf numFmtId="0" fontId="28" fillId="0" borderId="73" xfId="2" applyFont="1" applyBorder="1"/>
    <xf numFmtId="0" fontId="28" fillId="0" borderId="166" xfId="2" applyFont="1" applyBorder="1"/>
    <xf numFmtId="0" fontId="32" fillId="0" borderId="0" xfId="2" applyFont="1" applyBorder="1" applyAlignment="1">
      <alignment horizontal="center" vertical="center" wrapText="1"/>
    </xf>
    <xf numFmtId="0" fontId="29" fillId="0" borderId="0" xfId="2" applyFont="1" applyBorder="1"/>
    <xf numFmtId="0" fontId="29" fillId="0" borderId="81" xfId="2" applyFont="1" applyBorder="1"/>
    <xf numFmtId="0" fontId="29" fillId="0" borderId="70" xfId="2" applyFont="1" applyBorder="1"/>
    <xf numFmtId="0" fontId="29" fillId="0" borderId="85" xfId="2" applyFont="1" applyBorder="1"/>
    <xf numFmtId="0" fontId="32" fillId="25" borderId="75" xfId="2" applyFont="1" applyFill="1" applyBorder="1" applyAlignment="1">
      <alignment horizontal="center" vertical="center"/>
    </xf>
    <xf numFmtId="0" fontId="32" fillId="0" borderId="75" xfId="2" applyFont="1" applyBorder="1" applyAlignment="1">
      <alignment horizontal="left" vertical="center" wrapText="1"/>
    </xf>
    <xf numFmtId="0" fontId="32" fillId="25" borderId="75" xfId="2" applyFont="1" applyFill="1" applyBorder="1" applyAlignment="1">
      <alignment horizontal="center" vertical="center" wrapText="1"/>
    </xf>
    <xf numFmtId="0" fontId="36" fillId="25" borderId="75" xfId="2" applyFont="1" applyFill="1" applyBorder="1" applyAlignment="1">
      <alignment horizontal="left" vertical="center" wrapText="1"/>
    </xf>
    <xf numFmtId="0" fontId="28" fillId="25" borderId="75" xfId="2" applyFont="1" applyFill="1" applyBorder="1" applyAlignment="1">
      <alignment horizontal="center"/>
    </xf>
    <xf numFmtId="0" fontId="34" fillId="28" borderId="71" xfId="2" applyFont="1" applyFill="1" applyBorder="1" applyAlignment="1">
      <alignment horizontal="center" vertical="center" wrapText="1"/>
    </xf>
    <xf numFmtId="0" fontId="29" fillId="0" borderId="91" xfId="2" applyFont="1" applyBorder="1"/>
    <xf numFmtId="0" fontId="29" fillId="0" borderId="89" xfId="2" applyFont="1" applyBorder="1"/>
    <xf numFmtId="0" fontId="29" fillId="0" borderId="90" xfId="2" applyFont="1" applyBorder="1"/>
    <xf numFmtId="0" fontId="34" fillId="28" borderId="77" xfId="2" applyFont="1" applyFill="1" applyBorder="1" applyAlignment="1">
      <alignment horizontal="center" vertical="center" wrapText="1"/>
    </xf>
    <xf numFmtId="0" fontId="29" fillId="0" borderId="77" xfId="2" applyFont="1" applyBorder="1"/>
    <xf numFmtId="0" fontId="34" fillId="28" borderId="74" xfId="2" applyFont="1" applyFill="1" applyBorder="1" applyAlignment="1">
      <alignment horizontal="center" vertical="center" wrapText="1"/>
    </xf>
    <xf numFmtId="0" fontId="34" fillId="23" borderId="71" xfId="2" applyFont="1" applyFill="1" applyBorder="1" applyAlignment="1">
      <alignment horizontal="center" vertical="center" wrapText="1"/>
    </xf>
    <xf numFmtId="0" fontId="34" fillId="26" borderId="71" xfId="2" applyFont="1" applyFill="1" applyBorder="1" applyAlignment="1">
      <alignment horizontal="center" vertical="center"/>
    </xf>
    <xf numFmtId="0" fontId="34" fillId="27" borderId="71" xfId="2" applyFont="1" applyFill="1" applyBorder="1" applyAlignment="1">
      <alignment horizontal="center" vertical="center" wrapText="1"/>
    </xf>
    <xf numFmtId="0" fontId="29" fillId="0" borderId="86" xfId="2" applyFont="1" applyBorder="1"/>
    <xf numFmtId="0" fontId="34" fillId="28" borderId="92" xfId="2" applyFont="1" applyFill="1" applyBorder="1" applyAlignment="1">
      <alignment horizontal="center" vertical="center" wrapText="1"/>
    </xf>
    <xf numFmtId="0" fontId="29" fillId="0" borderId="93" xfId="2" applyFont="1" applyBorder="1"/>
    <xf numFmtId="0" fontId="29" fillId="0" borderId="88" xfId="2" applyFont="1" applyBorder="1"/>
    <xf numFmtId="0" fontId="29" fillId="0" borderId="94" xfId="2" applyFont="1" applyBorder="1"/>
    <xf numFmtId="0" fontId="29" fillId="0" borderId="95" xfId="2" applyFont="1" applyBorder="1"/>
    <xf numFmtId="0" fontId="34" fillId="28" borderId="62" xfId="2" applyFont="1" applyFill="1" applyBorder="1" applyAlignment="1">
      <alignment horizontal="center" vertical="center" wrapText="1"/>
    </xf>
    <xf numFmtId="0" fontId="29" fillId="0" borderId="63" xfId="2" applyFont="1" applyBorder="1"/>
    <xf numFmtId="0" fontId="29" fillId="0" borderId="64" xfId="2" applyFont="1" applyBorder="1"/>
    <xf numFmtId="0" fontId="32" fillId="25" borderId="77" xfId="2" applyFont="1" applyFill="1" applyBorder="1" applyAlignment="1">
      <alignment horizontal="center" vertical="center" wrapText="1"/>
    </xf>
    <xf numFmtId="0" fontId="29" fillId="0" borderId="72" xfId="2" applyFont="1" applyBorder="1"/>
    <xf numFmtId="0" fontId="32" fillId="0" borderId="1" xfId="2" applyFont="1" applyBorder="1" applyAlignment="1">
      <alignment horizontal="center" vertical="center"/>
    </xf>
    <xf numFmtId="0" fontId="29" fillId="0" borderId="1" xfId="2" applyFont="1" applyBorder="1"/>
    <xf numFmtId="0" fontId="34" fillId="28" borderId="86" xfId="2" applyFont="1" applyFill="1" applyBorder="1" applyAlignment="1">
      <alignment horizontal="center" vertical="center" wrapText="1"/>
    </xf>
    <xf numFmtId="0" fontId="34" fillId="23" borderId="86" xfId="2" applyFont="1" applyFill="1" applyBorder="1" applyAlignment="1">
      <alignment horizontal="center" vertical="center" wrapText="1"/>
    </xf>
    <xf numFmtId="0" fontId="34" fillId="23" borderId="77" xfId="2" applyFont="1" applyFill="1" applyBorder="1" applyAlignment="1">
      <alignment horizontal="center" vertical="center" wrapText="1"/>
    </xf>
    <xf numFmtId="0" fontId="34" fillId="24" borderId="71" xfId="2" applyFont="1" applyFill="1" applyBorder="1" applyAlignment="1">
      <alignment horizontal="center" vertical="center" wrapText="1"/>
    </xf>
    <xf numFmtId="0" fontId="34" fillId="23" borderId="62" xfId="2" applyFont="1" applyFill="1" applyBorder="1" applyAlignment="1">
      <alignment horizontal="center" vertical="center" wrapText="1"/>
    </xf>
    <xf numFmtId="0" fontId="28" fillId="0" borderId="62" xfId="2" applyFont="1" applyBorder="1" applyAlignment="1">
      <alignment horizontal="left" vertical="center"/>
    </xf>
    <xf numFmtId="0" fontId="28" fillId="0" borderId="62" xfId="2" applyFont="1" applyBorder="1" applyAlignment="1">
      <alignment horizontal="center" vertical="center" wrapText="1"/>
    </xf>
    <xf numFmtId="0" fontId="27" fillId="21" borderId="0" xfId="2" applyFont="1" applyFill="1" applyBorder="1" applyAlignment="1">
      <alignment horizontal="center" vertical="center" wrapText="1"/>
    </xf>
    <xf numFmtId="0" fontId="27" fillId="21" borderId="71" xfId="2" applyFont="1" applyFill="1" applyBorder="1" applyAlignment="1">
      <alignment horizontal="left"/>
    </xf>
    <xf numFmtId="0" fontId="33" fillId="22" borderId="0" xfId="2" applyFont="1" applyFill="1" applyBorder="1" applyAlignment="1">
      <alignment horizontal="center" vertical="center" wrapText="1"/>
    </xf>
    <xf numFmtId="0" fontId="27" fillId="21" borderId="74" xfId="2" applyFont="1" applyFill="1" applyBorder="1" applyAlignment="1">
      <alignment horizontal="center"/>
    </xf>
    <xf numFmtId="0" fontId="28" fillId="0" borderId="0" xfId="2" applyFont="1" applyBorder="1" applyAlignment="1">
      <alignment horizontal="center" vertical="center" wrapText="1"/>
    </xf>
    <xf numFmtId="0" fontId="28" fillId="0" borderId="73" xfId="0" applyFont="1" applyBorder="1"/>
    <xf numFmtId="0" fontId="28" fillId="0" borderId="166" xfId="0" applyFont="1" applyBorder="1"/>
    <xf numFmtId="0" fontId="7" fillId="0" borderId="86" xfId="0" applyFont="1" applyBorder="1" applyAlignment="1">
      <alignment wrapText="1"/>
    </xf>
    <xf numFmtId="0" fontId="0" fillId="0" borderId="0" xfId="0" applyBorder="1" applyAlignment="1">
      <alignment wrapText="1"/>
    </xf>
    <xf numFmtId="0" fontId="0" fillId="0" borderId="86" xfId="0" applyBorder="1" applyAlignment="1">
      <alignment wrapText="1"/>
    </xf>
    <xf numFmtId="0" fontId="32" fillId="0" borderId="1" xfId="0" applyFont="1" applyBorder="1" applyAlignment="1">
      <alignment horizontal="center" vertical="center"/>
    </xf>
    <xf numFmtId="0" fontId="29" fillId="0" borderId="1" xfId="0" applyFont="1" applyBorder="1"/>
    <xf numFmtId="0" fontId="38" fillId="36" borderId="65" xfId="2" applyFont="1" applyFill="1" applyBorder="1" applyAlignment="1">
      <alignment horizontal="center"/>
    </xf>
    <xf numFmtId="0" fontId="34" fillId="28" borderId="0" xfId="0" applyFont="1" applyFill="1" applyBorder="1" applyAlignment="1">
      <alignment horizontal="center" vertical="center" wrapText="1"/>
    </xf>
    <xf numFmtId="0" fontId="38" fillId="7" borderId="6" xfId="0" applyFont="1" applyFill="1" applyBorder="1" applyAlignment="1">
      <alignment horizontal="center" vertical="center" wrapText="1"/>
    </xf>
    <xf numFmtId="0" fontId="38" fillId="7" borderId="8" xfId="0" applyFont="1" applyFill="1" applyBorder="1" applyAlignment="1">
      <alignment horizontal="center" vertical="center" wrapText="1"/>
    </xf>
    <xf numFmtId="0" fontId="29" fillId="0" borderId="62" xfId="0" applyFont="1" applyBorder="1" applyAlignment="1">
      <alignment horizontal="left" vertical="center"/>
    </xf>
    <xf numFmtId="0" fontId="32" fillId="25" borderId="141" xfId="0" applyFont="1" applyFill="1" applyBorder="1" applyAlignment="1">
      <alignment horizontal="center" vertical="center" wrapText="1"/>
    </xf>
    <xf numFmtId="0" fontId="32" fillId="25" borderId="76" xfId="0" applyFont="1" applyFill="1" applyBorder="1" applyAlignment="1">
      <alignment horizontal="center" vertical="center" wrapText="1"/>
    </xf>
    <xf numFmtId="0" fontId="38" fillId="36" borderId="75" xfId="2" applyFont="1" applyFill="1" applyBorder="1" applyAlignment="1">
      <alignment horizontal="center"/>
    </xf>
    <xf numFmtId="0" fontId="38" fillId="36" borderId="76" xfId="2" applyFont="1" applyFill="1" applyBorder="1" applyAlignment="1">
      <alignment horizontal="center"/>
    </xf>
    <xf numFmtId="0" fontId="0" fillId="0" borderId="1" xfId="14" applyFont="1" applyBorder="1" applyAlignment="1">
      <alignment horizontal="center" vertical="center" wrapText="1"/>
    </xf>
    <xf numFmtId="0" fontId="74" fillId="0" borderId="31" xfId="14" applyBorder="1" applyAlignment="1">
      <alignment horizontal="center" vertical="center"/>
    </xf>
    <xf numFmtId="0" fontId="74" fillId="0" borderId="31" xfId="14" applyBorder="1" applyAlignment="1">
      <alignment horizontal="center" vertical="center" wrapText="1"/>
    </xf>
    <xf numFmtId="0" fontId="17" fillId="0" borderId="30" xfId="14" applyFont="1" applyBorder="1" applyAlignment="1">
      <alignment horizontal="center" vertical="center"/>
    </xf>
    <xf numFmtId="0" fontId="17" fillId="0" borderId="31" xfId="14" applyFont="1" applyBorder="1" applyAlignment="1">
      <alignment horizontal="center" vertical="center"/>
    </xf>
    <xf numFmtId="0" fontId="17" fillId="0" borderId="23" xfId="14" applyFont="1" applyBorder="1" applyAlignment="1">
      <alignment horizontal="center" vertical="center"/>
    </xf>
    <xf numFmtId="0" fontId="7" fillId="0" borderId="30" xfId="14" applyFont="1" applyBorder="1" applyAlignment="1">
      <alignment horizontal="center" vertical="center" wrapText="1"/>
    </xf>
    <xf numFmtId="0" fontId="7" fillId="0" borderId="23" xfId="14" applyFont="1" applyBorder="1" applyAlignment="1">
      <alignment horizontal="center" vertical="center" wrapText="1"/>
    </xf>
    <xf numFmtId="0" fontId="7" fillId="0" borderId="30" xfId="14" applyFont="1" applyBorder="1" applyAlignment="1">
      <alignment horizontal="center" vertical="center"/>
    </xf>
    <xf numFmtId="0" fontId="7" fillId="0" borderId="23" xfId="14" applyFont="1" applyBorder="1" applyAlignment="1">
      <alignment horizontal="center" vertical="center"/>
    </xf>
    <xf numFmtId="0" fontId="32" fillId="0" borderId="114"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116" xfId="0" applyFont="1" applyBorder="1" applyAlignment="1">
      <alignment horizontal="center" vertical="center" wrapText="1"/>
    </xf>
    <xf numFmtId="0" fontId="29" fillId="0" borderId="80" xfId="0" applyFont="1" applyBorder="1" applyAlignment="1">
      <alignment horizontal="center" wrapText="1"/>
    </xf>
    <xf numFmtId="0" fontId="43" fillId="0" borderId="70" xfId="0" applyFont="1" applyBorder="1" applyAlignment="1">
      <alignment horizontal="center"/>
    </xf>
    <xf numFmtId="0" fontId="43" fillId="0" borderId="85" xfId="0" applyFont="1" applyBorder="1" applyAlignment="1">
      <alignment horizontal="center"/>
    </xf>
    <xf numFmtId="0" fontId="32" fillId="0" borderId="115" xfId="0" applyFont="1" applyBorder="1" applyAlignment="1">
      <alignment horizontal="center" vertical="center"/>
    </xf>
    <xf numFmtId="0" fontId="32" fillId="0" borderId="116" xfId="0" applyFont="1" applyBorder="1" applyAlignment="1">
      <alignment horizontal="center" vertical="center"/>
    </xf>
    <xf numFmtId="0" fontId="32" fillId="0" borderId="80" xfId="0" applyFont="1" applyBorder="1" applyAlignment="1">
      <alignment horizontal="center" vertical="center"/>
    </xf>
    <xf numFmtId="0" fontId="32" fillId="0" borderId="70" xfId="0" applyFont="1" applyBorder="1" applyAlignment="1">
      <alignment horizontal="center" vertical="center"/>
    </xf>
    <xf numFmtId="0" fontId="32" fillId="0" borderId="85" xfId="0" applyFont="1" applyBorder="1" applyAlignment="1">
      <alignment horizontal="center" vertical="center"/>
    </xf>
    <xf numFmtId="0" fontId="78" fillId="33" borderId="74" xfId="14" applyFont="1" applyFill="1" applyBorder="1" applyAlignment="1">
      <alignment horizontal="center" vertical="center" wrapText="1"/>
    </xf>
    <xf numFmtId="0" fontId="77" fillId="0" borderId="75" xfId="14" applyFont="1" applyBorder="1" applyAlignment="1">
      <alignment wrapText="1"/>
    </xf>
    <xf numFmtId="0" fontId="43" fillId="0" borderId="76" xfId="0" applyFont="1" applyBorder="1" applyAlignment="1">
      <alignment horizontal="center"/>
    </xf>
    <xf numFmtId="0" fontId="29" fillId="0" borderId="75" xfId="0" applyFont="1" applyFill="1" applyBorder="1"/>
    <xf numFmtId="0" fontId="29" fillId="0" borderId="76" xfId="0" applyFont="1" applyFill="1" applyBorder="1"/>
    <xf numFmtId="0" fontId="43" fillId="0" borderId="75" xfId="0" applyFont="1" applyBorder="1" applyAlignment="1"/>
    <xf numFmtId="0" fontId="43" fillId="0" borderId="76" xfId="0" applyFont="1" applyBorder="1" applyAlignment="1"/>
    <xf numFmtId="0" fontId="43" fillId="0" borderId="91" xfId="0" applyFont="1" applyBorder="1" applyAlignment="1"/>
    <xf numFmtId="0" fontId="43" fillId="0" borderId="89" xfId="0" applyFont="1" applyBorder="1" applyAlignment="1"/>
    <xf numFmtId="0" fontId="43" fillId="0" borderId="90" xfId="0" applyFont="1" applyBorder="1" applyAlignment="1"/>
    <xf numFmtId="0" fontId="43" fillId="0" borderId="77" xfId="0" applyFont="1" applyBorder="1" applyAlignment="1"/>
    <xf numFmtId="0" fontId="43" fillId="0" borderId="0" xfId="0" applyFont="1" applyBorder="1" applyAlignment="1"/>
    <xf numFmtId="0" fontId="43" fillId="0" borderId="63" xfId="0" applyFont="1" applyBorder="1" applyAlignment="1"/>
    <xf numFmtId="0" fontId="43" fillId="0" borderId="64" xfId="0" applyFont="1" applyBorder="1" applyAlignment="1"/>
    <xf numFmtId="0" fontId="43" fillId="0" borderId="86" xfId="0" applyFont="1" applyBorder="1" applyAlignment="1"/>
    <xf numFmtId="0" fontId="43" fillId="0" borderId="70" xfId="0" applyFont="1" applyBorder="1" applyAlignment="1"/>
    <xf numFmtId="0" fontId="43" fillId="0" borderId="72" xfId="0" applyFont="1" applyBorder="1" applyAlignment="1"/>
    <xf numFmtId="0" fontId="43" fillId="0" borderId="85" xfId="0" applyFont="1" applyBorder="1" applyAlignment="1"/>
    <xf numFmtId="0" fontId="43" fillId="0" borderId="93" xfId="0" applyFont="1" applyBorder="1" applyAlignment="1"/>
    <xf numFmtId="0" fontId="43" fillId="0" borderId="88" xfId="0" applyFont="1" applyBorder="1" applyAlignment="1"/>
    <xf numFmtId="0" fontId="43" fillId="0" borderId="94" xfId="0" applyFont="1" applyBorder="1" applyAlignment="1"/>
    <xf numFmtId="0" fontId="43" fillId="0" borderId="95" xfId="0" applyFont="1" applyBorder="1" applyAlignment="1"/>
    <xf numFmtId="0" fontId="43" fillId="0" borderId="81" xfId="0" applyFont="1" applyBorder="1" applyAlignment="1"/>
    <xf numFmtId="0" fontId="0" fillId="0" borderId="0" xfId="0" applyAlignment="1"/>
    <xf numFmtId="0" fontId="77" fillId="0" borderId="75" xfId="14" applyFont="1" applyBorder="1" applyAlignment="1"/>
    <xf numFmtId="0" fontId="58" fillId="0" borderId="143" xfId="0" applyFont="1" applyBorder="1" applyAlignment="1">
      <alignment horizontal="center" vertical="center" readingOrder="1"/>
    </xf>
    <xf numFmtId="0" fontId="58" fillId="0" borderId="144" xfId="0" applyFont="1" applyBorder="1" applyAlignment="1">
      <alignment horizontal="center" vertical="center" readingOrder="1"/>
    </xf>
    <xf numFmtId="0" fontId="58" fillId="0" borderId="145" xfId="0" applyFont="1" applyBorder="1" applyAlignment="1">
      <alignment horizontal="center" vertical="center" readingOrder="1"/>
    </xf>
    <xf numFmtId="0" fontId="58" fillId="0" borderId="146" xfId="0" applyFont="1" applyBorder="1" applyAlignment="1">
      <alignment horizontal="center" vertical="center" readingOrder="1"/>
    </xf>
    <xf numFmtId="0" fontId="58" fillId="0" borderId="147" xfId="0" applyFont="1" applyBorder="1" applyAlignment="1">
      <alignment horizontal="center" vertical="center" readingOrder="1"/>
    </xf>
    <xf numFmtId="0" fontId="58" fillId="0" borderId="148" xfId="0" applyFont="1" applyBorder="1" applyAlignment="1">
      <alignment horizontal="center" vertical="center" readingOrder="1"/>
    </xf>
    <xf numFmtId="0" fontId="28" fillId="0" borderId="146" xfId="0" applyFont="1" applyBorder="1" applyAlignment="1">
      <alignment horizontal="center" vertical="center" wrapText="1" readingOrder="1"/>
    </xf>
    <xf numFmtId="0" fontId="58" fillId="0" borderId="147" xfId="0" applyFont="1" applyBorder="1" applyAlignment="1">
      <alignment horizontal="center" vertical="center" wrapText="1" readingOrder="1"/>
    </xf>
    <xf numFmtId="0" fontId="58" fillId="0" borderId="148" xfId="0" applyFont="1" applyBorder="1" applyAlignment="1">
      <alignment horizontal="center" vertical="center" wrapText="1" readingOrder="1"/>
    </xf>
    <xf numFmtId="0" fontId="68" fillId="0" borderId="77" xfId="0" applyFont="1" applyBorder="1"/>
    <xf numFmtId="0" fontId="68" fillId="0" borderId="0" xfId="0" applyFont="1" applyBorder="1"/>
    <xf numFmtId="0" fontId="68" fillId="0" borderId="70" xfId="0" applyFont="1" applyBorder="1"/>
    <xf numFmtId="0" fontId="28" fillId="0" borderId="62" xfId="9" quotePrefix="1" applyFont="1" applyBorder="1" applyAlignment="1">
      <alignment horizontal="left" vertical="center" wrapText="1"/>
    </xf>
    <xf numFmtId="0" fontId="68" fillId="0" borderId="63" xfId="9" applyFont="1" applyBorder="1" applyAlignment="1">
      <alignment horizontal="left"/>
    </xf>
    <xf numFmtId="0" fontId="68" fillId="0" borderId="64" xfId="9" applyFont="1" applyBorder="1" applyAlignment="1">
      <alignment horizontal="left"/>
    </xf>
    <xf numFmtId="0" fontId="29" fillId="0" borderId="62" xfId="9" applyFont="1" applyBorder="1" applyAlignment="1">
      <alignment horizontal="left" vertical="center" wrapText="1"/>
    </xf>
    <xf numFmtId="0" fontId="29" fillId="0" borderId="63" xfId="9" applyFont="1" applyBorder="1"/>
    <xf numFmtId="0" fontId="29" fillId="0" borderId="64" xfId="9" applyFont="1" applyBorder="1"/>
    <xf numFmtId="0" fontId="3" fillId="0" borderId="64" xfId="0" applyFont="1" applyBorder="1" applyAlignment="1">
      <alignment vertical="center" wrapText="1"/>
    </xf>
    <xf numFmtId="0" fontId="42" fillId="0" borderId="114" xfId="0" applyFont="1" applyBorder="1" applyAlignment="1">
      <alignment horizontal="center"/>
    </xf>
    <xf numFmtId="0" fontId="42" fillId="0" borderId="115" xfId="0" applyFont="1" applyBorder="1" applyAlignment="1">
      <alignment horizontal="center"/>
    </xf>
    <xf numFmtId="0" fontId="42" fillId="0" borderId="203" xfId="0" applyFont="1" applyBorder="1" applyAlignment="1">
      <alignment horizontal="center"/>
    </xf>
    <xf numFmtId="0" fontId="42" fillId="0" borderId="83" xfId="0" applyFont="1" applyBorder="1" applyAlignment="1">
      <alignment horizontal="center"/>
    </xf>
    <xf numFmtId="0" fontId="42" fillId="0" borderId="75" xfId="0" applyFont="1" applyBorder="1" applyAlignment="1">
      <alignment horizontal="center"/>
    </xf>
    <xf numFmtId="0" fontId="42" fillId="0" borderId="131" xfId="0" applyFont="1" applyBorder="1" applyAlignment="1">
      <alignment horizontal="center"/>
    </xf>
    <xf numFmtId="0" fontId="58" fillId="0" borderId="143" xfId="0" applyFont="1" applyBorder="1" applyAlignment="1">
      <alignment readingOrder="1"/>
    </xf>
    <xf numFmtId="0" fontId="58" fillId="0" borderId="144" xfId="0" applyFont="1" applyBorder="1" applyAlignment="1">
      <alignment readingOrder="1"/>
    </xf>
    <xf numFmtId="0" fontId="58" fillId="0" borderId="145" xfId="0" applyFont="1" applyBorder="1" applyAlignment="1">
      <alignment readingOrder="1"/>
    </xf>
    <xf numFmtId="0" fontId="58" fillId="0" borderId="146" xfId="0" applyFont="1" applyBorder="1" applyAlignment="1">
      <alignment readingOrder="1"/>
    </xf>
    <xf numFmtId="0" fontId="58" fillId="0" borderId="147" xfId="0" applyFont="1" applyBorder="1" applyAlignment="1">
      <alignment readingOrder="1"/>
    </xf>
    <xf numFmtId="0" fontId="58" fillId="0" borderId="148" xfId="0" applyFont="1" applyBorder="1" applyAlignment="1">
      <alignment readingOrder="1"/>
    </xf>
    <xf numFmtId="0" fontId="58" fillId="0" borderId="152" xfId="0" applyFont="1" applyBorder="1" applyAlignment="1">
      <alignment wrapText="1" readingOrder="1"/>
    </xf>
    <xf numFmtId="0" fontId="58" fillId="0" borderId="153" xfId="0" applyFont="1" applyBorder="1" applyAlignment="1">
      <alignment wrapText="1" readingOrder="1"/>
    </xf>
    <xf numFmtId="0" fontId="58" fillId="0" borderId="154" xfId="0" applyFont="1" applyBorder="1" applyAlignment="1">
      <alignment wrapText="1" readingOrder="1"/>
    </xf>
    <xf numFmtId="0" fontId="58" fillId="0" borderId="74" xfId="0" applyFont="1" applyBorder="1" applyAlignment="1">
      <alignment horizontal="center" vertical="center" readingOrder="1"/>
    </xf>
    <xf numFmtId="0" fontId="58" fillId="0" borderId="75" xfId="0" applyFont="1" applyBorder="1" applyAlignment="1">
      <alignment horizontal="center" vertical="center" readingOrder="1"/>
    </xf>
    <xf numFmtId="0" fontId="58" fillId="0" borderId="76" xfId="0" applyFont="1" applyBorder="1" applyAlignment="1">
      <alignment horizontal="center" vertical="center" readingOrder="1"/>
    </xf>
    <xf numFmtId="0" fontId="42" fillId="0" borderId="160" xfId="0" applyFont="1" applyBorder="1" applyAlignment="1">
      <alignment horizontal="center" vertical="center"/>
    </xf>
    <xf numFmtId="0" fontId="29" fillId="0" borderId="29" xfId="0" applyFont="1" applyBorder="1"/>
    <xf numFmtId="0" fontId="29" fillId="0" borderId="138" xfId="0" applyFont="1" applyBorder="1"/>
    <xf numFmtId="0" fontId="32" fillId="0" borderId="80" xfId="0" applyFont="1" applyBorder="1" applyAlignment="1">
      <alignment horizontal="center" vertical="center" wrapText="1"/>
    </xf>
    <xf numFmtId="0" fontId="32" fillId="0" borderId="70" xfId="0" applyFont="1" applyBorder="1" applyAlignment="1">
      <alignment horizontal="center" vertical="center" wrapText="1"/>
    </xf>
    <xf numFmtId="0" fontId="32" fillId="0" borderId="85" xfId="0" applyFont="1" applyBorder="1" applyAlignment="1">
      <alignment horizontal="center" vertical="center" wrapText="1"/>
    </xf>
    <xf numFmtId="0" fontId="48" fillId="0" borderId="7" xfId="0" applyFont="1" applyBorder="1" applyAlignment="1">
      <alignment horizontal="center" vertical="center" wrapText="1"/>
    </xf>
    <xf numFmtId="0" fontId="43" fillId="0" borderId="7" xfId="0" applyFont="1" applyBorder="1"/>
    <xf numFmtId="0" fontId="43" fillId="0" borderId="8" xfId="0" applyFont="1" applyBorder="1"/>
    <xf numFmtId="0" fontId="48" fillId="25" borderId="127" xfId="0" applyFont="1" applyFill="1" applyBorder="1" applyAlignment="1">
      <alignment horizontal="center" vertical="center" wrapText="1"/>
    </xf>
    <xf numFmtId="0" fontId="43" fillId="0" borderId="127" xfId="0" applyFont="1" applyBorder="1"/>
    <xf numFmtId="0" fontId="43" fillId="0" borderId="128" xfId="0" applyFont="1" applyBorder="1"/>
    <xf numFmtId="0" fontId="48" fillId="25" borderId="108" xfId="0" applyFont="1" applyFill="1" applyBorder="1" applyAlignment="1">
      <alignment horizontal="center" vertical="center" wrapText="1"/>
    </xf>
    <xf numFmtId="0" fontId="32" fillId="0" borderId="127" xfId="0" applyFont="1" applyBorder="1" applyAlignment="1">
      <alignment horizontal="center" vertical="center" wrapText="1"/>
    </xf>
    <xf numFmtId="0" fontId="42" fillId="25" borderId="108" xfId="0" applyFont="1" applyFill="1" applyBorder="1" applyAlignment="1">
      <alignment horizontal="center"/>
    </xf>
    <xf numFmtId="0" fontId="47" fillId="28" borderId="6" xfId="0" applyFont="1" applyFill="1" applyBorder="1" applyAlignment="1">
      <alignment horizontal="center" vertical="center" wrapText="1"/>
    </xf>
    <xf numFmtId="0" fontId="43" fillId="0" borderId="122" xfId="0" applyFont="1" applyBorder="1"/>
    <xf numFmtId="0" fontId="39" fillId="0" borderId="7" xfId="0" applyFont="1" applyBorder="1" applyAlignment="1">
      <alignment horizontal="center" vertical="center" wrapText="1"/>
    </xf>
    <xf numFmtId="0" fontId="31" fillId="0" borderId="7" xfId="0" applyFont="1" applyBorder="1"/>
    <xf numFmtId="0" fontId="31" fillId="0" borderId="8" xfId="0" applyFont="1" applyBorder="1"/>
    <xf numFmtId="0" fontId="32" fillId="0" borderId="127" xfId="0" applyFont="1" applyBorder="1" applyAlignment="1">
      <alignment horizontal="left" vertical="center" wrapText="1"/>
    </xf>
    <xf numFmtId="0" fontId="32" fillId="0" borderId="108" xfId="0" applyFont="1" applyBorder="1" applyAlignment="1">
      <alignment horizontal="left" vertical="center" wrapText="1"/>
    </xf>
    <xf numFmtId="0" fontId="32" fillId="0" borderId="35" xfId="0" applyFont="1" applyBorder="1" applyAlignment="1">
      <alignment horizontal="center" vertical="center"/>
    </xf>
    <xf numFmtId="0" fontId="29" fillId="0" borderId="39" xfId="0" applyFont="1" applyBorder="1"/>
    <xf numFmtId="0" fontId="29" fillId="0" borderId="34" xfId="0" applyFont="1" applyBorder="1"/>
    <xf numFmtId="0" fontId="43" fillId="0" borderId="92" xfId="0" applyFont="1" applyBorder="1"/>
    <xf numFmtId="0" fontId="48" fillId="25" borderId="7" xfId="0" applyFont="1" applyFill="1" applyBorder="1" applyAlignment="1">
      <alignment horizontal="center" vertical="center" wrapText="1"/>
    </xf>
    <xf numFmtId="0" fontId="48" fillId="0" borderId="35" xfId="0" applyFont="1" applyBorder="1" applyAlignment="1">
      <alignment horizontal="center" vertical="center" wrapText="1"/>
    </xf>
    <xf numFmtId="0" fontId="13" fillId="0" borderId="204" xfId="0" applyFont="1" applyBorder="1" applyAlignment="1">
      <alignment horizontal="center" vertical="center" wrapText="1"/>
    </xf>
    <xf numFmtId="0" fontId="13" fillId="0" borderId="205" xfId="0" applyFont="1" applyBorder="1" applyAlignment="1">
      <alignment horizontal="center" vertical="center" wrapText="1"/>
    </xf>
    <xf numFmtId="0" fontId="13" fillId="0" borderId="206" xfId="0" applyFont="1" applyBorder="1" applyAlignment="1">
      <alignment horizontal="center" vertical="center" wrapText="1"/>
    </xf>
    <xf numFmtId="0" fontId="23" fillId="0" borderId="0" xfId="0" applyFont="1" applyBorder="1" applyAlignment="1">
      <alignment horizontal="center"/>
    </xf>
    <xf numFmtId="0" fontId="7" fillId="0" borderId="0" xfId="0" applyFont="1" applyBorder="1" applyAlignment="1">
      <alignment horizontal="center"/>
    </xf>
    <xf numFmtId="0" fontId="0" fillId="0" borderId="0" xfId="0" applyFont="1" applyBorder="1" applyAlignment="1">
      <alignment horizontal="center"/>
    </xf>
    <xf numFmtId="0" fontId="39" fillId="0" borderId="35" xfId="0" applyFont="1" applyBorder="1" applyAlignment="1">
      <alignment horizontal="center" vertical="center" wrapText="1"/>
    </xf>
    <xf numFmtId="0" fontId="29" fillId="0" borderId="35" xfId="0" applyFont="1" applyBorder="1"/>
    <xf numFmtId="0" fontId="29" fillId="0" borderId="38" xfId="0" applyFont="1" applyBorder="1"/>
    <xf numFmtId="0" fontId="17" fillId="0" borderId="0" xfId="0" applyFont="1" applyBorder="1" applyAlignment="1"/>
    <xf numFmtId="0" fontId="29" fillId="0" borderId="53" xfId="0" applyFont="1" applyBorder="1"/>
    <xf numFmtId="0" fontId="47" fillId="23" borderId="6" xfId="0" applyFont="1" applyFill="1" applyBorder="1" applyAlignment="1">
      <alignment horizontal="center" vertical="center" wrapText="1"/>
    </xf>
    <xf numFmtId="0" fontId="29" fillId="0" borderId="7" xfId="0" applyFont="1" applyBorder="1"/>
    <xf numFmtId="0" fontId="29" fillId="0" borderId="8" xfId="0" applyFont="1" applyBorder="1"/>
    <xf numFmtId="0" fontId="55" fillId="0" borderId="75" xfId="0" applyFont="1" applyBorder="1" applyAlignment="1">
      <alignment horizontal="center" vertical="center" wrapText="1"/>
    </xf>
    <xf numFmtId="0" fontId="38" fillId="0" borderId="75" xfId="0" applyFont="1" applyBorder="1"/>
    <xf numFmtId="0" fontId="38" fillId="0" borderId="76" xfId="0" applyFont="1" applyBorder="1"/>
    <xf numFmtId="0" fontId="55" fillId="0" borderId="75" xfId="0" applyFont="1" applyBorder="1" applyAlignment="1">
      <alignment horizontal="left" vertical="center" wrapText="1"/>
    </xf>
    <xf numFmtId="0" fontId="55" fillId="0" borderId="96" xfId="0" applyFont="1" applyBorder="1" applyAlignment="1">
      <alignment horizontal="center" vertical="center" wrapText="1"/>
    </xf>
    <xf numFmtId="0" fontId="55" fillId="0" borderId="77" xfId="0" applyFont="1" applyBorder="1" applyAlignment="1">
      <alignment horizontal="center" vertical="center" wrapText="1"/>
    </xf>
    <xf numFmtId="0" fontId="55" fillId="0" borderId="72" xfId="0" applyFont="1" applyBorder="1" applyAlignment="1">
      <alignment horizontal="center" vertical="center" wrapText="1"/>
    </xf>
    <xf numFmtId="0" fontId="55" fillId="0" borderId="77" xfId="0" applyFont="1" applyBorder="1" applyAlignment="1">
      <alignment horizontal="center" vertical="center"/>
    </xf>
    <xf numFmtId="0" fontId="38" fillId="0" borderId="77" xfId="0" applyFont="1" applyBorder="1"/>
    <xf numFmtId="0" fontId="38" fillId="0" borderId="72" xfId="0" applyFont="1" applyBorder="1"/>
    <xf numFmtId="0" fontId="55" fillId="0" borderId="83" xfId="0" applyFont="1" applyBorder="1" applyAlignment="1">
      <alignment horizontal="center" vertical="center"/>
    </xf>
    <xf numFmtId="0" fontId="55" fillId="0" borderId="75" xfId="0" applyFont="1" applyBorder="1" applyAlignment="1">
      <alignment horizontal="center" vertical="center"/>
    </xf>
    <xf numFmtId="0" fontId="55" fillId="0" borderId="76" xfId="0" applyFont="1" applyBorder="1" applyAlignment="1">
      <alignment horizontal="center" vertical="center"/>
    </xf>
    <xf numFmtId="0" fontId="55" fillId="0" borderId="96" xfId="0" applyFont="1" applyBorder="1" applyAlignment="1">
      <alignment horizontal="center" vertical="center"/>
    </xf>
    <xf numFmtId="0" fontId="55" fillId="0" borderId="72" xfId="0" applyFont="1" applyBorder="1" applyAlignment="1">
      <alignment horizontal="center" vertical="center"/>
    </xf>
    <xf numFmtId="0" fontId="28" fillId="0" borderId="16" xfId="0" applyFont="1" applyBorder="1" applyAlignment="1">
      <alignment horizontal="center"/>
    </xf>
    <xf numFmtId="0" fontId="28" fillId="0" borderId="22" xfId="0" applyFont="1" applyBorder="1" applyAlignment="1">
      <alignment horizontal="center"/>
    </xf>
    <xf numFmtId="0" fontId="28" fillId="0" borderId="17" xfId="0" applyFont="1" applyBorder="1" applyAlignment="1">
      <alignment horizontal="center"/>
    </xf>
    <xf numFmtId="0" fontId="0" fillId="0" borderId="83" xfId="0" applyBorder="1" applyAlignment="1">
      <alignment horizontal="center"/>
    </xf>
    <xf numFmtId="0" fontId="0" fillId="0" borderId="75" xfId="0" applyBorder="1" applyAlignment="1">
      <alignment horizontal="center"/>
    </xf>
    <xf numFmtId="0" fontId="0" fillId="0" borderId="76" xfId="0" applyBorder="1" applyAlignment="1">
      <alignment horizontal="center"/>
    </xf>
    <xf numFmtId="0" fontId="29" fillId="0" borderId="63" xfId="0" applyFont="1" applyBorder="1" applyAlignment="1">
      <alignment horizontal="center"/>
    </xf>
    <xf numFmtId="0" fontId="29" fillId="0" borderId="64" xfId="0" applyFont="1" applyBorder="1" applyAlignment="1">
      <alignment horizontal="center"/>
    </xf>
    <xf numFmtId="0" fontId="48" fillId="0" borderId="96" xfId="0" applyFont="1" applyBorder="1" applyAlignment="1">
      <alignment horizontal="center" vertical="center"/>
    </xf>
    <xf numFmtId="0" fontId="48" fillId="0" borderId="72" xfId="0" applyFont="1" applyBorder="1" applyAlignment="1">
      <alignment horizontal="center" vertical="center"/>
    </xf>
    <xf numFmtId="0" fontId="43" fillId="0" borderId="80" xfId="0" applyFont="1" applyBorder="1" applyAlignment="1">
      <alignment horizontal="center"/>
    </xf>
    <xf numFmtId="0" fontId="32" fillId="0" borderId="77" xfId="0" applyFont="1" applyFill="1" applyBorder="1" applyAlignment="1">
      <alignment horizontal="center" vertical="center" wrapText="1"/>
    </xf>
    <xf numFmtId="0" fontId="43" fillId="0" borderId="77" xfId="0" applyFont="1" applyFill="1" applyBorder="1"/>
    <xf numFmtId="0" fontId="43" fillId="0" borderId="72" xfId="0" applyFont="1" applyFill="1" applyBorder="1"/>
    <xf numFmtId="0" fontId="43" fillId="0" borderId="70" xfId="0" applyFont="1" applyFill="1" applyBorder="1"/>
    <xf numFmtId="0" fontId="43" fillId="0" borderId="85" xfId="0" applyFont="1" applyFill="1" applyBorder="1"/>
    <xf numFmtId="0" fontId="42" fillId="0" borderId="63" xfId="0" applyFont="1" applyBorder="1" applyAlignment="1">
      <alignment horizontal="center" vertical="center" wrapText="1"/>
    </xf>
    <xf numFmtId="0" fontId="42" fillId="0" borderId="64" xfId="0" applyFont="1" applyBorder="1" applyAlignment="1">
      <alignment horizontal="center" vertical="center" wrapText="1"/>
    </xf>
    <xf numFmtId="0" fontId="32" fillId="0" borderId="77" xfId="9" applyFont="1" applyFill="1" applyBorder="1" applyAlignment="1">
      <alignment horizontal="center" vertical="center" wrapText="1"/>
    </xf>
    <xf numFmtId="0" fontId="68" fillId="0" borderId="77" xfId="9" applyFont="1" applyFill="1" applyBorder="1"/>
    <xf numFmtId="0" fontId="68" fillId="0" borderId="72" xfId="9" applyFont="1" applyFill="1" applyBorder="1"/>
    <xf numFmtId="0" fontId="68" fillId="0" borderId="70" xfId="9" applyFont="1" applyFill="1" applyBorder="1"/>
    <xf numFmtId="0" fontId="68" fillId="0" borderId="85" xfId="9" applyFont="1" applyFill="1" applyBorder="1"/>
    <xf numFmtId="0" fontId="7" fillId="0" borderId="1" xfId="15" applyBorder="1" applyAlignment="1">
      <alignment horizontal="center" vertical="center" wrapText="1"/>
    </xf>
    <xf numFmtId="0" fontId="7" fillId="0" borderId="1" xfId="15" applyBorder="1" applyAlignment="1">
      <alignment horizontal="center" vertical="center"/>
    </xf>
    <xf numFmtId="0" fontId="17" fillId="0" borderId="1" xfId="15" applyFont="1" applyBorder="1" applyAlignment="1">
      <alignment horizontal="center" vertical="center" wrapText="1"/>
    </xf>
    <xf numFmtId="0" fontId="17" fillId="0" borderId="30" xfId="15" applyFont="1" applyBorder="1" applyAlignment="1">
      <alignment horizontal="center" vertical="center" wrapText="1"/>
    </xf>
    <xf numFmtId="0" fontId="17" fillId="0" borderId="23" xfId="15" applyFont="1" applyBorder="1" applyAlignment="1">
      <alignment horizontal="center" vertical="center" wrapText="1"/>
    </xf>
    <xf numFmtId="0" fontId="7" fillId="0" borderId="30" xfId="15" applyBorder="1" applyAlignment="1">
      <alignment horizontal="center" vertical="center" wrapText="1"/>
    </xf>
    <xf numFmtId="0" fontId="7" fillId="0" borderId="23" xfId="15" applyBorder="1" applyAlignment="1">
      <alignment horizontal="center" vertical="center" wrapText="1"/>
    </xf>
    <xf numFmtId="0" fontId="7" fillId="0" borderId="30" xfId="15" applyBorder="1" applyAlignment="1">
      <alignment horizontal="center" vertical="center"/>
    </xf>
    <xf numFmtId="0" fontId="7" fillId="0" borderId="23" xfId="15" applyBorder="1" applyAlignment="1">
      <alignment horizontal="center" vertical="center"/>
    </xf>
    <xf numFmtId="0" fontId="17" fillId="0" borderId="31" xfId="15" applyFont="1" applyBorder="1" applyAlignment="1">
      <alignment horizontal="center" vertical="center" wrapText="1"/>
    </xf>
    <xf numFmtId="0" fontId="17" fillId="0" borderId="1" xfId="15" applyFont="1" applyBorder="1" applyAlignment="1">
      <alignment horizontal="center" vertical="center"/>
    </xf>
    <xf numFmtId="0" fontId="7" fillId="0" borderId="31" xfId="15" applyBorder="1" applyAlignment="1">
      <alignment horizontal="center" vertical="center" wrapText="1"/>
    </xf>
    <xf numFmtId="0" fontId="7" fillId="0" borderId="31" xfId="15" applyBorder="1" applyAlignment="1">
      <alignment horizontal="center" vertical="center"/>
    </xf>
    <xf numFmtId="16" fontId="7" fillId="0" borderId="1" xfId="15" applyNumberFormat="1" applyBorder="1" applyAlignment="1">
      <alignment horizontal="center" vertical="center"/>
    </xf>
    <xf numFmtId="0" fontId="28" fillId="0" borderId="58" xfId="0" applyFont="1" applyBorder="1" applyAlignment="1">
      <alignment horizontal="center" vertical="center" wrapText="1"/>
    </xf>
    <xf numFmtId="0" fontId="27" fillId="21" borderId="6" xfId="0" applyFont="1" applyFill="1" applyBorder="1" applyAlignment="1">
      <alignment horizontal="center" vertical="center" wrapText="1"/>
    </xf>
    <xf numFmtId="0" fontId="74" fillId="0" borderId="1" xfId="15" applyFont="1" applyBorder="1" applyAlignment="1">
      <alignment horizontal="center" vertical="center" wrapText="1"/>
    </xf>
    <xf numFmtId="16" fontId="74" fillId="0" borderId="1" xfId="15" applyNumberFormat="1" applyFont="1" applyBorder="1" applyAlignment="1">
      <alignment horizontal="center" vertical="center"/>
    </xf>
    <xf numFmtId="0" fontId="34" fillId="28" borderId="131" xfId="0" applyFont="1" applyFill="1" applyBorder="1" applyAlignment="1">
      <alignment horizontal="center" vertical="center" wrapText="1"/>
    </xf>
    <xf numFmtId="0" fontId="34" fillId="28" borderId="91" xfId="0" applyFont="1" applyFill="1" applyBorder="1" applyAlignment="1">
      <alignment horizontal="center" vertical="center" wrapText="1"/>
    </xf>
    <xf numFmtId="0" fontId="34" fillId="28" borderId="89" xfId="0" applyFont="1" applyFill="1" applyBorder="1" applyAlignment="1">
      <alignment horizontal="center" vertical="center" wrapText="1"/>
    </xf>
    <xf numFmtId="0" fontId="34" fillId="28" borderId="90" xfId="0" applyFont="1" applyFill="1" applyBorder="1" applyAlignment="1">
      <alignment horizontal="center" vertical="center" wrapText="1"/>
    </xf>
    <xf numFmtId="0" fontId="32" fillId="25" borderId="83" xfId="0" applyFont="1" applyFill="1" applyBorder="1" applyAlignment="1">
      <alignment horizontal="center" vertical="center" wrapText="1"/>
    </xf>
    <xf numFmtId="0" fontId="34" fillId="28" borderId="88" xfId="0" applyFont="1" applyFill="1" applyBorder="1" applyAlignment="1">
      <alignment horizontal="center" vertical="center" wrapText="1"/>
    </xf>
    <xf numFmtId="0" fontId="34" fillId="28" borderId="70" xfId="0" applyFont="1" applyFill="1" applyBorder="1" applyAlignment="1">
      <alignment horizontal="center" vertical="center" wrapText="1"/>
    </xf>
    <xf numFmtId="0" fontId="36" fillId="25" borderId="83" xfId="0" applyFont="1" applyFill="1" applyBorder="1" applyAlignment="1">
      <alignment horizontal="left" vertical="center" wrapText="1"/>
    </xf>
    <xf numFmtId="0" fontId="36" fillId="25" borderId="76" xfId="0" applyFont="1" applyFill="1" applyBorder="1" applyAlignment="1">
      <alignment horizontal="left" vertical="center" wrapText="1"/>
    </xf>
    <xf numFmtId="0" fontId="28" fillId="25" borderId="83" xfId="0" applyFont="1" applyFill="1" applyBorder="1" applyAlignment="1">
      <alignment horizontal="center"/>
    </xf>
    <xf numFmtId="0" fontId="28" fillId="25" borderId="76" xfId="0" applyFont="1" applyFill="1" applyBorder="1" applyAlignment="1">
      <alignment horizontal="center"/>
    </xf>
    <xf numFmtId="0" fontId="34" fillId="28" borderId="63" xfId="0" applyFont="1" applyFill="1" applyBorder="1" applyAlignment="1">
      <alignment horizontal="center" vertical="center" wrapText="1"/>
    </xf>
    <xf numFmtId="0" fontId="34" fillId="28" borderId="64" xfId="0" applyFont="1" applyFill="1" applyBorder="1" applyAlignment="1">
      <alignment horizontal="center" vertical="center" wrapText="1"/>
    </xf>
    <xf numFmtId="0" fontId="34" fillId="28" borderId="130" xfId="0" applyFont="1" applyFill="1" applyBorder="1" applyAlignment="1">
      <alignment horizontal="center" vertical="center" wrapText="1"/>
    </xf>
    <xf numFmtId="0" fontId="34" fillId="28" borderId="93" xfId="0" applyFont="1" applyFill="1" applyBorder="1" applyAlignment="1">
      <alignment horizontal="center" vertical="center" wrapText="1"/>
    </xf>
    <xf numFmtId="0" fontId="32" fillId="0" borderId="83" xfId="0" applyFont="1" applyBorder="1" applyAlignment="1">
      <alignment horizontal="left" vertical="center" wrapText="1"/>
    </xf>
    <xf numFmtId="0" fontId="32" fillId="0" borderId="76" xfId="0" applyFont="1" applyBorder="1" applyAlignment="1">
      <alignment horizontal="left" vertical="center" wrapText="1"/>
    </xf>
    <xf numFmtId="0" fontId="18" fillId="0" borderId="114" xfId="0" applyFont="1" applyBorder="1" applyAlignment="1">
      <alignment horizontal="left" vertical="center" wrapText="1"/>
    </xf>
    <xf numFmtId="0" fontId="18" fillId="0" borderId="115" xfId="0" applyFont="1" applyBorder="1" applyAlignment="1">
      <alignment horizontal="left" vertical="center" wrapText="1"/>
    </xf>
    <xf numFmtId="0" fontId="18" fillId="0" borderId="136" xfId="0" applyFont="1" applyBorder="1" applyAlignment="1">
      <alignment horizontal="left" vertical="center" wrapText="1"/>
    </xf>
    <xf numFmtId="0" fontId="18" fillId="0" borderId="135" xfId="0" applyFont="1" applyBorder="1" applyAlignment="1">
      <alignment horizontal="left" vertical="center" wrapText="1"/>
    </xf>
    <xf numFmtId="0" fontId="18" fillId="0" borderId="132" xfId="0" applyFont="1" applyBorder="1" applyAlignment="1">
      <alignment horizontal="left" vertical="center" wrapText="1"/>
    </xf>
    <xf numFmtId="0" fontId="18" fillId="0" borderId="133" xfId="0" applyFont="1" applyBorder="1" applyAlignment="1">
      <alignment horizontal="left" vertical="center" wrapText="1"/>
    </xf>
    <xf numFmtId="0" fontId="18" fillId="0" borderId="134" xfId="0" applyFont="1" applyBorder="1" applyAlignment="1">
      <alignment horizontal="left" vertical="center" wrapText="1"/>
    </xf>
    <xf numFmtId="0" fontId="34" fillId="27" borderId="91" xfId="0" applyFont="1" applyFill="1" applyBorder="1" applyAlignment="1">
      <alignment horizontal="center" vertical="center" wrapText="1"/>
    </xf>
    <xf numFmtId="0" fontId="34" fillId="27" borderId="86" xfId="0" applyFont="1" applyFill="1" applyBorder="1" applyAlignment="1">
      <alignment horizontal="center" vertical="center" wrapText="1"/>
    </xf>
    <xf numFmtId="0" fontId="34" fillId="27" borderId="88" xfId="0" applyFont="1" applyFill="1" applyBorder="1" applyAlignment="1">
      <alignment horizontal="center" vertical="center" wrapText="1"/>
    </xf>
    <xf numFmtId="0" fontId="34" fillId="27" borderId="129" xfId="0" applyFont="1" applyFill="1" applyBorder="1" applyAlignment="1">
      <alignment horizontal="center" vertical="center" wrapText="1"/>
    </xf>
    <xf numFmtId="0" fontId="34" fillId="27" borderId="95" xfId="0" applyFont="1" applyFill="1" applyBorder="1" applyAlignment="1">
      <alignment horizontal="center" vertical="center" wrapText="1"/>
    </xf>
    <xf numFmtId="0" fontId="32" fillId="0" borderId="83" xfId="0" applyFont="1" applyBorder="1" applyAlignment="1">
      <alignment horizontal="center" vertical="center"/>
    </xf>
    <xf numFmtId="0" fontId="32" fillId="0" borderId="75" xfId="0" applyFont="1" applyBorder="1" applyAlignment="1">
      <alignment horizontal="center" vertical="center"/>
    </xf>
    <xf numFmtId="0" fontId="32" fillId="0" borderId="76" xfId="0" applyFont="1" applyBorder="1" applyAlignment="1">
      <alignment horizontal="center" vertical="center"/>
    </xf>
    <xf numFmtId="0" fontId="34" fillId="28" borderId="94" xfId="0" applyFont="1" applyFill="1" applyBorder="1" applyAlignment="1">
      <alignment horizontal="center" vertical="center" wrapText="1"/>
    </xf>
    <xf numFmtId="0" fontId="34" fillId="28" borderId="95" xfId="0" applyFont="1" applyFill="1" applyBorder="1" applyAlignment="1">
      <alignment horizontal="center" vertical="center" wrapText="1"/>
    </xf>
    <xf numFmtId="0" fontId="32" fillId="25" borderId="83" xfId="0" applyFont="1" applyFill="1" applyBorder="1" applyAlignment="1">
      <alignment horizontal="center" vertical="center"/>
    </xf>
    <xf numFmtId="0" fontId="32" fillId="25" borderId="76" xfId="0" applyFont="1" applyFill="1" applyBorder="1" applyAlignment="1">
      <alignment horizontal="center" vertical="center"/>
    </xf>
    <xf numFmtId="0" fontId="34" fillId="23" borderId="74" xfId="0" applyFont="1" applyFill="1" applyBorder="1" applyAlignment="1">
      <alignment horizontal="center" vertical="center" wrapText="1"/>
    </xf>
    <xf numFmtId="0" fontId="34" fillId="23" borderId="131" xfId="0" applyFont="1" applyFill="1" applyBorder="1" applyAlignment="1">
      <alignment horizontal="center" vertical="center" wrapText="1"/>
    </xf>
    <xf numFmtId="0" fontId="34" fillId="26" borderId="91" xfId="0" applyFont="1" applyFill="1" applyBorder="1" applyAlignment="1">
      <alignment horizontal="center" vertical="center"/>
    </xf>
    <xf numFmtId="0" fontId="34" fillId="26" borderId="89" xfId="0" applyFont="1" applyFill="1" applyBorder="1" applyAlignment="1">
      <alignment horizontal="center" vertical="center"/>
    </xf>
    <xf numFmtId="0" fontId="34" fillId="26" borderId="90" xfId="0" applyFont="1" applyFill="1" applyBorder="1" applyAlignment="1">
      <alignment horizontal="center" vertical="center"/>
    </xf>
    <xf numFmtId="0" fontId="34" fillId="23" borderId="63" xfId="0" applyFont="1" applyFill="1" applyBorder="1" applyAlignment="1">
      <alignment horizontal="center" vertical="center" wrapText="1"/>
    </xf>
    <xf numFmtId="0" fontId="34" fillId="23" borderId="64" xfId="0" applyFont="1" applyFill="1" applyBorder="1" applyAlignment="1">
      <alignment horizontal="center" vertical="center" wrapText="1"/>
    </xf>
    <xf numFmtId="0" fontId="34" fillId="23" borderId="130" xfId="0" applyFont="1" applyFill="1" applyBorder="1" applyAlignment="1">
      <alignment horizontal="center" vertical="center" wrapText="1"/>
    </xf>
    <xf numFmtId="0" fontId="34" fillId="23" borderId="93" xfId="0" applyFont="1" applyFill="1" applyBorder="1" applyAlignment="1">
      <alignment horizontal="center" vertical="center" wrapText="1"/>
    </xf>
    <xf numFmtId="0" fontId="34" fillId="23" borderId="88" xfId="0" applyFont="1" applyFill="1" applyBorder="1" applyAlignment="1">
      <alignment horizontal="center" vertical="center" wrapText="1"/>
    </xf>
    <xf numFmtId="0" fontId="34" fillId="23" borderId="89" xfId="0" applyFont="1" applyFill="1" applyBorder="1" applyAlignment="1">
      <alignment horizontal="center" vertical="center" wrapText="1"/>
    </xf>
    <xf numFmtId="0" fontId="34" fillId="23" borderId="90" xfId="0" applyFont="1" applyFill="1" applyBorder="1" applyAlignment="1">
      <alignment horizontal="center" vertical="center" wrapText="1"/>
    </xf>
    <xf numFmtId="0" fontId="32" fillId="0" borderId="66" xfId="0" applyFont="1" applyBorder="1" applyAlignment="1">
      <alignment horizontal="center" vertical="center" wrapText="1"/>
    </xf>
    <xf numFmtId="0" fontId="32" fillId="0" borderId="81" xfId="0" applyFont="1" applyBorder="1" applyAlignment="1">
      <alignment horizontal="center" vertical="center" wrapText="1"/>
    </xf>
    <xf numFmtId="0" fontId="34" fillId="23" borderId="91" xfId="0" applyFont="1" applyFill="1" applyBorder="1" applyAlignment="1">
      <alignment horizontal="center" vertical="center" wrapText="1"/>
    </xf>
    <xf numFmtId="0" fontId="28" fillId="0" borderId="63" xfId="0" applyFont="1" applyBorder="1" applyAlignment="1">
      <alignment horizontal="left" vertical="center"/>
    </xf>
    <xf numFmtId="0" fontId="28" fillId="0" borderId="64" xfId="0" applyFont="1" applyBorder="1" applyAlignment="1">
      <alignment horizontal="left" vertical="center"/>
    </xf>
    <xf numFmtId="0" fontId="54" fillId="0" borderId="62" xfId="0" applyFont="1" applyBorder="1" applyAlignment="1">
      <alignment horizontal="center" vertical="center" wrapText="1"/>
    </xf>
    <xf numFmtId="0" fontId="54" fillId="0" borderId="63" xfId="0" applyFont="1" applyBorder="1" applyAlignment="1">
      <alignment horizontal="center" vertical="center" wrapText="1"/>
    </xf>
    <xf numFmtId="0" fontId="54" fillId="0" borderId="64" xfId="0" applyFont="1" applyBorder="1" applyAlignment="1">
      <alignment horizontal="center" vertical="center" wrapText="1"/>
    </xf>
    <xf numFmtId="0" fontId="27" fillId="21" borderId="74" xfId="0" applyFont="1" applyFill="1" applyBorder="1" applyAlignment="1">
      <alignment horizontal="left"/>
    </xf>
    <xf numFmtId="0" fontId="27" fillId="21" borderId="76" xfId="0" applyFont="1" applyFill="1" applyBorder="1" applyAlignment="1">
      <alignment horizontal="left"/>
    </xf>
    <xf numFmtId="0" fontId="27" fillId="21" borderId="75" xfId="0" applyFont="1" applyFill="1" applyBorder="1" applyAlignment="1">
      <alignment horizontal="center"/>
    </xf>
    <xf numFmtId="0" fontId="27" fillId="21" borderId="76" xfId="0" applyFont="1" applyFill="1" applyBorder="1" applyAlignment="1">
      <alignment horizontal="center"/>
    </xf>
    <xf numFmtId="0" fontId="34" fillId="23" borderId="0" xfId="0" applyFont="1" applyFill="1" applyBorder="1" applyAlignment="1">
      <alignment horizontal="center" vertical="center" wrapText="1"/>
    </xf>
    <xf numFmtId="0" fontId="34" fillId="23" borderId="70" xfId="0" applyFont="1" applyFill="1" applyBorder="1" applyAlignment="1">
      <alignment horizontal="center" vertical="center" wrapText="1"/>
    </xf>
    <xf numFmtId="0" fontId="39" fillId="0" borderId="66" xfId="0" applyFont="1" applyBorder="1" applyAlignment="1">
      <alignment horizontal="center" vertical="center" wrapText="1"/>
    </xf>
    <xf numFmtId="0" fontId="39" fillId="0" borderId="0" xfId="0" applyFont="1" applyBorder="1" applyAlignment="1">
      <alignment horizontal="center" vertical="center" wrapText="1"/>
    </xf>
    <xf numFmtId="0" fontId="39" fillId="0" borderId="81" xfId="0" applyFont="1" applyBorder="1" applyAlignment="1">
      <alignment horizontal="center" vertical="center" wrapText="1"/>
    </xf>
    <xf numFmtId="0" fontId="39" fillId="0" borderId="80" xfId="0" applyFont="1" applyBorder="1" applyAlignment="1">
      <alignment horizontal="center" vertical="center" wrapText="1"/>
    </xf>
    <xf numFmtId="0" fontId="39" fillId="0" borderId="70" xfId="0" applyFont="1" applyBorder="1" applyAlignment="1">
      <alignment horizontal="center" vertical="center" wrapText="1"/>
    </xf>
    <xf numFmtId="0" fontId="39" fillId="0" borderId="85" xfId="0" applyFont="1" applyBorder="1" applyAlignment="1">
      <alignment horizontal="center" vertical="center" wrapText="1"/>
    </xf>
    <xf numFmtId="0" fontId="34" fillId="24" borderId="91" xfId="0" applyFont="1" applyFill="1" applyBorder="1" applyAlignment="1">
      <alignment horizontal="center" vertical="center" wrapText="1"/>
    </xf>
    <xf numFmtId="0" fontId="34" fillId="24" borderId="86" xfId="0" applyFont="1" applyFill="1" applyBorder="1" applyAlignment="1">
      <alignment horizontal="center" vertical="center" wrapText="1"/>
    </xf>
    <xf numFmtId="0" fontId="34" fillId="24" borderId="88" xfId="0" applyFont="1" applyFill="1" applyBorder="1" applyAlignment="1">
      <alignment horizontal="center" vertical="center" wrapText="1"/>
    </xf>
    <xf numFmtId="0" fontId="34" fillId="24" borderId="129" xfId="0" applyFont="1" applyFill="1" applyBorder="1" applyAlignment="1">
      <alignment horizontal="center" vertical="center" wrapText="1"/>
    </xf>
    <xf numFmtId="0" fontId="34" fillId="24" borderId="95" xfId="0" applyFont="1" applyFill="1" applyBorder="1" applyAlignment="1">
      <alignment horizontal="center" vertical="center" wrapText="1"/>
    </xf>
    <xf numFmtId="0" fontId="7" fillId="0" borderId="30"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23" xfId="0" applyFont="1" applyBorder="1" applyAlignment="1">
      <alignment horizontal="center" vertical="center" wrapText="1"/>
    </xf>
    <xf numFmtId="0" fontId="23" fillId="0" borderId="0" xfId="0" applyFont="1" applyAlignment="1">
      <alignment horizontal="right"/>
    </xf>
    <xf numFmtId="0" fontId="33" fillId="22" borderId="70" xfId="0" applyFont="1" applyFill="1" applyBorder="1" applyAlignment="1">
      <alignment horizontal="center" vertical="center" wrapText="1"/>
    </xf>
    <xf numFmtId="0" fontId="34" fillId="0" borderId="62" xfId="0" applyFont="1" applyBorder="1" applyAlignment="1">
      <alignment horizontal="left" vertical="center" wrapText="1"/>
    </xf>
    <xf numFmtId="0" fontId="38" fillId="0" borderId="63" xfId="0" applyFont="1" applyBorder="1"/>
    <xf numFmtId="0" fontId="38" fillId="0" borderId="64" xfId="0" applyFont="1" applyBorder="1"/>
    <xf numFmtId="0" fontId="31" fillId="0" borderId="0" xfId="0" applyFont="1" applyAlignment="1">
      <alignment horizontal="center"/>
    </xf>
    <xf numFmtId="0" fontId="28" fillId="33" borderId="74" xfId="0" applyFont="1" applyFill="1" applyBorder="1" applyAlignment="1">
      <alignment horizontal="center" vertical="center" wrapText="1"/>
    </xf>
    <xf numFmtId="0" fontId="29" fillId="0" borderId="75" xfId="0" applyFont="1" applyBorder="1" applyAlignment="1"/>
    <xf numFmtId="0" fontId="29" fillId="0" borderId="76" xfId="0" applyFont="1" applyBorder="1" applyAlignment="1"/>
    <xf numFmtId="0" fontId="28" fillId="0" borderId="74" xfId="0" applyFont="1" applyBorder="1" applyAlignment="1">
      <alignment horizontal="center" wrapText="1"/>
    </xf>
    <xf numFmtId="0" fontId="17"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29" fillId="0" borderId="77" xfId="0" applyFont="1" applyBorder="1" applyAlignment="1"/>
    <xf numFmtId="0" fontId="29" fillId="0" borderId="0" xfId="0" applyFont="1" applyBorder="1" applyAlignment="1"/>
    <xf numFmtId="0" fontId="29" fillId="0" borderId="91" xfId="0" applyFont="1" applyBorder="1" applyAlignment="1"/>
    <xf numFmtId="0" fontId="29" fillId="0" borderId="89" xfId="0" applyFont="1" applyBorder="1" applyAlignment="1"/>
    <xf numFmtId="0" fontId="29" fillId="0" borderId="90" xfId="0" applyFont="1" applyBorder="1" applyAlignment="1"/>
    <xf numFmtId="0" fontId="29" fillId="0" borderId="93" xfId="0" applyFont="1" applyBorder="1" applyAlignment="1"/>
    <xf numFmtId="0" fontId="29" fillId="0" borderId="88" xfId="0" applyFont="1" applyBorder="1" applyAlignment="1"/>
    <xf numFmtId="0" fontId="29" fillId="0" borderId="94" xfId="0" applyFont="1" applyBorder="1" applyAlignment="1"/>
    <xf numFmtId="0" fontId="29" fillId="0" borderId="95" xfId="0" applyFont="1" applyBorder="1" applyAlignment="1"/>
    <xf numFmtId="0" fontId="29" fillId="0" borderId="72" xfId="0" applyFont="1" applyBorder="1" applyAlignment="1"/>
    <xf numFmtId="0" fontId="29" fillId="0" borderId="70" xfId="0" applyFont="1" applyBorder="1" applyAlignment="1"/>
    <xf numFmtId="0" fontId="29" fillId="0" borderId="85" xfId="0" applyFont="1" applyBorder="1" applyAlignment="1"/>
    <xf numFmtId="0" fontId="29" fillId="0" borderId="63" xfId="0" applyFont="1" applyBorder="1" applyAlignment="1"/>
    <xf numFmtId="0" fontId="29" fillId="0" borderId="64" xfId="0" applyFont="1" applyBorder="1" applyAlignment="1"/>
    <xf numFmtId="0" fontId="29" fillId="0" borderId="86" xfId="0" applyFont="1" applyBorder="1" applyAlignment="1"/>
    <xf numFmtId="0" fontId="29" fillId="0" borderId="81" xfId="0" applyFont="1" applyBorder="1" applyAlignment="1"/>
    <xf numFmtId="0" fontId="55" fillId="25" borderId="96" xfId="0" applyFont="1" applyFill="1" applyBorder="1" applyAlignment="1">
      <alignment horizontal="center" vertical="center" wrapText="1"/>
    </xf>
    <xf numFmtId="0" fontId="38" fillId="0" borderId="77" xfId="0" applyFont="1" applyBorder="1" applyAlignment="1"/>
    <xf numFmtId="0" fontId="38" fillId="0" borderId="72" xfId="0" applyFont="1" applyBorder="1" applyAlignment="1"/>
    <xf numFmtId="0" fontId="23" fillId="0" borderId="80" xfId="0" applyFont="1" applyBorder="1" applyAlignment="1"/>
    <xf numFmtId="0" fontId="23" fillId="0" borderId="70" xfId="0" applyFont="1" applyBorder="1" applyAlignment="1"/>
    <xf numFmtId="0" fontId="23" fillId="0" borderId="85" xfId="0" applyFont="1" applyBorder="1" applyAlignment="1"/>
    <xf numFmtId="0" fontId="38" fillId="0" borderId="70" xfId="0" applyFont="1" applyBorder="1"/>
    <xf numFmtId="0" fontId="38" fillId="0" borderId="85" xfId="0" applyFont="1" applyBorder="1"/>
    <xf numFmtId="0" fontId="23" fillId="0" borderId="77" xfId="0" applyFont="1" applyBorder="1" applyAlignment="1"/>
    <xf numFmtId="0" fontId="23" fillId="0" borderId="72" xfId="0" applyFont="1" applyBorder="1" applyAlignment="1"/>
    <xf numFmtId="0" fontId="38" fillId="0" borderId="80" xfId="0" applyFont="1" applyBorder="1" applyAlignment="1">
      <alignment horizontal="center"/>
    </xf>
    <xf numFmtId="0" fontId="23" fillId="0" borderId="70" xfId="0" applyFont="1" applyBorder="1" applyAlignment="1">
      <alignment horizontal="center"/>
    </xf>
    <xf numFmtId="0" fontId="23" fillId="0" borderId="85" xfId="0" applyFont="1" applyBorder="1" applyAlignment="1">
      <alignment horizontal="center"/>
    </xf>
    <xf numFmtId="0" fontId="23" fillId="0" borderId="0" xfId="0" applyFont="1" applyAlignment="1"/>
    <xf numFmtId="0" fontId="38" fillId="0" borderId="81" xfId="0" applyFont="1" applyBorder="1"/>
    <xf numFmtId="0" fontId="7" fillId="0" borderId="74" xfId="14" applyFont="1" applyBorder="1" applyAlignment="1">
      <alignment wrapText="1"/>
    </xf>
    <xf numFmtId="0" fontId="74" fillId="0" borderId="75" xfId="14" applyFont="1" applyBorder="1" applyAlignment="1">
      <alignment wrapText="1"/>
    </xf>
    <xf numFmtId="0" fontId="74" fillId="0" borderId="76" xfId="14" applyFont="1" applyBorder="1" applyAlignment="1">
      <alignment wrapText="1"/>
    </xf>
    <xf numFmtId="0" fontId="7" fillId="0" borderId="74" xfId="14" applyFont="1" applyBorder="1" applyAlignment="1">
      <alignment vertical="top" wrapText="1"/>
    </xf>
    <xf numFmtId="0" fontId="74" fillId="0" borderId="75" xfId="14" applyFont="1" applyBorder="1" applyAlignment="1"/>
    <xf numFmtId="0" fontId="48" fillId="0" borderId="96" xfId="0" applyFont="1" applyBorder="1" applyAlignment="1">
      <alignment horizontal="center" vertical="center" wrapText="1"/>
    </xf>
    <xf numFmtId="0" fontId="48" fillId="0" borderId="72" xfId="0" applyFont="1" applyBorder="1" applyAlignment="1">
      <alignment horizontal="center" vertical="center" wrapText="1"/>
    </xf>
    <xf numFmtId="0" fontId="13" fillId="15" borderId="1" xfId="0" applyFont="1" applyFill="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3" xfId="0" applyBorder="1" applyAlignment="1">
      <alignment horizontal="left" vertical="center" wrapText="1"/>
    </xf>
    <xf numFmtId="0" fontId="13" fillId="14" borderId="16" xfId="0" applyFont="1" applyFill="1" applyBorder="1" applyAlignment="1">
      <alignment horizontal="center" vertical="center"/>
    </xf>
    <xf numFmtId="0" fontId="13" fillId="14" borderId="17" xfId="0" applyFont="1" applyFill="1" applyBorder="1" applyAlignment="1">
      <alignment horizontal="center" vertical="center"/>
    </xf>
    <xf numFmtId="0" fontId="13" fillId="14" borderId="16" xfId="0" applyFont="1" applyFill="1" applyBorder="1" applyAlignment="1">
      <alignment horizontal="center" vertical="center" wrapText="1"/>
    </xf>
    <xf numFmtId="0" fontId="13" fillId="14" borderId="17" xfId="0" applyFont="1" applyFill="1" applyBorder="1" applyAlignment="1">
      <alignment horizontal="center" vertical="center" wrapText="1"/>
    </xf>
    <xf numFmtId="0" fontId="13" fillId="13" borderId="1" xfId="0" applyFont="1" applyFill="1" applyBorder="1" applyAlignment="1">
      <alignment horizontal="center" vertical="center" wrapText="1"/>
    </xf>
    <xf numFmtId="0" fontId="13" fillId="13" borderId="1" xfId="0" applyFont="1" applyFill="1" applyBorder="1" applyAlignment="1">
      <alignment horizontal="left" vertical="center" wrapText="1"/>
    </xf>
    <xf numFmtId="9" fontId="0" fillId="0" borderId="1" xfId="0" applyNumberFormat="1" applyBorder="1" applyAlignment="1">
      <alignment horizontal="center" vertical="center" wrapText="1"/>
    </xf>
    <xf numFmtId="0" fontId="32" fillId="0" borderId="58" xfId="0" applyFont="1" applyBorder="1" applyAlignment="1">
      <alignment horizontal="center" vertical="center" wrapText="1"/>
    </xf>
  </cellXfs>
  <cellStyles count="19">
    <cellStyle name="Lien hypertexte" xfId="1" builtinId="8"/>
    <cellStyle name="Lien hypertexte 2" xfId="8"/>
    <cellStyle name="Lien hypertexte 3" xfId="10"/>
    <cellStyle name="Lien hypertexte 4" xfId="13"/>
    <cellStyle name="Milliers 2" xfId="5"/>
    <cellStyle name="Milliers 3" xfId="16"/>
    <cellStyle name="Monétaire" xfId="4" builtinId="4"/>
    <cellStyle name="Monétaire 2" xfId="7"/>
    <cellStyle name="Monétaire 3" xfId="12"/>
    <cellStyle name="Monétaire 4" xfId="17"/>
    <cellStyle name="Normal" xfId="0" builtinId="0"/>
    <cellStyle name="Normal 2" xfId="2"/>
    <cellStyle name="Normal 2 2" xfId="3"/>
    <cellStyle name="Normal 2 2 2" xfId="15"/>
    <cellStyle name="Normal 2 3" xfId="6"/>
    <cellStyle name="Normal 2 4" xfId="14"/>
    <cellStyle name="Normal 3" xfId="9"/>
    <cellStyle name="Normal 4" xfId="11"/>
    <cellStyle name="Pourcentage" xfId="18" builtinId="5"/>
  </cellStyles>
  <dxfs count="4">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colors>
    <mruColors>
      <color rgb="FF97E4FF"/>
      <color rgb="FF2CC2D2"/>
      <color rgb="FFFDCFED"/>
      <color rgb="FFC1ECFB"/>
      <color rgb="FFB4E43C"/>
      <color rgb="FFFC9AA3"/>
      <color rgb="FFFDBBC1"/>
      <color rgb="FFFEE2E5"/>
      <color rgb="FFFEE2F4"/>
      <color rgb="FF989A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5.bin"/><Relationship Id="rId1" Type="http://schemas.openxmlformats.org/officeDocument/2006/relationships/hyperlink" Target="mailto:eboquet@ca-paysdelaon.fr" TargetMode="External"/><Relationship Id="rId4" Type="http://schemas.openxmlformats.org/officeDocument/2006/relationships/comments" Target="../comments20.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18.bin"/><Relationship Id="rId1" Type="http://schemas.openxmlformats.org/officeDocument/2006/relationships/hyperlink" Target="mailto:sguegan@somme.fr" TargetMode="External"/><Relationship Id="rId4" Type="http://schemas.openxmlformats.org/officeDocument/2006/relationships/comments" Target="../comments2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hyperlink" Target="mailto:sguegan@somme.fr"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service-eau@cc-oisepicarde.fr"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hyperlink" Target="mailto:m.sturma@parc-oise-paysdefrance.fr" TargetMode="External"/></Relationships>
</file>

<file path=xl/worksheets/_rels/sheet34.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1.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4.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35.xml"/><Relationship Id="rId1" Type="http://schemas.openxmlformats.org/officeDocument/2006/relationships/vmlDrawing" Target="../drawings/vmlDrawing35.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2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hyperlink" Target="mailto:a.dlugon@pnr-scarpe-escaut.fr" TargetMode="External"/></Relationships>
</file>

<file path=xl/worksheets/_rels/sheet47.xml.rels><?xml version="1.0" encoding="UTF-8" standalone="yes"?>
<Relationships xmlns="http://schemas.openxmlformats.org/package/2006/relationships"><Relationship Id="rId2" Type="http://schemas.openxmlformats.org/officeDocument/2006/relationships/comments" Target="../comments40.xml"/><Relationship Id="rId1" Type="http://schemas.openxmlformats.org/officeDocument/2006/relationships/vmlDrawing" Target="../drawings/vmlDrawing40.vml"/></Relationships>
</file>

<file path=xl/worksheets/_rels/sheet48.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26.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42.xml"/><Relationship Id="rId1" Type="http://schemas.openxmlformats.org/officeDocument/2006/relationships/vmlDrawing" Target="../drawings/vmlDrawing4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printerSettings" Target="../printerSettings/printerSettings27.bin"/><Relationship Id="rId1" Type="http://schemas.openxmlformats.org/officeDocument/2006/relationships/hyperlink" Target="mailto:edelacre@cc-sablons.fr" TargetMode="External"/><Relationship Id="rId4" Type="http://schemas.openxmlformats.org/officeDocument/2006/relationships/comments" Target="../comments43.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28.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45.xml"/><Relationship Id="rId1" Type="http://schemas.openxmlformats.org/officeDocument/2006/relationships/vmlDrawing" Target="../drawings/vmlDrawing45.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29.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30.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31.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32.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33.bin"/></Relationships>
</file>

<file path=xl/worksheets/_rels/sheet58.xml.rels><?xml version="1.0" encoding="UTF-8" standalone="yes"?>
<Relationships xmlns="http://schemas.openxmlformats.org/package/2006/relationships"><Relationship Id="rId2" Type="http://schemas.openxmlformats.org/officeDocument/2006/relationships/comments" Target="../comments51.xml"/><Relationship Id="rId1" Type="http://schemas.openxmlformats.org/officeDocument/2006/relationships/vmlDrawing" Target="../drawings/vmlDrawing5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99"/>
  <sheetViews>
    <sheetView showGridLines="0" topLeftCell="A19" zoomScale="80" zoomScaleNormal="80" workbookViewId="0">
      <selection activeCell="C43" sqref="C43"/>
    </sheetView>
  </sheetViews>
  <sheetFormatPr baseColWidth="10" defaultColWidth="11.42578125" defaultRowHeight="15"/>
  <cols>
    <col min="1" max="1" width="2.7109375" style="10" customWidth="1"/>
    <col min="2" max="2" width="13.28515625" style="10" hidden="1" customWidth="1"/>
    <col min="3" max="3" width="12.7109375" style="60" customWidth="1"/>
    <col min="4" max="4" width="37.5703125" style="10" customWidth="1"/>
    <col min="5" max="5" width="46.7109375" style="10" customWidth="1"/>
    <col min="6" max="6" width="9.85546875" style="10" customWidth="1"/>
    <col min="7" max="7" width="18.7109375" style="10" customWidth="1"/>
    <col min="8" max="8" width="13" style="10" customWidth="1"/>
    <col min="9" max="9" width="16.5703125" style="10" customWidth="1"/>
    <col min="10" max="10" width="17.42578125" style="10" customWidth="1"/>
    <col min="11" max="11" width="3.42578125" style="10" customWidth="1"/>
    <col min="12" max="12" width="12.85546875" style="10" hidden="1" customWidth="1"/>
    <col min="13" max="16384" width="11.42578125" style="10"/>
  </cols>
  <sheetData>
    <row r="1" spans="1:13" ht="15.75" thickBot="1">
      <c r="A1" s="12"/>
      <c r="B1" s="12"/>
      <c r="C1" s="89"/>
      <c r="D1" s="12"/>
      <c r="E1" s="12"/>
      <c r="F1" s="12"/>
      <c r="G1" s="12"/>
      <c r="H1" s="12"/>
      <c r="I1" s="12"/>
      <c r="J1" s="12"/>
      <c r="K1" s="12"/>
      <c r="L1" s="12"/>
    </row>
    <row r="2" spans="1:13" ht="18.75">
      <c r="A2" s="12"/>
      <c r="B2" s="1719" t="s">
        <v>118</v>
      </c>
      <c r="C2" s="1720"/>
      <c r="D2" s="1720"/>
      <c r="E2" s="1721"/>
      <c r="F2" s="1009" t="s">
        <v>1169</v>
      </c>
      <c r="G2" s="1009" t="s">
        <v>1164</v>
      </c>
      <c r="H2" s="1009" t="s">
        <v>1169</v>
      </c>
      <c r="I2" s="1009" t="s">
        <v>1164</v>
      </c>
      <c r="J2" s="1009" t="s">
        <v>1164</v>
      </c>
      <c r="K2" s="12"/>
      <c r="L2" s="1667" t="s">
        <v>118</v>
      </c>
    </row>
    <row r="3" spans="1:13" ht="15.75">
      <c r="A3" s="12"/>
      <c r="B3" s="1730" t="s">
        <v>4</v>
      </c>
      <c r="C3" s="1731"/>
      <c r="D3" s="88" t="s">
        <v>119</v>
      </c>
      <c r="E3" s="1064" t="s">
        <v>120</v>
      </c>
      <c r="F3" s="1731" t="s">
        <v>1162</v>
      </c>
      <c r="G3" s="1731"/>
      <c r="H3" s="1731" t="s">
        <v>1163</v>
      </c>
      <c r="I3" s="1731"/>
      <c r="J3" s="1054" t="s">
        <v>1144</v>
      </c>
      <c r="K3" s="12"/>
      <c r="L3" s="1668" t="s">
        <v>4</v>
      </c>
      <c r="M3" s="1018"/>
    </row>
    <row r="4" spans="1:13" ht="30">
      <c r="A4" s="12"/>
      <c r="B4" s="50" t="s">
        <v>91</v>
      </c>
      <c r="C4" s="592" t="s">
        <v>273</v>
      </c>
      <c r="D4" s="95" t="s">
        <v>413</v>
      </c>
      <c r="E4" s="1027" t="s">
        <v>47</v>
      </c>
      <c r="F4" s="1078">
        <v>7</v>
      </c>
      <c r="G4" s="1085">
        <v>207957.5</v>
      </c>
      <c r="H4" s="1078">
        <v>5</v>
      </c>
      <c r="I4" s="1087">
        <v>136916.90000000002</v>
      </c>
      <c r="J4" s="1070"/>
      <c r="K4" s="12"/>
      <c r="L4" s="50" t="s">
        <v>77</v>
      </c>
    </row>
    <row r="5" spans="1:13" ht="30">
      <c r="A5" s="12"/>
      <c r="B5" s="50" t="s">
        <v>46</v>
      </c>
      <c r="C5" s="596" t="s">
        <v>183</v>
      </c>
      <c r="D5" s="43" t="s">
        <v>74</v>
      </c>
      <c r="E5" s="1029" t="s">
        <v>926</v>
      </c>
      <c r="F5" s="1671">
        <v>2</v>
      </c>
      <c r="G5" s="1085">
        <v>115726.8</v>
      </c>
      <c r="H5" s="1671">
        <v>4</v>
      </c>
      <c r="I5" s="1087">
        <v>661087.69999999995</v>
      </c>
      <c r="J5" s="1081"/>
      <c r="K5" s="12"/>
      <c r="L5" s="51" t="s">
        <v>107</v>
      </c>
    </row>
    <row r="6" spans="1:13" ht="15" customHeight="1">
      <c r="A6" s="12"/>
      <c r="B6" s="50" t="s">
        <v>85</v>
      </c>
      <c r="C6" s="595" t="s">
        <v>218</v>
      </c>
      <c r="D6" s="1734" t="s">
        <v>162</v>
      </c>
      <c r="E6" s="1736" t="s">
        <v>927</v>
      </c>
      <c r="F6" s="1669">
        <v>38</v>
      </c>
      <c r="G6" s="1085">
        <v>179862.19999999995</v>
      </c>
      <c r="H6" s="1669">
        <v>6</v>
      </c>
      <c r="I6" s="1087">
        <v>290318.34999999998</v>
      </c>
      <c r="J6" s="1713"/>
      <c r="K6" s="12"/>
      <c r="L6" s="36" t="s">
        <v>108</v>
      </c>
    </row>
    <row r="7" spans="1:13" ht="15" customHeight="1">
      <c r="A7" s="12"/>
      <c r="B7" s="50" t="s">
        <v>15</v>
      </c>
      <c r="C7" s="1067" t="s">
        <v>1192</v>
      </c>
      <c r="D7" s="1735"/>
      <c r="E7" s="1737"/>
      <c r="F7" s="1706" t="s">
        <v>1170</v>
      </c>
      <c r="G7" s="1712"/>
      <c r="H7" s="1712"/>
      <c r="I7" s="1707"/>
      <c r="J7" s="1714"/>
      <c r="K7" s="12"/>
      <c r="L7" s="52" t="s">
        <v>111</v>
      </c>
    </row>
    <row r="8" spans="1:13" ht="30" customHeight="1">
      <c r="A8" s="12"/>
      <c r="B8" s="51" t="s">
        <v>114</v>
      </c>
      <c r="C8" s="592" t="s">
        <v>187</v>
      </c>
      <c r="D8" s="1119" t="s">
        <v>82</v>
      </c>
      <c r="E8" s="1031" t="s">
        <v>63</v>
      </c>
      <c r="F8" s="1672">
        <v>4</v>
      </c>
      <c r="G8" s="1083">
        <v>195152.6</v>
      </c>
      <c r="H8" s="1672">
        <v>8</v>
      </c>
      <c r="I8" s="1087">
        <v>390432.5</v>
      </c>
      <c r="J8" s="1070"/>
      <c r="K8" s="12"/>
      <c r="L8" s="51" t="s">
        <v>102</v>
      </c>
    </row>
    <row r="9" spans="1:13" ht="30" customHeight="1">
      <c r="A9" s="12"/>
      <c r="B9" s="51"/>
      <c r="C9" s="593" t="s">
        <v>913</v>
      </c>
      <c r="D9" s="1710" t="s">
        <v>680</v>
      </c>
      <c r="E9" s="1032" t="s">
        <v>928</v>
      </c>
      <c r="F9" s="1671">
        <v>22</v>
      </c>
      <c r="G9" s="1083">
        <v>394222.2</v>
      </c>
      <c r="H9" s="1671">
        <v>10</v>
      </c>
      <c r="I9" s="1087">
        <v>241275.34999999998</v>
      </c>
      <c r="J9" s="1081"/>
      <c r="K9" s="12"/>
      <c r="L9" s="51"/>
    </row>
    <row r="10" spans="1:13" ht="30">
      <c r="A10" s="12"/>
      <c r="B10" s="50" t="s">
        <v>81</v>
      </c>
      <c r="C10" s="599" t="s">
        <v>914</v>
      </c>
      <c r="D10" s="1711"/>
      <c r="E10" s="1032" t="s">
        <v>1167</v>
      </c>
      <c r="F10" s="1706" t="s">
        <v>1170</v>
      </c>
      <c r="G10" s="1712"/>
      <c r="H10" s="1712"/>
      <c r="I10" s="1707"/>
      <c r="J10" s="1081"/>
      <c r="K10" s="12"/>
      <c r="L10" s="47" t="s">
        <v>103</v>
      </c>
    </row>
    <row r="11" spans="1:13" ht="30">
      <c r="A11" s="12"/>
      <c r="B11" s="50"/>
      <c r="C11" s="594" t="s">
        <v>185</v>
      </c>
      <c r="D11" s="43" t="s">
        <v>79</v>
      </c>
      <c r="E11" s="1029" t="s">
        <v>548</v>
      </c>
      <c r="F11" s="1671">
        <v>4</v>
      </c>
      <c r="G11" s="1083">
        <v>130085.25</v>
      </c>
      <c r="H11" s="1671">
        <v>4</v>
      </c>
      <c r="I11" s="1087">
        <v>374516.49</v>
      </c>
      <c r="J11" s="1081"/>
      <c r="K11" s="12"/>
      <c r="L11" s="47"/>
    </row>
    <row r="12" spans="1:13" ht="30">
      <c r="A12" s="12"/>
      <c r="B12" s="50"/>
      <c r="C12" s="596" t="s">
        <v>403</v>
      </c>
      <c r="D12" s="101" t="s">
        <v>404</v>
      </c>
      <c r="E12" s="1029" t="s">
        <v>405</v>
      </c>
      <c r="F12" s="1706" t="s">
        <v>1170</v>
      </c>
      <c r="G12" s="1707"/>
      <c r="H12" s="1671">
        <v>6</v>
      </c>
      <c r="I12" s="1087">
        <v>1350033.6000000003</v>
      </c>
      <c r="J12" s="1081"/>
      <c r="K12" s="12"/>
      <c r="L12" s="47"/>
    </row>
    <row r="13" spans="1:13" ht="30">
      <c r="A13" s="12"/>
      <c r="B13" s="51" t="s">
        <v>104</v>
      </c>
      <c r="C13" s="596" t="s">
        <v>915</v>
      </c>
      <c r="D13" s="1123" t="s">
        <v>783</v>
      </c>
      <c r="E13" s="1124" t="s">
        <v>916</v>
      </c>
      <c r="F13" s="1722" t="s">
        <v>1170</v>
      </c>
      <c r="G13" s="1723"/>
      <c r="H13" s="1723"/>
      <c r="I13" s="1724"/>
      <c r="J13" s="1689"/>
      <c r="K13" s="12"/>
      <c r="L13" s="53" t="s">
        <v>94</v>
      </c>
    </row>
    <row r="14" spans="1:13" ht="30">
      <c r="A14" s="12"/>
      <c r="B14" s="52" t="s">
        <v>58</v>
      </c>
      <c r="C14" s="595" t="s">
        <v>189</v>
      </c>
      <c r="D14" s="25" t="s">
        <v>65</v>
      </c>
      <c r="E14" s="1027" t="s">
        <v>65</v>
      </c>
      <c r="F14" s="1120">
        <v>19</v>
      </c>
      <c r="G14" s="1121">
        <v>134147.29999999999</v>
      </c>
      <c r="H14" s="1120">
        <v>15</v>
      </c>
      <c r="I14" s="1122">
        <v>1764023.6800000002</v>
      </c>
      <c r="J14" s="1716"/>
      <c r="K14" s="12"/>
      <c r="L14" s="51" t="s">
        <v>101</v>
      </c>
    </row>
    <row r="15" spans="1:13" ht="30">
      <c r="A15" s="12"/>
      <c r="B15" s="52"/>
      <c r="C15" s="596" t="s">
        <v>1204</v>
      </c>
      <c r="D15" s="25" t="s">
        <v>65</v>
      </c>
      <c r="E15" s="1027" t="s">
        <v>65</v>
      </c>
      <c r="F15" s="1722" t="s">
        <v>1170</v>
      </c>
      <c r="G15" s="1723"/>
      <c r="H15" s="1723"/>
      <c r="I15" s="1724"/>
      <c r="J15" s="1717"/>
      <c r="K15" s="12"/>
      <c r="L15" s="51"/>
    </row>
    <row r="16" spans="1:13" ht="30">
      <c r="A16" s="12"/>
      <c r="B16" s="52"/>
      <c r="C16" s="592" t="s">
        <v>190</v>
      </c>
      <c r="D16" s="95" t="s">
        <v>417</v>
      </c>
      <c r="E16" s="1028" t="s">
        <v>418</v>
      </c>
      <c r="F16" s="1673">
        <v>2</v>
      </c>
      <c r="G16" s="1083">
        <v>7756.2</v>
      </c>
      <c r="H16" s="1673">
        <v>9</v>
      </c>
      <c r="I16" s="1087">
        <v>210634.55</v>
      </c>
      <c r="J16" s="1689"/>
      <c r="K16" s="12"/>
      <c r="L16" s="51"/>
    </row>
    <row r="17" spans="1:12" ht="30">
      <c r="A17" s="12"/>
      <c r="B17" s="53" t="s">
        <v>62</v>
      </c>
      <c r="C17" s="595" t="s">
        <v>191</v>
      </c>
      <c r="D17" s="44" t="s">
        <v>68</v>
      </c>
      <c r="E17" s="1027" t="s">
        <v>68</v>
      </c>
      <c r="F17" s="1674">
        <v>27</v>
      </c>
      <c r="G17" s="1083">
        <v>1239169.9000000001</v>
      </c>
      <c r="H17" s="1674">
        <v>19</v>
      </c>
      <c r="I17" s="1087">
        <v>1044859.1999999998</v>
      </c>
      <c r="J17" s="1070"/>
      <c r="K17" s="12"/>
      <c r="L17" s="47" t="s">
        <v>115</v>
      </c>
    </row>
    <row r="18" spans="1:12" ht="30">
      <c r="A18" s="12"/>
      <c r="B18" s="50" t="s">
        <v>121</v>
      </c>
      <c r="C18" s="593" t="s">
        <v>209</v>
      </c>
      <c r="D18" s="1710" t="s">
        <v>147</v>
      </c>
      <c r="E18" s="1031" t="s">
        <v>227</v>
      </c>
      <c r="F18" s="1672">
        <v>30</v>
      </c>
      <c r="G18" s="1083">
        <v>693422.45000000007</v>
      </c>
      <c r="H18" s="1672">
        <v>18</v>
      </c>
      <c r="I18" s="1070">
        <v>301127.50000000012</v>
      </c>
      <c r="J18" s="1070"/>
      <c r="K18" s="12"/>
      <c r="L18" s="48" t="s">
        <v>115</v>
      </c>
    </row>
    <row r="19" spans="1:12" ht="30">
      <c r="A19" s="12"/>
      <c r="B19" s="50" t="s">
        <v>83</v>
      </c>
      <c r="C19" s="599" t="s">
        <v>1178</v>
      </c>
      <c r="D19" s="1725"/>
      <c r="E19" s="1032" t="s">
        <v>1210</v>
      </c>
      <c r="F19" s="1672">
        <v>44</v>
      </c>
      <c r="G19" s="1086">
        <v>2131759</v>
      </c>
      <c r="H19" s="1672">
        <v>21</v>
      </c>
      <c r="I19" s="1070">
        <v>416828</v>
      </c>
      <c r="J19" s="1070"/>
      <c r="K19" s="12"/>
      <c r="L19" s="50" t="s">
        <v>89</v>
      </c>
    </row>
    <row r="20" spans="1:12" ht="30">
      <c r="A20" s="12"/>
      <c r="B20" s="50"/>
      <c r="C20" s="600" t="s">
        <v>210</v>
      </c>
      <c r="D20" s="1711"/>
      <c r="E20" s="1032" t="s">
        <v>228</v>
      </c>
      <c r="F20" s="1708"/>
      <c r="G20" s="1715"/>
      <c r="H20" s="1715"/>
      <c r="I20" s="1709"/>
      <c r="J20" s="1690"/>
      <c r="K20" s="12"/>
      <c r="L20" s="50"/>
    </row>
    <row r="21" spans="1:12" ht="30">
      <c r="A21" s="12"/>
      <c r="B21" s="53" t="s">
        <v>84</v>
      </c>
      <c r="C21" s="595" t="s">
        <v>200</v>
      </c>
      <c r="D21" s="1249" t="s">
        <v>129</v>
      </c>
      <c r="E21" s="1034" t="s">
        <v>929</v>
      </c>
      <c r="F21" s="1114">
        <v>62</v>
      </c>
      <c r="G21" s="1083">
        <v>437199.5</v>
      </c>
      <c r="H21" s="1114">
        <v>3</v>
      </c>
      <c r="I21" s="1087">
        <v>82661.899999999994</v>
      </c>
      <c r="J21" s="1691"/>
      <c r="K21" s="12"/>
      <c r="L21" s="50" t="s">
        <v>87</v>
      </c>
    </row>
    <row r="22" spans="1:12" ht="30" customHeight="1">
      <c r="A22" s="12"/>
      <c r="B22" s="53"/>
      <c r="C22" s="595" t="s">
        <v>180</v>
      </c>
      <c r="D22" s="25" t="s">
        <v>272</v>
      </c>
      <c r="E22" s="1027" t="s">
        <v>171</v>
      </c>
      <c r="F22" s="1674">
        <v>6</v>
      </c>
      <c r="G22" s="1083">
        <v>92948.85</v>
      </c>
      <c r="H22" s="1674">
        <v>2</v>
      </c>
      <c r="I22" s="1087">
        <v>13095.15</v>
      </c>
      <c r="J22" s="1070"/>
      <c r="K22" s="12"/>
      <c r="L22" s="50"/>
    </row>
    <row r="23" spans="1:12">
      <c r="A23" s="12"/>
      <c r="B23" s="50" t="s">
        <v>92</v>
      </c>
      <c r="C23" s="597" t="s">
        <v>205</v>
      </c>
      <c r="D23" s="38" t="s">
        <v>138</v>
      </c>
      <c r="E23" s="1035" t="s">
        <v>139</v>
      </c>
      <c r="F23" s="1084">
        <v>5</v>
      </c>
      <c r="G23" s="1083">
        <v>45159.3</v>
      </c>
      <c r="H23" s="1084">
        <v>2</v>
      </c>
      <c r="I23" s="1087">
        <v>9160.6</v>
      </c>
      <c r="J23" s="1082"/>
      <c r="K23" s="12"/>
      <c r="L23" s="51" t="s">
        <v>109</v>
      </c>
    </row>
    <row r="24" spans="1:12" ht="30">
      <c r="A24" s="12"/>
      <c r="B24" s="51" t="s">
        <v>105</v>
      </c>
      <c r="C24" s="597" t="s">
        <v>199</v>
      </c>
      <c r="D24" s="1249" t="s">
        <v>129</v>
      </c>
      <c r="E24" s="1036" t="s">
        <v>202</v>
      </c>
      <c r="F24" s="1115">
        <v>16</v>
      </c>
      <c r="G24" s="1083">
        <v>239406.75</v>
      </c>
      <c r="H24" s="1115">
        <v>4</v>
      </c>
      <c r="I24" s="1087">
        <v>46052.3</v>
      </c>
      <c r="J24" s="1082"/>
      <c r="K24" s="12"/>
      <c r="L24" s="36" t="s">
        <v>110</v>
      </c>
    </row>
    <row r="25" spans="1:12" ht="15" customHeight="1">
      <c r="A25" s="12"/>
      <c r="B25" s="49"/>
      <c r="C25" s="597" t="s">
        <v>201</v>
      </c>
      <c r="D25" s="1250"/>
      <c r="E25" s="1035" t="s">
        <v>203</v>
      </c>
      <c r="F25" s="1084">
        <v>104</v>
      </c>
      <c r="G25" s="1083">
        <v>2429400.65</v>
      </c>
      <c r="H25" s="1084">
        <v>6</v>
      </c>
      <c r="I25" s="1087">
        <v>23784.45</v>
      </c>
      <c r="J25" s="1082"/>
      <c r="K25" s="12"/>
      <c r="L25" s="36" t="s">
        <v>100</v>
      </c>
    </row>
    <row r="26" spans="1:12" ht="30">
      <c r="A26" s="12"/>
      <c r="B26" s="52" t="s">
        <v>106</v>
      </c>
      <c r="C26" s="593" t="s">
        <v>917</v>
      </c>
      <c r="D26" s="1728" t="s">
        <v>126</v>
      </c>
      <c r="E26" s="1037" t="s">
        <v>930</v>
      </c>
      <c r="F26" s="1673">
        <v>64</v>
      </c>
      <c r="G26" s="1083">
        <v>609084.60000000009</v>
      </c>
      <c r="H26" s="1673">
        <v>19</v>
      </c>
      <c r="I26" s="1087">
        <v>83324.500000000015</v>
      </c>
      <c r="J26" s="1081"/>
      <c r="K26" s="12"/>
      <c r="L26" s="50" t="s">
        <v>64</v>
      </c>
    </row>
    <row r="27" spans="1:12" ht="30">
      <c r="A27" s="12"/>
      <c r="B27" s="52" t="s">
        <v>88</v>
      </c>
      <c r="C27" s="599" t="s">
        <v>918</v>
      </c>
      <c r="D27" s="1729"/>
      <c r="E27" s="1063" t="s">
        <v>1166</v>
      </c>
      <c r="F27" s="1708" t="s">
        <v>1170</v>
      </c>
      <c r="G27" s="1715"/>
      <c r="H27" s="1715"/>
      <c r="I27" s="1709"/>
      <c r="J27" s="1081"/>
      <c r="K27" s="12"/>
      <c r="L27" s="36" t="s">
        <v>116</v>
      </c>
    </row>
    <row r="28" spans="1:12">
      <c r="A28" s="12"/>
      <c r="B28" s="48" t="s">
        <v>95</v>
      </c>
      <c r="C28" s="595" t="s">
        <v>919</v>
      </c>
      <c r="D28" s="1732" t="s">
        <v>78</v>
      </c>
      <c r="E28" s="1058" t="s">
        <v>563</v>
      </c>
      <c r="F28" s="1705" t="s">
        <v>1170</v>
      </c>
      <c r="G28" s="1705"/>
      <c r="H28" s="1705"/>
      <c r="I28" s="1705"/>
      <c r="J28" s="1692"/>
      <c r="K28" s="12"/>
      <c r="L28" s="50" t="s">
        <v>35</v>
      </c>
    </row>
    <row r="29" spans="1:12">
      <c r="A29" s="1260"/>
      <c r="B29" s="1261"/>
      <c r="C29" s="592" t="s">
        <v>184</v>
      </c>
      <c r="D29" s="1733"/>
      <c r="E29" s="1058" t="s">
        <v>575</v>
      </c>
      <c r="F29" s="1079">
        <v>27</v>
      </c>
      <c r="G29" s="1077">
        <v>468561.15</v>
      </c>
      <c r="H29" s="1079">
        <v>28</v>
      </c>
      <c r="I29" s="1072">
        <v>1108002.1300000001</v>
      </c>
      <c r="J29" s="1692"/>
      <c r="K29" s="12"/>
      <c r="L29" s="50"/>
    </row>
    <row r="30" spans="1:12">
      <c r="A30" s="12"/>
      <c r="B30" s="53" t="s">
        <v>34</v>
      </c>
      <c r="C30" s="600" t="s">
        <v>336</v>
      </c>
      <c r="D30" s="1727"/>
      <c r="E30" s="1058" t="s">
        <v>579</v>
      </c>
      <c r="F30" s="1079">
        <v>50</v>
      </c>
      <c r="G30" s="1077">
        <v>1199711.4499999997</v>
      </c>
      <c r="H30" s="1079">
        <v>22</v>
      </c>
      <c r="I30" s="1072">
        <v>457835.07999999996</v>
      </c>
      <c r="J30" s="1692"/>
      <c r="K30" s="12"/>
      <c r="L30" s="36" t="s">
        <v>113</v>
      </c>
    </row>
    <row r="31" spans="1:12">
      <c r="A31" s="12"/>
      <c r="B31" s="36" t="s">
        <v>98</v>
      </c>
      <c r="C31" s="593" t="s">
        <v>211</v>
      </c>
      <c r="D31" s="1726" t="s">
        <v>148</v>
      </c>
      <c r="E31" s="1061" t="s">
        <v>229</v>
      </c>
      <c r="F31" s="1084">
        <v>2</v>
      </c>
      <c r="G31" s="1077">
        <v>63647.499999999993</v>
      </c>
      <c r="H31" s="1084">
        <v>0</v>
      </c>
      <c r="I31" s="1061">
        <v>0</v>
      </c>
      <c r="J31" s="1692"/>
      <c r="K31" s="12"/>
      <c r="L31" s="50" t="s">
        <v>86</v>
      </c>
    </row>
    <row r="32" spans="1:12">
      <c r="A32" s="12"/>
      <c r="B32" s="1068"/>
      <c r="C32" s="598" t="s">
        <v>212</v>
      </c>
      <c r="D32" s="1727"/>
      <c r="E32" s="1061" t="s">
        <v>230</v>
      </c>
      <c r="F32" s="1084">
        <v>1</v>
      </c>
      <c r="G32" s="1077">
        <v>15440</v>
      </c>
      <c r="H32" s="1084">
        <v>0</v>
      </c>
      <c r="I32" s="1061">
        <v>0</v>
      </c>
      <c r="J32" s="1692"/>
      <c r="K32" s="12"/>
      <c r="L32" s="53" t="s">
        <v>75</v>
      </c>
    </row>
    <row r="33" spans="1:12" ht="15" customHeight="1">
      <c r="A33" s="12"/>
      <c r="B33" s="579" t="s">
        <v>97</v>
      </c>
      <c r="C33" s="91" t="s">
        <v>215</v>
      </c>
      <c r="D33" s="1670" t="s">
        <v>150</v>
      </c>
      <c r="E33" s="1066" t="s">
        <v>1629</v>
      </c>
      <c r="F33" s="1088">
        <v>6</v>
      </c>
      <c r="G33" s="1077">
        <v>53939.9</v>
      </c>
      <c r="H33" s="1088">
        <v>4</v>
      </c>
      <c r="I33" s="1072">
        <v>43015.95</v>
      </c>
      <c r="J33" s="1692"/>
      <c r="K33" s="12"/>
      <c r="L33" s="42" t="s">
        <v>117</v>
      </c>
    </row>
    <row r="34" spans="1:12" ht="30.75" thickBot="1">
      <c r="A34" s="580"/>
      <c r="B34" s="581" t="s">
        <v>96</v>
      </c>
      <c r="C34" s="92" t="s">
        <v>207</v>
      </c>
      <c r="D34" s="1125" t="s">
        <v>143</v>
      </c>
      <c r="E34" s="1066" t="s">
        <v>700</v>
      </c>
      <c r="F34" s="1089">
        <v>237</v>
      </c>
      <c r="G34" s="1077">
        <v>8677574.6500000004</v>
      </c>
      <c r="H34" s="1089">
        <v>84</v>
      </c>
      <c r="I34" s="1072">
        <v>3597971.7800000003</v>
      </c>
      <c r="J34" s="1692"/>
      <c r="K34" s="12"/>
      <c r="L34" s="54" t="s">
        <v>112</v>
      </c>
    </row>
    <row r="35" spans="1:12">
      <c r="A35" s="580"/>
      <c r="B35" s="581" t="s">
        <v>93</v>
      </c>
      <c r="C35" s="595" t="s">
        <v>920</v>
      </c>
      <c r="D35" s="1718" t="s">
        <v>129</v>
      </c>
      <c r="E35" s="1060" t="s">
        <v>932</v>
      </c>
      <c r="F35" s="1114">
        <v>36</v>
      </c>
      <c r="G35" s="1077">
        <v>470108.29999999993</v>
      </c>
      <c r="H35" s="1114">
        <v>11</v>
      </c>
      <c r="I35" s="1072">
        <v>119077.45000000001</v>
      </c>
      <c r="J35" s="1692"/>
      <c r="K35" s="12"/>
    </row>
    <row r="36" spans="1:12">
      <c r="B36" s="22"/>
      <c r="C36" s="596" t="s">
        <v>921</v>
      </c>
      <c r="D36" s="1718"/>
      <c r="E36" s="1060" t="s">
        <v>933</v>
      </c>
      <c r="F36" s="1705" t="s">
        <v>1170</v>
      </c>
      <c r="G36" s="1705"/>
      <c r="H36" s="1705"/>
      <c r="I36" s="1705"/>
      <c r="J36" s="1692"/>
      <c r="L36" s="22"/>
    </row>
    <row r="37" spans="1:12">
      <c r="C37" s="592" t="s">
        <v>922</v>
      </c>
      <c r="D37" s="1718"/>
      <c r="E37" s="1060" t="s">
        <v>934</v>
      </c>
      <c r="F37" s="1705" t="s">
        <v>1170</v>
      </c>
      <c r="G37" s="1705"/>
      <c r="H37" s="1705"/>
      <c r="I37" s="1705"/>
      <c r="J37" s="1692"/>
    </row>
    <row r="38" spans="1:12">
      <c r="C38" s="1173" t="s">
        <v>1213</v>
      </c>
      <c r="D38" s="1718"/>
      <c r="E38" s="1060" t="s">
        <v>1224</v>
      </c>
      <c r="F38" s="1705" t="s">
        <v>1170</v>
      </c>
      <c r="G38" s="1705"/>
      <c r="H38" s="1705"/>
      <c r="I38" s="1705"/>
      <c r="J38" s="1690"/>
    </row>
    <row r="39" spans="1:12" ht="30">
      <c r="C39" s="593" t="s">
        <v>923</v>
      </c>
      <c r="D39" s="1153" t="s">
        <v>141</v>
      </c>
      <c r="E39" s="1058" t="s">
        <v>935</v>
      </c>
      <c r="F39" s="1708" t="s">
        <v>1170</v>
      </c>
      <c r="G39" s="1709"/>
      <c r="H39" s="1666"/>
      <c r="I39" s="1666"/>
      <c r="J39" s="1692"/>
    </row>
    <row r="40" spans="1:12">
      <c r="C40" s="597" t="s">
        <v>924</v>
      </c>
      <c r="D40" s="1155"/>
      <c r="E40" s="1058" t="s">
        <v>1613</v>
      </c>
      <c r="F40" s="1708" t="s">
        <v>1170</v>
      </c>
      <c r="G40" s="1709"/>
      <c r="H40" s="1666"/>
      <c r="I40" s="1666"/>
      <c r="J40" s="1692"/>
    </row>
    <row r="41" spans="1:12">
      <c r="C41" s="1623" t="s">
        <v>1611</v>
      </c>
      <c r="D41" s="1609"/>
      <c r="E41" s="1058" t="s">
        <v>1612</v>
      </c>
      <c r="F41" s="1708" t="s">
        <v>1170</v>
      </c>
      <c r="G41" s="1709"/>
      <c r="H41" s="1666"/>
      <c r="I41" s="1666"/>
      <c r="J41" s="1692"/>
    </row>
    <row r="42" spans="1:12">
      <c r="C42" s="601" t="s">
        <v>206</v>
      </c>
      <c r="D42" s="1154"/>
      <c r="E42" s="1058" t="s">
        <v>937</v>
      </c>
      <c r="F42" s="1156">
        <v>360</v>
      </c>
      <c r="G42" s="1077">
        <v>8756328.2000000011</v>
      </c>
      <c r="H42" s="1156">
        <v>59</v>
      </c>
      <c r="I42" s="1072">
        <v>1099313.9800000004</v>
      </c>
      <c r="J42" s="1692"/>
    </row>
    <row r="43" spans="1:12" ht="30">
      <c r="C43" s="599" t="s">
        <v>347</v>
      </c>
      <c r="D43" s="1126" t="s">
        <v>164</v>
      </c>
      <c r="E43" s="1058" t="s">
        <v>938</v>
      </c>
      <c r="F43" s="1156">
        <v>243</v>
      </c>
      <c r="G43" s="1077">
        <v>3124169.5500000012</v>
      </c>
      <c r="H43" s="1156">
        <v>20</v>
      </c>
      <c r="I43" s="1072">
        <v>121641.85</v>
      </c>
      <c r="J43" s="1692"/>
    </row>
    <row r="44" spans="1:12" ht="30">
      <c r="C44" s="596" t="s">
        <v>194</v>
      </c>
      <c r="D44" s="1127" t="s">
        <v>122</v>
      </c>
      <c r="E44" s="44" t="s">
        <v>175</v>
      </c>
      <c r="F44" s="1115">
        <v>2</v>
      </c>
      <c r="G44" s="1077">
        <v>5174.2</v>
      </c>
      <c r="H44" s="1115">
        <v>1</v>
      </c>
      <c r="I44" s="1072">
        <v>9062.7999999999993</v>
      </c>
      <c r="J44" s="1692"/>
    </row>
    <row r="45" spans="1:12" ht="30">
      <c r="C45" s="593" t="s">
        <v>213</v>
      </c>
      <c r="D45" s="1149" t="s">
        <v>149</v>
      </c>
      <c r="E45" s="1059" t="s">
        <v>232</v>
      </c>
      <c r="F45" s="1157">
        <v>36</v>
      </c>
      <c r="G45" s="1077">
        <v>698529.8</v>
      </c>
      <c r="H45" s="1157">
        <v>9</v>
      </c>
      <c r="I45" s="1072">
        <v>195613.4</v>
      </c>
      <c r="J45" s="1692"/>
    </row>
    <row r="46" spans="1:12">
      <c r="C46" s="1108" t="s">
        <v>214</v>
      </c>
      <c r="D46" s="1150"/>
      <c r="E46" s="37" t="s">
        <v>1223</v>
      </c>
      <c r="F46" s="1157">
        <v>1</v>
      </c>
      <c r="G46" s="1077">
        <v>38654.699999999997</v>
      </c>
      <c r="H46" s="1157">
        <v>0</v>
      </c>
      <c r="I46" s="1071">
        <v>0</v>
      </c>
      <c r="J46" s="1080"/>
    </row>
    <row r="47" spans="1:12" ht="30">
      <c r="C47" s="1107" t="s">
        <v>1193</v>
      </c>
      <c r="D47" s="1151" t="s">
        <v>99</v>
      </c>
      <c r="E47" s="37" t="s">
        <v>1211</v>
      </c>
      <c r="F47" s="1156">
        <v>7</v>
      </c>
      <c r="G47" s="1077">
        <v>79568.950000000012</v>
      </c>
      <c r="H47" s="1156">
        <v>3</v>
      </c>
      <c r="I47" s="1072">
        <v>76358.399999999994</v>
      </c>
      <c r="J47" s="1693"/>
    </row>
    <row r="48" spans="1:12" ht="30">
      <c r="C48" s="1108" t="s">
        <v>1194</v>
      </c>
      <c r="D48" s="1152"/>
      <c r="E48" s="37" t="s">
        <v>1212</v>
      </c>
      <c r="F48" s="1708" t="s">
        <v>1170</v>
      </c>
      <c r="G48" s="1709"/>
      <c r="H48" s="1666"/>
      <c r="I48" s="1666"/>
      <c r="J48" s="1694"/>
    </row>
    <row r="49" spans="3:10">
      <c r="C49" s="598" t="s">
        <v>219</v>
      </c>
      <c r="D49" s="1091" t="s">
        <v>167</v>
      </c>
      <c r="E49" s="1061" t="s">
        <v>166</v>
      </c>
      <c r="F49" s="1084">
        <v>0</v>
      </c>
      <c r="G49" s="1061">
        <v>0</v>
      </c>
      <c r="H49" s="1084">
        <v>3</v>
      </c>
      <c r="I49" s="1072">
        <v>451822.05000000005</v>
      </c>
      <c r="J49" s="1692"/>
    </row>
    <row r="50" spans="3:10">
      <c r="C50" s="90" t="s">
        <v>181</v>
      </c>
      <c r="D50" s="1073" t="s">
        <v>272</v>
      </c>
      <c r="E50" s="43" t="s">
        <v>172</v>
      </c>
      <c r="F50" s="1157">
        <v>20</v>
      </c>
      <c r="G50" s="1077">
        <v>371587.25</v>
      </c>
      <c r="H50" s="1157">
        <v>22</v>
      </c>
      <c r="I50" s="1072">
        <v>162113.85999999999</v>
      </c>
      <c r="J50" s="1692"/>
    </row>
    <row r="51" spans="3:10" ht="30">
      <c r="C51" s="1175" t="s">
        <v>1225</v>
      </c>
      <c r="D51" s="1074" t="s">
        <v>939</v>
      </c>
      <c r="E51" s="101" t="s">
        <v>833</v>
      </c>
      <c r="F51" s="1706" t="s">
        <v>1170</v>
      </c>
      <c r="G51" s="1707"/>
      <c r="H51" s="1113"/>
      <c r="I51" s="1113"/>
      <c r="J51" s="1692"/>
    </row>
    <row r="52" spans="3:10" ht="30">
      <c r="C52" s="602" t="s">
        <v>193</v>
      </c>
      <c r="D52" s="1075" t="s">
        <v>70</v>
      </c>
      <c r="E52" s="25" t="s">
        <v>72</v>
      </c>
      <c r="F52" s="1158">
        <v>1</v>
      </c>
      <c r="G52" s="1077">
        <v>461478.6</v>
      </c>
      <c r="H52" s="1158">
        <v>0</v>
      </c>
      <c r="I52" s="1090">
        <v>0</v>
      </c>
      <c r="J52" s="1692"/>
    </row>
    <row r="53" spans="3:10">
      <c r="C53" s="1175" t="s">
        <v>1238</v>
      </c>
      <c r="D53" s="1076" t="s">
        <v>76</v>
      </c>
      <c r="E53" s="1058" t="s">
        <v>1239</v>
      </c>
      <c r="J53" s="61"/>
    </row>
    <row r="54" spans="3:10">
      <c r="C54" s="91" t="s">
        <v>350</v>
      </c>
      <c r="D54" s="1076" t="s">
        <v>76</v>
      </c>
      <c r="E54" s="1058" t="s">
        <v>1240</v>
      </c>
      <c r="F54" s="1084">
        <v>222</v>
      </c>
      <c r="G54" s="1077">
        <v>5231997.0500000007</v>
      </c>
      <c r="H54" s="1084">
        <v>96</v>
      </c>
      <c r="I54" s="1072">
        <v>2806892.3000000003</v>
      </c>
      <c r="J54" s="1692"/>
    </row>
    <row r="55" spans="3:10" ht="30">
      <c r="C55" s="598" t="s">
        <v>220</v>
      </c>
      <c r="D55" s="1128" t="s">
        <v>159</v>
      </c>
      <c r="E55" s="1062" t="s">
        <v>160</v>
      </c>
      <c r="F55" s="1115">
        <v>13</v>
      </c>
      <c r="G55" s="1077">
        <v>598809.60000000009</v>
      </c>
      <c r="H55" s="1115">
        <v>16</v>
      </c>
      <c r="I55" s="1072">
        <v>481157.05000000005</v>
      </c>
      <c r="J55" s="1692"/>
    </row>
    <row r="56" spans="3:10">
      <c r="C56" s="1016" t="s">
        <v>179</v>
      </c>
      <c r="D56" s="1147" t="s">
        <v>272</v>
      </c>
      <c r="E56" s="25" t="s">
        <v>271</v>
      </c>
      <c r="F56" s="1158">
        <v>31</v>
      </c>
      <c r="G56" s="1077">
        <v>450092.79999999999</v>
      </c>
      <c r="H56" s="1158">
        <v>5</v>
      </c>
      <c r="I56" s="1072">
        <v>92245.799999999988</v>
      </c>
      <c r="J56" s="1692"/>
    </row>
    <row r="57" spans="3:10">
      <c r="C57" s="1016" t="s">
        <v>340</v>
      </c>
      <c r="D57" s="1148"/>
      <c r="E57" s="25" t="s">
        <v>36</v>
      </c>
      <c r="F57" s="1158">
        <v>3</v>
      </c>
      <c r="G57" s="1077">
        <v>14098.8</v>
      </c>
      <c r="H57" s="1158">
        <v>1</v>
      </c>
      <c r="I57" s="1072">
        <v>2119</v>
      </c>
      <c r="J57" s="1692"/>
    </row>
    <row r="90" spans="3:10">
      <c r="C90" s="1069"/>
      <c r="D90" s="1057"/>
      <c r="E90" s="607"/>
      <c r="F90" s="607"/>
      <c r="G90" s="607"/>
      <c r="H90" s="607"/>
      <c r="I90" s="607"/>
      <c r="J90" s="1019"/>
    </row>
    <row r="92" spans="3:10">
      <c r="C92" s="603"/>
      <c r="D92" s="607" t="s">
        <v>245</v>
      </c>
      <c r="E92" s="1024" t="e">
        <f>J5+J12+J13+(J14/2)+(J21/2)+J23+J24+J25+J32+#REF!+J36+J40+J44+(J47/2)+J51+J52+J55+J49</f>
        <v>#REF!</v>
      </c>
      <c r="F92" s="1024"/>
      <c r="G92" s="1024"/>
      <c r="H92" s="1024"/>
      <c r="I92" s="1024"/>
      <c r="J92" s="578"/>
    </row>
    <row r="93" spans="3:10">
      <c r="C93" s="604"/>
      <c r="D93" s="17" t="s">
        <v>940</v>
      </c>
      <c r="E93" s="1112">
        <f>J4+(J6/2)+J8+J16+J29+J34+J37+(J47/2)+J50</f>
        <v>0</v>
      </c>
      <c r="F93" s="1052"/>
      <c r="G93" s="1052"/>
      <c r="H93" s="1052"/>
      <c r="I93" s="1052"/>
      <c r="J93" s="17"/>
    </row>
    <row r="94" spans="3:10">
      <c r="C94" s="582"/>
      <c r="D94" s="17" t="s">
        <v>941</v>
      </c>
      <c r="E94" s="1092">
        <f>J10+J19+J27+J43+J46</f>
        <v>0</v>
      </c>
      <c r="F94" s="1053"/>
      <c r="G94" s="1053"/>
      <c r="H94" s="1053"/>
      <c r="I94" s="1053"/>
      <c r="J94" s="1020">
        <f>SUM(J22:J27)+J21+SUM(J16:J20)+J14+SUM(J4:J13)</f>
        <v>0</v>
      </c>
    </row>
    <row r="95" spans="3:10">
      <c r="C95" s="605"/>
      <c r="D95" s="10" t="s">
        <v>942</v>
      </c>
      <c r="E95" s="1092">
        <f>J11+J20+J30+J42</f>
        <v>0</v>
      </c>
      <c r="F95" s="1053"/>
      <c r="G95" s="1053"/>
      <c r="H95" s="1053"/>
      <c r="I95" s="1092"/>
    </row>
    <row r="96" spans="3:10">
      <c r="C96" s="606"/>
      <c r="D96" s="10" t="s">
        <v>943</v>
      </c>
      <c r="E96" s="1025">
        <f>(J6/2)+J9+(J14/2)+J17+J18+(J21/2)+J22+J26+J28+J31+J33+J35+J39+J45+J54+J56+J57</f>
        <v>0</v>
      </c>
      <c r="F96" s="1025"/>
      <c r="G96" s="1025"/>
      <c r="H96" s="1025"/>
      <c r="I96" s="1025"/>
    </row>
    <row r="99" spans="3:9">
      <c r="C99" s="1065" t="s">
        <v>1165</v>
      </c>
      <c r="D99" s="1050"/>
      <c r="E99" s="1051" t="e">
        <f>SUM(E92:E96)</f>
        <v>#REF!</v>
      </c>
      <c r="F99" s="1051"/>
      <c r="G99" s="1051"/>
      <c r="H99" s="1051"/>
      <c r="I99" s="1051"/>
    </row>
  </sheetData>
  <mergeCells count="30">
    <mergeCell ref="D35:D38"/>
    <mergeCell ref="B2:E2"/>
    <mergeCell ref="F12:G12"/>
    <mergeCell ref="F13:I13"/>
    <mergeCell ref="F15:I15"/>
    <mergeCell ref="D18:D20"/>
    <mergeCell ref="D31:D32"/>
    <mergeCell ref="F28:I28"/>
    <mergeCell ref="F27:I27"/>
    <mergeCell ref="D26:D27"/>
    <mergeCell ref="B3:C3"/>
    <mergeCell ref="D28:D30"/>
    <mergeCell ref="F3:G3"/>
    <mergeCell ref="H3:I3"/>
    <mergeCell ref="D6:D7"/>
    <mergeCell ref="E6:E7"/>
    <mergeCell ref="D9:D10"/>
    <mergeCell ref="F10:I10"/>
    <mergeCell ref="J6:J7"/>
    <mergeCell ref="F7:I7"/>
    <mergeCell ref="F20:I20"/>
    <mergeCell ref="J14:J15"/>
    <mergeCell ref="F36:I36"/>
    <mergeCell ref="F37:I37"/>
    <mergeCell ref="F38:I38"/>
    <mergeCell ref="F51:G51"/>
    <mergeCell ref="F48:G48"/>
    <mergeCell ref="F41:G41"/>
    <mergeCell ref="F39:G39"/>
    <mergeCell ref="F40:G40"/>
  </mergeCells>
  <hyperlinks>
    <hyperlink ref="B30" location="HVSO!A1" display="PI_AME_B3"/>
    <hyperlink ref="B5" location="PI_AMVS_E3!A1" display="PI_AMVS_E3"/>
    <hyperlink ref="B7" location="PI_ARC_E3!A1" display="PI_ARC_E3"/>
    <hyperlink ref="B14" location="BVNI!A1" display="PI_CA_R3"/>
    <hyperlink ref="B17" location="CALN!A1" display="PI_ALN_B3"/>
    <hyperlink ref="B10" location="BRET!A1" display="Pi_BRE_E3"/>
    <hyperlink ref="B19" location="NP_PC_E3!A1" display="NP_PC_E3 "/>
    <hyperlink ref="B6" location="AVRE!A1" display="PI_AVR_E3 "/>
    <hyperlink ref="B27" location="CTNP!A1" display="PI_NP_R3 "/>
    <hyperlink ref="B4" location="'3RIV'!A1" display="PI_RIV_E3 "/>
    <hyperlink ref="B23" location="CLVD!A1" display="PI_CCL_E3 "/>
    <hyperlink ref="B18" location="CCPB!A1" display="Pi_PB_E3"/>
    <hyperlink ref="C16" location="CCPC!A1" display="CCPC"/>
    <hyperlink ref="C8" location="BRET!A1" display="BRET"/>
    <hyperlink ref="C14" location="CCPB!A1" display="CCPB"/>
    <hyperlink ref="C22" location="HVSO!A1" display="HVSO"/>
    <hyperlink ref="C11" location="BVNI!A1" display="BVNI"/>
    <hyperlink ref="B21" location="CCPV!A1" display="PI_PV_B3 "/>
    <hyperlink ref="C17" location="CCPV!A1" display="CCPV"/>
    <hyperlink ref="B34" location="MVOI!A1" display="PI_MVO_N3 "/>
    <hyperlink ref="B31" location="PI_LAO_E3!A1" display="PI_LAO_E3 "/>
    <hyperlink ref="B28" location="HVOI!A1" display="PI_HVO_H3 "/>
    <hyperlink ref="B13" location="BSPM!A1" display="PI_BSM_B3 "/>
    <hyperlink ref="B8" location="'PI_SMA_B3 '!A1" display="PI_SMA_B3 "/>
    <hyperlink ref="B26" location="CMOR!A1" display="NP_CMO_R3 "/>
    <hyperlink ref="B24" location="CMOB!A1" display="NP_CMO_B3 "/>
    <hyperlink ref="C23" location="LAON!A1" display="LAON"/>
    <hyperlink ref="C18" location="CMOB!A1" display="CMOB"/>
    <hyperlink ref="C9" location="BSPB!A1" display="BSPB"/>
    <hyperlink ref="C21" location="HVOB!A1" display="HVOB"/>
    <hyperlink ref="B35" location="MVSN!A1" display="PI_MVS_N3 "/>
    <hyperlink ref="L28" location="SASO!A1" display="PI_AME_E3"/>
    <hyperlink ref="L32" location="CPVS!A1" display="PI_CRA_B3 "/>
    <hyperlink ref="L4" location="NPCE!A1" display="NP_CA_E3 "/>
    <hyperlink ref="L21" location="PORT!A1" display="PI_PTH_E3 "/>
    <hyperlink ref="L19" location="POPI!A1" display="PI_POP_E3"/>
    <hyperlink ref="L26" location="REUI!A1" display="PI_REU_E3"/>
    <hyperlink ref="C29" location="NPCE!A1" display="NPCE"/>
    <hyperlink ref="C50" location="SASO!A1" display="SASO"/>
    <hyperlink ref="C54" location="TBIO!A1" display="TBIO"/>
    <hyperlink ref="C55" location="UESA!A1" display="UESA"/>
    <hyperlink ref="C52" location="STJU!A1" display="STJU"/>
    <hyperlink ref="C44" location="PORT!A1" display="PORT"/>
    <hyperlink ref="L13" location="PELO!A1" display="PI_CEN_B3 "/>
    <hyperlink ref="L25" location="PI_PSV_E3!A1" display="PI_PSV_E3 "/>
    <hyperlink ref="L14" location="PETR!A1" display="PI_THI_B3 "/>
    <hyperlink ref="L8" location="PAVB!A1" display="NP_PAV_B3 "/>
    <hyperlink ref="L10" location="PAVN!A1" display="NP_PAV_N3 "/>
    <hyperlink ref="L5" location="PI_OPF_B3!A1" display="PI_OPF_B3 "/>
    <hyperlink ref="L6" location="PI_OPF_E3!A1" display="PI_OPF_E3 "/>
    <hyperlink ref="L24" location="PI_PSE_E3!A1" display="NP_PSE_E3 "/>
    <hyperlink ref="L23" location="PSEB!A1" display="NP_PSE_B3 "/>
    <hyperlink ref="L7" location="PI_ORR_R3!A1" display="PI_ORR_R3 "/>
    <hyperlink ref="L30" location="'PI_SIE_E3 '!A1" display="PI_SIE_E3 "/>
    <hyperlink ref="L17" location="PI_PMP_B3!A1" display="PI_PMP_B3 "/>
    <hyperlink ref="C33" location="OURQ!A1" display="OURQ"/>
    <hyperlink ref="C32" location="OPFE!A1" display="OPFE"/>
    <hyperlink ref="C45" location="PSEB!A1" display="PSEB"/>
    <hyperlink ref="C34" location="PAVB!A1" display="PAVB"/>
    <hyperlink ref="C39" location="PETB!A1" display="PETB"/>
    <hyperlink ref="C35" location="PELB!A1" display="PELB"/>
    <hyperlink ref="C31" location="OPFB!A1" display="OPFB"/>
    <hyperlink ref="C43" location="PMPH!A1" display="PMPH"/>
    <hyperlink ref="C49" location="SABL!A1" display="SABL"/>
    <hyperlink ref="L27" location="PI_MEP_E3!A1" display="PI_MEP_E3 "/>
    <hyperlink ref="L18" location="PI_PMP_B3!A1" display="PI_PMP_B3 "/>
    <hyperlink ref="C20" location="CMOE!A1" display="CMOE"/>
    <hyperlink ref="C25" location="MVOI!A1" display="MVOI"/>
    <hyperlink ref="C26" location="MVSB!A1" display="MVSB"/>
    <hyperlink ref="C30" location="NPCR!A1" display="NPCR"/>
    <hyperlink ref="C12" location="CABE!A1" display="CABE"/>
    <hyperlink ref="L31" location="STJU!A1" display="PI_JUS_E3 "/>
    <hyperlink ref="C28" location="NPCB!A1" display="NPCB"/>
    <hyperlink ref="C36" location="PELN!A1" display="PELN"/>
    <hyperlink ref="C37" location="PELP!A1" display="PELP"/>
    <hyperlink ref="C40" location="PETE!A1" display="PETE"/>
    <hyperlink ref="C42" location="PETR!A1" display="PETR"/>
    <hyperlink ref="C51" location="SESV!A1" display="SESV"/>
    <hyperlink ref="C4" location="AMVS!A1" display="AMVS"/>
    <hyperlink ref="C5" location="BAHO!A1" display="BAHO"/>
    <hyperlink ref="C6" location="BRES!A1" display="BRES"/>
    <hyperlink ref="C10" location="BSPH!A1" display="BSPH"/>
    <hyperlink ref="C13" location="CCLO!A1" display="CCLO"/>
    <hyperlink ref="C24" location="MASO!A1" display="MASO"/>
    <hyperlink ref="C56" location="VAUT!A1" display="VAUT"/>
    <hyperlink ref="C57" location="VSEL!A1" display="VSEL"/>
    <hyperlink ref="C27" location="MVSE!A1" display="MVSE"/>
    <hyperlink ref="C53" location="TBIN!A1" display="TBIN"/>
    <hyperlink ref="C41" location="PETP!A1" display="PETP"/>
    <hyperlink ref="C46" location="PSEE!A1" display="PSEE"/>
    <hyperlink ref="C47" location="PSVA!A1" display="PSVA"/>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W84"/>
  <sheetViews>
    <sheetView topLeftCell="A43" workbookViewId="0">
      <selection activeCell="F48" sqref="F48:H48"/>
    </sheetView>
  </sheetViews>
  <sheetFormatPr baseColWidth="10" defaultRowHeight="15"/>
  <cols>
    <col min="1" max="1" width="20.42578125" style="1" bestFit="1" customWidth="1"/>
    <col min="2" max="2" width="15.7109375" style="1" customWidth="1"/>
    <col min="3" max="3" width="48.7109375" style="1" customWidth="1"/>
    <col min="4" max="4" width="7.28515625" style="1" customWidth="1"/>
    <col min="5" max="5" width="7.5703125" style="1" customWidth="1"/>
    <col min="6" max="6" width="16.28515625" style="1" bestFit="1" customWidth="1"/>
    <col min="7" max="7" width="17.85546875" style="1" customWidth="1"/>
    <col min="8" max="8" width="62.5703125" bestFit="1" customWidth="1"/>
    <col min="10" max="10" width="18.42578125" bestFit="1" customWidth="1"/>
  </cols>
  <sheetData>
    <row r="1" spans="1:23" ht="15.75" thickBot="1">
      <c r="A1"/>
      <c r="B1"/>
      <c r="C1"/>
      <c r="D1"/>
      <c r="E1"/>
      <c r="F1"/>
      <c r="G1"/>
    </row>
    <row r="2" spans="1:23" ht="15.75" customHeight="1" thickBot="1">
      <c r="A2" s="328" t="s">
        <v>0</v>
      </c>
      <c r="B2" s="1807" t="s">
        <v>679</v>
      </c>
      <c r="C2" s="1776"/>
      <c r="D2" s="1777"/>
      <c r="E2" s="329"/>
      <c r="F2" s="329"/>
      <c r="G2" s="330" t="s">
        <v>462</v>
      </c>
      <c r="H2" s="408" t="s">
        <v>14</v>
      </c>
    </row>
    <row r="3" spans="1:23" ht="15.75" customHeight="1" thickBot="1">
      <c r="A3" s="331" t="s">
        <v>344</v>
      </c>
      <c r="B3" s="1822" t="s">
        <v>680</v>
      </c>
      <c r="C3" s="1776"/>
      <c r="D3" s="1777"/>
      <c r="E3" s="329"/>
      <c r="F3" s="329"/>
      <c r="G3" s="332" t="s">
        <v>10</v>
      </c>
      <c r="H3" s="408" t="s">
        <v>16</v>
      </c>
      <c r="J3" s="13" t="s">
        <v>73</v>
      </c>
    </row>
    <row r="4" spans="1:23" ht="15.75" thickBot="1">
      <c r="A4" s="332" t="s">
        <v>3</v>
      </c>
      <c r="B4" s="1810" t="s">
        <v>681</v>
      </c>
      <c r="C4" s="1910"/>
      <c r="D4" s="1911"/>
      <c r="E4" s="333"/>
      <c r="F4" s="329"/>
      <c r="G4" s="334" t="s">
        <v>26</v>
      </c>
      <c r="H4" s="392"/>
      <c r="J4" s="13"/>
    </row>
    <row r="5" spans="1:23" ht="23.25" customHeight="1" thickBot="1">
      <c r="A5" s="329"/>
      <c r="B5" s="329"/>
      <c r="C5" s="329"/>
      <c r="D5" s="329"/>
      <c r="E5" s="329"/>
      <c r="F5" s="329"/>
      <c r="G5" s="329"/>
      <c r="H5" s="329"/>
      <c r="J5" s="13" t="s">
        <v>381</v>
      </c>
    </row>
    <row r="6" spans="1:23" ht="161.25" customHeight="1" thickBot="1">
      <c r="A6" s="328" t="s">
        <v>465</v>
      </c>
      <c r="B6" s="1909" t="s">
        <v>1568</v>
      </c>
      <c r="C6" s="1811"/>
      <c r="D6" s="1812"/>
      <c r="E6" s="329"/>
      <c r="F6" s="329"/>
      <c r="G6" s="335" t="s">
        <v>466</v>
      </c>
      <c r="H6" s="336" t="s">
        <v>682</v>
      </c>
    </row>
    <row r="7" spans="1:23" ht="15.75" thickBot="1">
      <c r="A7"/>
      <c r="B7" s="329"/>
      <c r="C7" s="329"/>
      <c r="D7" s="329"/>
      <c r="E7" s="329"/>
      <c r="F7" s="329"/>
      <c r="G7" s="337"/>
      <c r="H7" s="329"/>
    </row>
    <row r="8" spans="1:23" ht="30.75" thickBot="1">
      <c r="A8" s="338" t="s">
        <v>7</v>
      </c>
      <c r="B8" s="1809" t="s">
        <v>683</v>
      </c>
      <c r="C8" s="1776"/>
      <c r="D8" s="1777"/>
      <c r="E8" s="333"/>
      <c r="F8" s="339"/>
      <c r="G8" s="338" t="s">
        <v>469</v>
      </c>
      <c r="H8" s="123" t="s">
        <v>470</v>
      </c>
    </row>
    <row r="9" spans="1:23">
      <c r="A9"/>
      <c r="B9" s="329"/>
      <c r="C9" s="329"/>
      <c r="D9" s="329"/>
      <c r="E9" s="329"/>
      <c r="F9" s="329"/>
      <c r="G9" s="337"/>
      <c r="H9" s="329"/>
    </row>
    <row r="10" spans="1:23" ht="150.75" customHeight="1">
      <c r="A10" s="1813" t="s">
        <v>471</v>
      </c>
      <c r="B10" s="1772"/>
      <c r="C10" s="1806" t="s">
        <v>684</v>
      </c>
      <c r="D10" s="1806"/>
      <c r="E10" s="1806"/>
      <c r="F10" s="1806"/>
      <c r="G10" s="1806"/>
      <c r="H10" s="1806"/>
      <c r="J10" s="1821"/>
    </row>
    <row r="11" spans="1:23">
      <c r="A11" s="343"/>
      <c r="B11" s="333"/>
      <c r="C11" s="333"/>
      <c r="D11" s="333"/>
      <c r="E11" s="333"/>
      <c r="F11" s="339"/>
      <c r="G11" s="342"/>
      <c r="H11" s="342"/>
      <c r="J11" s="1821"/>
    </row>
    <row r="12" spans="1:23">
      <c r="A12" s="343"/>
      <c r="B12" s="333"/>
      <c r="C12" s="333"/>
      <c r="D12" s="333"/>
      <c r="E12" s="1814" t="s">
        <v>473</v>
      </c>
      <c r="F12" s="1772"/>
      <c r="G12" s="1772"/>
      <c r="H12" s="1772"/>
    </row>
    <row r="13" spans="1:23" ht="15" customHeight="1">
      <c r="A13" s="329"/>
      <c r="B13" s="329"/>
      <c r="C13" s="329"/>
      <c r="D13" s="329"/>
      <c r="E13" s="1780"/>
      <c r="F13" s="1780"/>
      <c r="G13" s="1780"/>
      <c r="H13" s="1780"/>
      <c r="I13" s="1817">
        <v>2025</v>
      </c>
      <c r="J13" s="1762"/>
      <c r="K13" s="1762"/>
      <c r="L13" s="1762"/>
      <c r="M13" s="1764"/>
      <c r="N13" s="1817">
        <v>2026</v>
      </c>
      <c r="O13" s="1762"/>
      <c r="P13" s="1762"/>
      <c r="Q13" s="1762"/>
      <c r="R13" s="1764"/>
      <c r="S13" s="1817">
        <v>2027</v>
      </c>
      <c r="T13" s="1762"/>
      <c r="U13" s="1762"/>
      <c r="V13" s="1762"/>
      <c r="W13" s="1764"/>
    </row>
    <row r="14" spans="1:23" ht="45.75" thickBot="1">
      <c r="A14" s="1816" t="s">
        <v>5</v>
      </c>
      <c r="B14" s="1792"/>
      <c r="C14" s="344" t="s">
        <v>1</v>
      </c>
      <c r="D14" s="344" t="s">
        <v>260</v>
      </c>
      <c r="E14" s="345" t="s">
        <v>474</v>
      </c>
      <c r="F14" s="1815" t="s">
        <v>6</v>
      </c>
      <c r="G14" s="1762"/>
      <c r="H14" s="1764"/>
      <c r="I14" s="643" t="s">
        <v>474</v>
      </c>
      <c r="J14" s="644" t="s">
        <v>944</v>
      </c>
      <c r="K14" s="645" t="s">
        <v>945</v>
      </c>
      <c r="L14" s="644" t="s">
        <v>946</v>
      </c>
      <c r="M14" s="646" t="s">
        <v>947</v>
      </c>
      <c r="N14" s="643" t="s">
        <v>474</v>
      </c>
      <c r="O14" s="644" t="s">
        <v>944</v>
      </c>
      <c r="P14" s="645" t="s">
        <v>945</v>
      </c>
      <c r="Q14" s="644" t="s">
        <v>946</v>
      </c>
      <c r="R14" s="646" t="s">
        <v>947</v>
      </c>
      <c r="S14" s="643" t="s">
        <v>474</v>
      </c>
      <c r="T14" s="644" t="s">
        <v>944</v>
      </c>
      <c r="U14" s="645" t="s">
        <v>945</v>
      </c>
      <c r="V14" s="644" t="s">
        <v>946</v>
      </c>
      <c r="W14" s="646" t="s">
        <v>947</v>
      </c>
    </row>
    <row r="15" spans="1:23" ht="30" customHeight="1">
      <c r="A15" s="1804" t="s">
        <v>17</v>
      </c>
      <c r="B15" s="1771"/>
      <c r="C15" s="346" t="s">
        <v>59</v>
      </c>
      <c r="D15" s="347" t="s">
        <v>251</v>
      </c>
      <c r="E15" s="348"/>
      <c r="F15" s="1791" t="s">
        <v>475</v>
      </c>
      <c r="G15" s="1771"/>
      <c r="H15" s="1792"/>
      <c r="I15" s="650"/>
      <c r="J15" s="648"/>
      <c r="K15" s="648"/>
      <c r="L15" s="648"/>
      <c r="M15" s="649"/>
      <c r="N15" s="650"/>
      <c r="O15" s="648"/>
      <c r="P15" s="648"/>
      <c r="Q15" s="648"/>
      <c r="R15" s="649"/>
      <c r="S15" s="650"/>
      <c r="T15" s="648"/>
      <c r="U15" s="648"/>
      <c r="V15" s="648"/>
      <c r="W15" s="651"/>
    </row>
    <row r="16" spans="1:23">
      <c r="A16" s="1772"/>
      <c r="B16" s="1772"/>
      <c r="C16" s="349" t="s">
        <v>18</v>
      </c>
      <c r="D16" s="350" t="s">
        <v>168</v>
      </c>
      <c r="E16" s="351"/>
      <c r="F16" s="1845"/>
      <c r="G16" s="1845"/>
      <c r="H16" s="1799"/>
      <c r="I16" s="653"/>
      <c r="J16" s="632"/>
      <c r="K16" s="632"/>
      <c r="L16" s="632"/>
      <c r="M16" s="632"/>
      <c r="N16" s="653"/>
      <c r="O16" s="632"/>
      <c r="P16" s="632"/>
      <c r="Q16" s="632"/>
      <c r="R16" s="632"/>
      <c r="S16" s="653"/>
      <c r="T16" s="632"/>
      <c r="U16" s="632"/>
      <c r="V16" s="632"/>
      <c r="W16" s="654"/>
    </row>
    <row r="17" spans="1:23" ht="38.25" customHeight="1" thickBot="1">
      <c r="A17" s="1780"/>
      <c r="B17" s="1780"/>
      <c r="C17" s="352" t="s">
        <v>19</v>
      </c>
      <c r="D17" s="353" t="s">
        <v>233</v>
      </c>
      <c r="E17" s="354"/>
      <c r="F17" s="1780"/>
      <c r="G17" s="1780"/>
      <c r="H17" s="1793"/>
      <c r="I17" s="656"/>
      <c r="J17" s="632"/>
      <c r="K17" s="632"/>
      <c r="L17" s="632"/>
      <c r="M17" s="632"/>
      <c r="N17" s="656"/>
      <c r="O17" s="632"/>
      <c r="P17" s="632"/>
      <c r="Q17" s="632"/>
      <c r="R17" s="632"/>
      <c r="S17" s="656"/>
      <c r="T17" s="632"/>
      <c r="U17" s="632"/>
      <c r="V17" s="632"/>
      <c r="W17" s="654"/>
    </row>
    <row r="18" spans="1:23" ht="30" customHeight="1">
      <c r="A18" s="1804" t="s">
        <v>20</v>
      </c>
      <c r="B18" s="1771"/>
      <c r="C18" s="346" t="s">
        <v>54</v>
      </c>
      <c r="D18" s="353" t="s">
        <v>261</v>
      </c>
      <c r="E18" s="354"/>
      <c r="F18" s="1903" t="s">
        <v>1247</v>
      </c>
      <c r="G18" s="1904"/>
      <c r="H18" s="1905"/>
      <c r="I18" s="656"/>
      <c r="J18" s="632"/>
      <c r="K18" s="632"/>
      <c r="L18" s="632"/>
      <c r="M18" s="632"/>
      <c r="N18" s="656"/>
      <c r="O18" s="632"/>
      <c r="P18" s="632"/>
      <c r="Q18" s="632"/>
      <c r="R18" s="632"/>
      <c r="S18" s="656"/>
      <c r="T18" s="632"/>
      <c r="U18" s="632"/>
      <c r="V18" s="632"/>
      <c r="W18" s="654"/>
    </row>
    <row r="19" spans="1:23" ht="40.5" customHeight="1">
      <c r="A19" s="1772"/>
      <c r="B19" s="1772"/>
      <c r="C19" s="355" t="s">
        <v>21</v>
      </c>
      <c r="D19" s="353" t="s">
        <v>234</v>
      </c>
      <c r="E19" s="354"/>
      <c r="F19" s="1914"/>
      <c r="G19" s="1915"/>
      <c r="H19" s="1916"/>
      <c r="I19" s="656"/>
      <c r="J19" s="632"/>
      <c r="K19" s="632"/>
      <c r="L19" s="632"/>
      <c r="M19" s="632"/>
      <c r="N19" s="656"/>
      <c r="O19" s="632"/>
      <c r="P19" s="632"/>
      <c r="Q19" s="632"/>
      <c r="R19" s="632"/>
      <c r="S19" s="656"/>
      <c r="T19" s="632"/>
      <c r="U19" s="632"/>
      <c r="V19" s="632"/>
      <c r="W19" s="654"/>
    </row>
    <row r="20" spans="1:23" ht="47.25" customHeight="1" thickBot="1">
      <c r="A20" s="1772"/>
      <c r="B20" s="1772"/>
      <c r="C20" s="352" t="s">
        <v>22</v>
      </c>
      <c r="D20" s="353" t="s">
        <v>235</v>
      </c>
      <c r="E20" s="495" t="s">
        <v>554</v>
      </c>
      <c r="F20" s="1906"/>
      <c r="G20" s="1907"/>
      <c r="H20" s="1908"/>
      <c r="I20" s="736" t="s">
        <v>554</v>
      </c>
      <c r="J20" s="737">
        <v>2</v>
      </c>
      <c r="K20" s="737">
        <v>1</v>
      </c>
      <c r="L20" s="737">
        <v>160</v>
      </c>
      <c r="M20" s="737">
        <f>L20*306*5</f>
        <v>244800</v>
      </c>
      <c r="N20" s="738" t="s">
        <v>554</v>
      </c>
      <c r="O20" s="737">
        <v>2</v>
      </c>
      <c r="P20" s="737">
        <v>1</v>
      </c>
      <c r="Q20" s="737">
        <v>160</v>
      </c>
      <c r="R20" s="737">
        <f>Q20*5*306</f>
        <v>244800</v>
      </c>
      <c r="S20" s="738" t="s">
        <v>554</v>
      </c>
      <c r="T20" s="737">
        <v>2</v>
      </c>
      <c r="U20" s="737">
        <v>1</v>
      </c>
      <c r="V20" s="737">
        <v>160</v>
      </c>
      <c r="W20" s="737">
        <f>V20*5*306</f>
        <v>244800</v>
      </c>
    </row>
    <row r="21" spans="1:23" ht="24" customHeight="1">
      <c r="A21" s="1804" t="s">
        <v>23</v>
      </c>
      <c r="B21" s="1771"/>
      <c r="C21" s="356" t="s">
        <v>69</v>
      </c>
      <c r="D21" s="353" t="s">
        <v>267</v>
      </c>
      <c r="E21" s="354"/>
      <c r="F21" s="1791" t="s">
        <v>477</v>
      </c>
      <c r="G21" s="1771"/>
      <c r="H21" s="1792"/>
      <c r="I21" s="656"/>
      <c r="J21" s="632"/>
      <c r="K21" s="632"/>
      <c r="L21" s="632"/>
      <c r="M21" s="632"/>
      <c r="N21" s="656"/>
      <c r="O21" s="632"/>
      <c r="P21" s="632"/>
      <c r="Q21" s="632"/>
      <c r="R21" s="632"/>
      <c r="S21" s="656"/>
      <c r="T21" s="632"/>
      <c r="U21" s="632"/>
      <c r="V21" s="632"/>
      <c r="W21" s="654"/>
    </row>
    <row r="22" spans="1:23" ht="15" customHeight="1" thickBot="1">
      <c r="A22" s="1780"/>
      <c r="B22" s="1780"/>
      <c r="C22" s="357" t="s">
        <v>24</v>
      </c>
      <c r="D22" s="358" t="s">
        <v>236</v>
      </c>
      <c r="E22" s="354"/>
      <c r="F22" s="1780"/>
      <c r="G22" s="1780"/>
      <c r="H22" s="1793"/>
      <c r="I22" s="656"/>
      <c r="J22" s="632"/>
      <c r="K22" s="632"/>
      <c r="L22" s="632"/>
      <c r="M22" s="632"/>
      <c r="N22" s="656"/>
      <c r="O22" s="632"/>
      <c r="P22" s="632"/>
      <c r="Q22" s="632"/>
      <c r="R22" s="632"/>
      <c r="S22" s="656"/>
      <c r="T22" s="632"/>
      <c r="U22" s="632"/>
      <c r="V22" s="632"/>
      <c r="W22" s="654"/>
    </row>
    <row r="23" spans="1:23" ht="15" customHeight="1">
      <c r="A23" s="1801" t="s">
        <v>478</v>
      </c>
      <c r="B23" s="1792"/>
      <c r="C23" s="359" t="s">
        <v>360</v>
      </c>
      <c r="D23" s="358" t="s">
        <v>265</v>
      </c>
      <c r="E23" s="354"/>
      <c r="F23" s="1791" t="s">
        <v>477</v>
      </c>
      <c r="G23" s="1771"/>
      <c r="H23" s="1792"/>
      <c r="I23" s="656"/>
      <c r="J23" s="632"/>
      <c r="K23" s="632"/>
      <c r="L23" s="632"/>
      <c r="M23" s="632"/>
      <c r="N23" s="656"/>
      <c r="O23" s="632"/>
      <c r="P23" s="632"/>
      <c r="Q23" s="632"/>
      <c r="R23" s="632"/>
      <c r="S23" s="656"/>
      <c r="T23" s="632"/>
      <c r="U23" s="632"/>
      <c r="V23" s="632"/>
      <c r="W23" s="654"/>
    </row>
    <row r="24" spans="1:23" ht="15" customHeight="1">
      <c r="A24" s="1779"/>
      <c r="B24" s="1799"/>
      <c r="C24" s="360" t="s">
        <v>361</v>
      </c>
      <c r="D24" s="358" t="s">
        <v>362</v>
      </c>
      <c r="E24" s="354"/>
      <c r="F24" s="1845"/>
      <c r="G24" s="1845"/>
      <c r="H24" s="1799"/>
      <c r="I24" s="656"/>
      <c r="J24" s="632"/>
      <c r="K24" s="632"/>
      <c r="L24" s="632"/>
      <c r="M24" s="632"/>
      <c r="N24" s="656"/>
      <c r="O24" s="632"/>
      <c r="P24" s="632"/>
      <c r="Q24" s="632"/>
      <c r="R24" s="632"/>
      <c r="S24" s="656"/>
      <c r="T24" s="632"/>
      <c r="U24" s="632"/>
      <c r="V24" s="632"/>
      <c r="W24" s="654"/>
    </row>
    <row r="25" spans="1:23" ht="15" customHeight="1" thickBot="1">
      <c r="A25" s="1779"/>
      <c r="B25" s="1799"/>
      <c r="C25" s="361" t="s">
        <v>479</v>
      </c>
      <c r="D25" s="358" t="s">
        <v>480</v>
      </c>
      <c r="E25" s="354"/>
      <c r="F25" s="1780"/>
      <c r="G25" s="1780"/>
      <c r="H25" s="1793"/>
      <c r="I25" s="656"/>
      <c r="J25" s="632"/>
      <c r="K25" s="632"/>
      <c r="L25" s="632"/>
      <c r="M25" s="632"/>
      <c r="N25" s="656"/>
      <c r="O25" s="632"/>
      <c r="P25" s="632"/>
      <c r="Q25" s="632"/>
      <c r="R25" s="632"/>
      <c r="S25" s="656"/>
      <c r="T25" s="632"/>
      <c r="U25" s="632"/>
      <c r="V25" s="632"/>
      <c r="W25" s="654"/>
    </row>
    <row r="26" spans="1:23" ht="15.75" thickBot="1">
      <c r="A26" s="1802" t="s">
        <v>25</v>
      </c>
      <c r="B26" s="1776"/>
      <c r="C26" s="1777"/>
      <c r="D26" s="362" t="s">
        <v>270</v>
      </c>
      <c r="E26" s="354"/>
      <c r="F26" s="1763" t="s">
        <v>481</v>
      </c>
      <c r="G26" s="1762"/>
      <c r="H26" s="1764"/>
      <c r="I26" s="656"/>
      <c r="J26" s="632"/>
      <c r="K26" s="632"/>
      <c r="L26" s="632"/>
      <c r="M26" s="632"/>
      <c r="N26" s="656"/>
      <c r="O26" s="632"/>
      <c r="P26" s="632"/>
      <c r="Q26" s="632"/>
      <c r="R26" s="632"/>
      <c r="S26" s="656"/>
      <c r="T26" s="632"/>
      <c r="U26" s="632"/>
      <c r="V26" s="632"/>
      <c r="W26" s="654"/>
    </row>
    <row r="27" spans="1:23" ht="15.75">
      <c r="A27" s="1803" t="s">
        <v>153</v>
      </c>
      <c r="B27" s="1788"/>
      <c r="C27" s="363" t="s">
        <v>152</v>
      </c>
      <c r="D27" s="364" t="s">
        <v>268</v>
      </c>
      <c r="E27" s="354"/>
      <c r="F27" s="1791" t="s">
        <v>475</v>
      </c>
      <c r="G27" s="1771"/>
      <c r="H27" s="1792"/>
      <c r="I27" s="656"/>
      <c r="J27" s="632"/>
      <c r="K27" s="632"/>
      <c r="L27" s="632"/>
      <c r="M27" s="632"/>
      <c r="N27" s="656"/>
      <c r="O27" s="632"/>
      <c r="P27" s="632"/>
      <c r="Q27" s="632"/>
      <c r="R27" s="632"/>
      <c r="S27" s="656"/>
      <c r="T27" s="632"/>
      <c r="U27" s="632"/>
      <c r="V27" s="632"/>
      <c r="W27" s="654"/>
    </row>
    <row r="28" spans="1:23" ht="15.75">
      <c r="A28" s="1779"/>
      <c r="B28" s="1788"/>
      <c r="C28" s="365" t="s">
        <v>154</v>
      </c>
      <c r="D28" s="364" t="s">
        <v>392</v>
      </c>
      <c r="E28" s="354"/>
      <c r="F28" s="1845"/>
      <c r="G28" s="1845"/>
      <c r="H28" s="1799"/>
      <c r="I28" s="656"/>
      <c r="J28" s="632"/>
      <c r="K28" s="632"/>
      <c r="L28" s="632"/>
      <c r="M28" s="632"/>
      <c r="N28" s="656"/>
      <c r="O28" s="632"/>
      <c r="P28" s="632"/>
      <c r="Q28" s="632"/>
      <c r="R28" s="632"/>
      <c r="S28" s="656"/>
      <c r="T28" s="632"/>
      <c r="U28" s="632"/>
      <c r="V28" s="632"/>
      <c r="W28" s="654"/>
    </row>
    <row r="29" spans="1:23" ht="16.5" thickBot="1">
      <c r="A29" s="1767"/>
      <c r="B29" s="1768"/>
      <c r="C29" s="366" t="s">
        <v>400</v>
      </c>
      <c r="D29" s="364" t="s">
        <v>393</v>
      </c>
      <c r="E29" s="354"/>
      <c r="F29" s="1780"/>
      <c r="G29" s="1780"/>
      <c r="H29" s="1793"/>
      <c r="I29" s="656"/>
      <c r="J29" s="632"/>
      <c r="K29" s="632"/>
      <c r="L29" s="632"/>
      <c r="M29" s="632"/>
      <c r="N29" s="656"/>
      <c r="O29" s="632"/>
      <c r="P29" s="632"/>
      <c r="Q29" s="632"/>
      <c r="R29" s="632"/>
      <c r="S29" s="656"/>
      <c r="T29" s="632"/>
      <c r="U29" s="632"/>
      <c r="V29" s="632"/>
      <c r="W29" s="654"/>
    </row>
    <row r="30" spans="1:23" ht="15.75">
      <c r="A30" s="1797" t="s">
        <v>153</v>
      </c>
      <c r="B30" s="1766"/>
      <c r="C30" s="367" t="s">
        <v>155</v>
      </c>
      <c r="D30" s="364" t="s">
        <v>266</v>
      </c>
      <c r="E30" s="354"/>
      <c r="F30" s="1791" t="s">
        <v>475</v>
      </c>
      <c r="G30" s="1771"/>
      <c r="H30" s="1792"/>
      <c r="I30" s="656"/>
      <c r="J30" s="632"/>
      <c r="K30" s="632"/>
      <c r="L30" s="632"/>
      <c r="M30" s="632"/>
      <c r="N30" s="656"/>
      <c r="O30" s="632"/>
      <c r="P30" s="632"/>
      <c r="Q30" s="632"/>
      <c r="R30" s="632"/>
      <c r="S30" s="656"/>
      <c r="T30" s="632"/>
      <c r="U30" s="632"/>
      <c r="V30" s="632"/>
      <c r="W30" s="654"/>
    </row>
    <row r="31" spans="1:23" ht="15.75">
      <c r="A31" s="1779"/>
      <c r="B31" s="1788"/>
      <c r="C31" s="365" t="s">
        <v>156</v>
      </c>
      <c r="D31" s="364" t="s">
        <v>394</v>
      </c>
      <c r="E31" s="354"/>
      <c r="F31" s="1845"/>
      <c r="G31" s="1845"/>
      <c r="H31" s="1799"/>
      <c r="I31" s="656"/>
      <c r="J31" s="632"/>
      <c r="K31" s="632"/>
      <c r="L31" s="632"/>
      <c r="M31" s="632"/>
      <c r="N31" s="656"/>
      <c r="O31" s="632"/>
      <c r="P31" s="632"/>
      <c r="Q31" s="632"/>
      <c r="R31" s="632"/>
      <c r="S31" s="656"/>
      <c r="T31" s="632"/>
      <c r="U31" s="632"/>
      <c r="V31" s="632"/>
      <c r="W31" s="654"/>
    </row>
    <row r="32" spans="1:23" ht="16.5" thickBot="1">
      <c r="A32" s="1767"/>
      <c r="B32" s="1768"/>
      <c r="C32" s="366" t="s">
        <v>399</v>
      </c>
      <c r="D32" s="364" t="s">
        <v>395</v>
      </c>
      <c r="E32" s="354"/>
      <c r="F32" s="1780"/>
      <c r="G32" s="1780"/>
      <c r="H32" s="1793"/>
      <c r="I32" s="656"/>
      <c r="J32" s="632"/>
      <c r="K32" s="632"/>
      <c r="L32" s="632"/>
      <c r="M32" s="632"/>
      <c r="N32" s="656"/>
      <c r="O32" s="632"/>
      <c r="P32" s="632"/>
      <c r="Q32" s="632"/>
      <c r="R32" s="632"/>
      <c r="S32" s="656"/>
      <c r="T32" s="632"/>
      <c r="U32" s="632"/>
      <c r="V32" s="632"/>
      <c r="W32" s="654"/>
    </row>
    <row r="33" spans="1:23" ht="16.5" thickBot="1">
      <c r="A33" s="1797" t="s">
        <v>482</v>
      </c>
      <c r="B33" s="1766"/>
      <c r="C33" s="367" t="s">
        <v>365</v>
      </c>
      <c r="D33" s="364" t="s">
        <v>252</v>
      </c>
      <c r="E33" s="354"/>
      <c r="F33" s="1791" t="s">
        <v>483</v>
      </c>
      <c r="G33" s="1771"/>
      <c r="H33" s="1792"/>
      <c r="I33" s="656"/>
      <c r="J33" s="632"/>
      <c r="K33" s="632"/>
      <c r="L33" s="632"/>
      <c r="M33" s="632"/>
      <c r="N33" s="656"/>
      <c r="O33" s="632"/>
      <c r="P33" s="632"/>
      <c r="Q33" s="632"/>
      <c r="R33" s="632"/>
      <c r="S33" s="656"/>
      <c r="T33" s="632"/>
      <c r="U33" s="632"/>
      <c r="V33" s="632"/>
      <c r="W33" s="654"/>
    </row>
    <row r="34" spans="1:23" ht="16.5" thickBot="1">
      <c r="A34" s="1797" t="s">
        <v>484</v>
      </c>
      <c r="B34" s="1766"/>
      <c r="C34" s="367" t="s">
        <v>485</v>
      </c>
      <c r="D34" s="364" t="s">
        <v>264</v>
      </c>
      <c r="E34" s="495" t="s">
        <v>554</v>
      </c>
      <c r="F34" s="1800"/>
      <c r="G34" s="1771"/>
      <c r="H34" s="1792"/>
      <c r="I34" s="738" t="s">
        <v>554</v>
      </c>
      <c r="J34" s="737">
        <v>2</v>
      </c>
      <c r="K34" s="737">
        <v>1</v>
      </c>
      <c r="L34" s="737">
        <v>60</v>
      </c>
      <c r="M34" s="737">
        <f>L34*527*5</f>
        <v>158100</v>
      </c>
      <c r="N34" s="739" t="s">
        <v>554</v>
      </c>
      <c r="O34" s="737">
        <v>2</v>
      </c>
      <c r="P34" s="737">
        <v>1</v>
      </c>
      <c r="Q34" s="737">
        <v>60</v>
      </c>
      <c r="R34" s="737">
        <f>Q34*527*5</f>
        <v>158100</v>
      </c>
      <c r="S34" s="739" t="s">
        <v>554</v>
      </c>
      <c r="T34" s="737">
        <v>2</v>
      </c>
      <c r="U34" s="737">
        <v>1</v>
      </c>
      <c r="V34" s="737">
        <v>60</v>
      </c>
      <c r="W34" s="737">
        <f>V34*5*527</f>
        <v>158100</v>
      </c>
    </row>
    <row r="35" spans="1:23" ht="15.75">
      <c r="A35" s="1795" t="s">
        <v>486</v>
      </c>
      <c r="B35" s="1766"/>
      <c r="C35" s="368" t="s">
        <v>43</v>
      </c>
      <c r="D35" s="369" t="s">
        <v>256</v>
      </c>
      <c r="E35" s="354"/>
      <c r="F35" s="1791" t="s">
        <v>487</v>
      </c>
      <c r="G35" s="1771"/>
      <c r="H35" s="1792"/>
      <c r="I35" s="656"/>
      <c r="J35" s="632"/>
      <c r="K35" s="632"/>
      <c r="L35" s="632"/>
      <c r="M35" s="632"/>
      <c r="N35" s="656"/>
      <c r="O35" s="632"/>
      <c r="P35" s="632"/>
      <c r="Q35" s="632"/>
      <c r="R35" s="632"/>
      <c r="S35" s="656"/>
      <c r="T35" s="632"/>
      <c r="U35" s="632"/>
      <c r="V35" s="632"/>
      <c r="W35" s="654"/>
    </row>
    <row r="36" spans="1:23" ht="16.5" thickBot="1">
      <c r="A36" s="1767"/>
      <c r="B36" s="1768"/>
      <c r="C36" s="370" t="s">
        <v>60</v>
      </c>
      <c r="D36" s="369" t="s">
        <v>257</v>
      </c>
      <c r="E36" s="354"/>
      <c r="F36" s="1780"/>
      <c r="G36" s="1780"/>
      <c r="H36" s="1793"/>
      <c r="I36" s="656"/>
      <c r="J36" s="632"/>
      <c r="K36" s="632"/>
      <c r="L36" s="632"/>
      <c r="M36" s="632"/>
      <c r="N36" s="656"/>
      <c r="O36" s="632"/>
      <c r="P36" s="632"/>
      <c r="Q36" s="632"/>
      <c r="R36" s="632"/>
      <c r="S36" s="656"/>
      <c r="T36" s="632"/>
      <c r="U36" s="632"/>
      <c r="V36" s="632"/>
      <c r="W36" s="654"/>
    </row>
    <row r="37" spans="1:23" ht="30.75" thickBot="1">
      <c r="A37" s="1796" t="s">
        <v>33</v>
      </c>
      <c r="B37" s="1771"/>
      <c r="C37" s="371" t="s">
        <v>30</v>
      </c>
      <c r="D37" s="372" t="s">
        <v>170</v>
      </c>
      <c r="E37" s="495" t="s">
        <v>554</v>
      </c>
      <c r="F37" s="1900" t="s">
        <v>1244</v>
      </c>
      <c r="G37" s="1901"/>
      <c r="H37" s="1902"/>
      <c r="I37" s="736" t="s">
        <v>554</v>
      </c>
      <c r="J37" s="740">
        <v>2</v>
      </c>
      <c r="K37" s="740">
        <v>1</v>
      </c>
      <c r="L37" s="740">
        <v>200</v>
      </c>
      <c r="M37" s="740">
        <f>L37*121*5</f>
        <v>121000</v>
      </c>
      <c r="N37" s="736" t="s">
        <v>554</v>
      </c>
      <c r="O37" s="740">
        <v>2</v>
      </c>
      <c r="P37" s="740">
        <v>1</v>
      </c>
      <c r="Q37" s="740">
        <v>200</v>
      </c>
      <c r="R37" s="740">
        <f>Q37*121*5</f>
        <v>121000</v>
      </c>
      <c r="S37" s="736" t="s">
        <v>554</v>
      </c>
      <c r="T37" s="740">
        <v>2</v>
      </c>
      <c r="U37" s="740">
        <v>1</v>
      </c>
      <c r="V37" s="740">
        <v>200</v>
      </c>
      <c r="W37" s="740">
        <f>V37*121*5</f>
        <v>121000</v>
      </c>
    </row>
    <row r="38" spans="1:23" ht="30">
      <c r="A38" s="1779"/>
      <c r="B38" s="1772"/>
      <c r="C38" s="373" t="s">
        <v>31</v>
      </c>
      <c r="D38" s="372" t="s">
        <v>169</v>
      </c>
      <c r="E38" s="495" t="s">
        <v>554</v>
      </c>
      <c r="F38" s="1903" t="s">
        <v>1245</v>
      </c>
      <c r="G38" s="1904"/>
      <c r="H38" s="1905"/>
      <c r="I38" s="736" t="s">
        <v>554</v>
      </c>
      <c r="J38" s="740">
        <v>2</v>
      </c>
      <c r="K38" s="740">
        <v>1</v>
      </c>
      <c r="L38" s="740">
        <v>200</v>
      </c>
      <c r="M38" s="740">
        <f>L38*177*5</f>
        <v>177000</v>
      </c>
      <c r="N38" s="736" t="s">
        <v>554</v>
      </c>
      <c r="O38" s="740">
        <v>2</v>
      </c>
      <c r="P38" s="740">
        <v>1</v>
      </c>
      <c r="Q38" s="740">
        <v>200</v>
      </c>
      <c r="R38" s="740">
        <f>Q38*177*5</f>
        <v>177000</v>
      </c>
      <c r="S38" s="736" t="s">
        <v>554</v>
      </c>
      <c r="T38" s="740">
        <v>2</v>
      </c>
      <c r="U38" s="740">
        <v>1</v>
      </c>
      <c r="V38" s="740">
        <v>200</v>
      </c>
      <c r="W38" s="740">
        <f>V38*177*5</f>
        <v>177000</v>
      </c>
    </row>
    <row r="39" spans="1:23" ht="30.75" thickBot="1">
      <c r="A39" s="1779"/>
      <c r="B39" s="1772"/>
      <c r="C39" s="374" t="s">
        <v>32</v>
      </c>
      <c r="D39" s="372" t="s">
        <v>250</v>
      </c>
      <c r="E39" s="354"/>
      <c r="F39" s="1906"/>
      <c r="G39" s="1907"/>
      <c r="H39" s="1908"/>
      <c r="I39" s="656"/>
      <c r="J39" s="632"/>
      <c r="K39" s="632"/>
      <c r="L39" s="632"/>
      <c r="M39" s="632"/>
      <c r="N39" s="656"/>
      <c r="O39" s="632"/>
      <c r="P39" s="632"/>
      <c r="Q39" s="632"/>
      <c r="R39" s="632"/>
      <c r="S39" s="656"/>
      <c r="T39" s="632"/>
      <c r="U39" s="632"/>
      <c r="V39" s="632"/>
      <c r="W39" s="654"/>
    </row>
    <row r="40" spans="1:23" ht="51" customHeight="1" thickBot="1">
      <c r="A40" s="1786" t="s">
        <v>491</v>
      </c>
      <c r="B40" s="1787"/>
      <c r="C40" s="375" t="s">
        <v>144</v>
      </c>
      <c r="D40" s="376" t="s">
        <v>253</v>
      </c>
      <c r="E40" s="495" t="s">
        <v>554</v>
      </c>
      <c r="F40" s="1900" t="s">
        <v>1246</v>
      </c>
      <c r="G40" s="1901"/>
      <c r="H40" s="1902"/>
      <c r="I40" s="736" t="s">
        <v>554</v>
      </c>
      <c r="J40" s="740">
        <v>2</v>
      </c>
      <c r="K40" s="740">
        <v>1</v>
      </c>
      <c r="L40" s="740">
        <v>5</v>
      </c>
      <c r="M40" s="740">
        <f>L40*150*5</f>
        <v>3750</v>
      </c>
      <c r="N40" s="736" t="s">
        <v>554</v>
      </c>
      <c r="O40" s="740">
        <v>2</v>
      </c>
      <c r="P40" s="740">
        <v>1</v>
      </c>
      <c r="Q40" s="740">
        <v>5</v>
      </c>
      <c r="R40" s="740">
        <f>Q40*150*5</f>
        <v>3750</v>
      </c>
      <c r="S40" s="736" t="s">
        <v>554</v>
      </c>
      <c r="T40" s="740">
        <v>2</v>
      </c>
      <c r="U40" s="740">
        <v>1</v>
      </c>
      <c r="V40" s="740">
        <v>5</v>
      </c>
      <c r="W40" s="740">
        <f>V40*150*5</f>
        <v>3750</v>
      </c>
    </row>
    <row r="41" spans="1:23" ht="51" customHeight="1" thickBot="1">
      <c r="A41" s="1772"/>
      <c r="B41" s="1788"/>
      <c r="C41" s="377" t="s">
        <v>145</v>
      </c>
      <c r="D41" s="376" t="s">
        <v>254</v>
      </c>
      <c r="E41" s="495" t="s">
        <v>554</v>
      </c>
      <c r="F41" s="1900" t="s">
        <v>685</v>
      </c>
      <c r="G41" s="1901"/>
      <c r="H41" s="1902"/>
      <c r="I41" s="736" t="s">
        <v>554</v>
      </c>
      <c r="J41" s="740">
        <v>2</v>
      </c>
      <c r="K41" s="740">
        <v>1</v>
      </c>
      <c r="L41" s="740">
        <v>5</v>
      </c>
      <c r="M41" s="740">
        <f>L41*201*5</f>
        <v>5025</v>
      </c>
      <c r="N41" s="736" t="s">
        <v>554</v>
      </c>
      <c r="O41" s="740">
        <v>2</v>
      </c>
      <c r="P41" s="740">
        <v>1</v>
      </c>
      <c r="Q41" s="740">
        <v>5</v>
      </c>
      <c r="R41" s="740">
        <f>Q41*201*5</f>
        <v>5025</v>
      </c>
      <c r="S41" s="736" t="s">
        <v>554</v>
      </c>
      <c r="T41" s="740">
        <v>2</v>
      </c>
      <c r="U41" s="740">
        <v>1</v>
      </c>
      <c r="V41" s="740">
        <v>5</v>
      </c>
      <c r="W41" s="740">
        <f>V41*201*5</f>
        <v>5025</v>
      </c>
    </row>
    <row r="42" spans="1:23" ht="48" thickBot="1">
      <c r="A42" s="1789"/>
      <c r="B42" s="1790"/>
      <c r="C42" s="378" t="s">
        <v>128</v>
      </c>
      <c r="D42" s="376" t="s">
        <v>262</v>
      </c>
      <c r="E42" s="354"/>
      <c r="F42" s="1794"/>
      <c r="G42" s="1762"/>
      <c r="H42" s="1764"/>
      <c r="I42" s="656"/>
      <c r="J42" s="632"/>
      <c r="K42" s="632"/>
      <c r="L42" s="632"/>
      <c r="M42" s="632"/>
      <c r="N42" s="656"/>
      <c r="O42" s="632"/>
      <c r="P42" s="632"/>
      <c r="Q42" s="632"/>
      <c r="R42" s="632"/>
      <c r="S42" s="656"/>
      <c r="T42" s="632"/>
      <c r="U42" s="632"/>
      <c r="V42" s="632"/>
      <c r="W42" s="654"/>
    </row>
    <row r="43" spans="1:23" ht="15.75" thickBot="1">
      <c r="A43" s="1775" t="s">
        <v>493</v>
      </c>
      <c r="B43" s="1776"/>
      <c r="C43" s="1777"/>
      <c r="D43" s="379" t="s">
        <v>237</v>
      </c>
      <c r="E43" s="354"/>
      <c r="F43" s="1763" t="s">
        <v>559</v>
      </c>
      <c r="G43" s="1762"/>
      <c r="H43" s="1764"/>
      <c r="I43" s="656"/>
      <c r="J43" s="632"/>
      <c r="K43" s="632"/>
      <c r="L43" s="632"/>
      <c r="M43" s="632"/>
      <c r="N43" s="656"/>
      <c r="O43" s="632"/>
      <c r="P43" s="632"/>
      <c r="Q43" s="632"/>
      <c r="R43" s="632"/>
      <c r="S43" s="656"/>
      <c r="T43" s="632"/>
      <c r="U43" s="632"/>
      <c r="V43" s="632"/>
      <c r="W43" s="654"/>
    </row>
    <row r="44" spans="1:23" ht="15.75" thickBot="1">
      <c r="A44" s="1775" t="s">
        <v>133</v>
      </c>
      <c r="B44" s="1776"/>
      <c r="C44" s="1777"/>
      <c r="D44" s="379" t="s">
        <v>238</v>
      </c>
      <c r="E44" s="496"/>
      <c r="F44" s="1763" t="s">
        <v>495</v>
      </c>
      <c r="G44" s="1762"/>
      <c r="H44" s="1764"/>
      <c r="I44" s="656"/>
      <c r="J44" s="632"/>
      <c r="K44" s="632"/>
      <c r="L44" s="632"/>
      <c r="M44" s="632"/>
      <c r="N44" s="656"/>
      <c r="O44" s="632"/>
      <c r="P44" s="632"/>
      <c r="Q44" s="632"/>
      <c r="R44" s="632"/>
      <c r="S44" s="656"/>
      <c r="T44" s="632"/>
      <c r="U44" s="632"/>
      <c r="V44" s="632"/>
      <c r="W44" s="654"/>
    </row>
    <row r="45" spans="1:23" ht="15.75" thickBot="1">
      <c r="A45" s="1778" t="s">
        <v>41</v>
      </c>
      <c r="B45" s="1772"/>
      <c r="C45" s="380" t="s">
        <v>50</v>
      </c>
      <c r="D45" s="381" t="s">
        <v>246</v>
      </c>
      <c r="E45" s="497"/>
      <c r="F45" s="1781" t="s">
        <v>560</v>
      </c>
      <c r="G45" s="1762"/>
      <c r="H45" s="1764"/>
      <c r="I45" s="656"/>
      <c r="J45" s="632"/>
      <c r="K45" s="632"/>
      <c r="L45" s="632"/>
      <c r="M45" s="632"/>
      <c r="N45" s="656"/>
      <c r="O45" s="632"/>
      <c r="P45" s="632"/>
      <c r="Q45" s="632"/>
      <c r="R45" s="632"/>
      <c r="S45" s="656"/>
      <c r="T45" s="632"/>
      <c r="U45" s="632"/>
      <c r="V45" s="632"/>
      <c r="W45" s="654"/>
    </row>
    <row r="46" spans="1:23" ht="51" customHeight="1" thickBot="1">
      <c r="A46" s="1779"/>
      <c r="B46" s="1772"/>
      <c r="C46" s="382" t="s">
        <v>51</v>
      </c>
      <c r="D46" s="381" t="s">
        <v>247</v>
      </c>
      <c r="E46" s="498" t="s">
        <v>554</v>
      </c>
      <c r="F46" s="1897" t="s">
        <v>1241</v>
      </c>
      <c r="G46" s="1898"/>
      <c r="H46" s="1899"/>
      <c r="I46" s="736" t="s">
        <v>554</v>
      </c>
      <c r="J46" s="740">
        <v>2</v>
      </c>
      <c r="K46" s="740">
        <v>1</v>
      </c>
      <c r="L46" s="740">
        <v>30</v>
      </c>
      <c r="M46" s="740">
        <f>L46*145*5</f>
        <v>21750</v>
      </c>
      <c r="N46" s="736" t="s">
        <v>554</v>
      </c>
      <c r="O46" s="740">
        <v>1</v>
      </c>
      <c r="P46" s="740">
        <v>1</v>
      </c>
      <c r="Q46" s="740">
        <v>30</v>
      </c>
      <c r="R46" s="740">
        <f>Q46*145*5</f>
        <v>21750</v>
      </c>
      <c r="S46" s="736" t="s">
        <v>554</v>
      </c>
      <c r="T46" s="740">
        <v>2</v>
      </c>
      <c r="U46" s="740">
        <v>1</v>
      </c>
      <c r="V46" s="740">
        <v>30</v>
      </c>
      <c r="W46" s="740">
        <f>V46*145*5</f>
        <v>21750</v>
      </c>
    </row>
    <row r="47" spans="1:23" ht="51" customHeight="1" thickBot="1">
      <c r="A47" s="1779"/>
      <c r="B47" s="1772"/>
      <c r="C47" s="382" t="s">
        <v>39</v>
      </c>
      <c r="D47" s="381" t="s">
        <v>248</v>
      </c>
      <c r="E47" s="495" t="s">
        <v>554</v>
      </c>
      <c r="F47" s="1897" t="s">
        <v>1242</v>
      </c>
      <c r="G47" s="1898"/>
      <c r="H47" s="1899"/>
      <c r="I47" s="736" t="s">
        <v>554</v>
      </c>
      <c r="J47" s="740">
        <v>2</v>
      </c>
      <c r="K47" s="740">
        <v>1</v>
      </c>
      <c r="L47" s="740">
        <v>30</v>
      </c>
      <c r="M47" s="740">
        <f>L47*200*5</f>
        <v>30000</v>
      </c>
      <c r="N47" s="736" t="s">
        <v>554</v>
      </c>
      <c r="O47" s="740">
        <v>1</v>
      </c>
      <c r="P47" s="740">
        <v>1</v>
      </c>
      <c r="Q47" s="740">
        <v>30</v>
      </c>
      <c r="R47" s="740">
        <f>Q47*200*5</f>
        <v>30000</v>
      </c>
      <c r="S47" s="736" t="s">
        <v>554</v>
      </c>
      <c r="T47" s="740">
        <v>2</v>
      </c>
      <c r="U47" s="740">
        <v>1</v>
      </c>
      <c r="V47" s="740">
        <v>30</v>
      </c>
      <c r="W47" s="740">
        <f>V47*200*5</f>
        <v>30000</v>
      </c>
    </row>
    <row r="48" spans="1:23" ht="51" customHeight="1" thickBot="1">
      <c r="A48" s="1767"/>
      <c r="B48" s="1780"/>
      <c r="C48" s="383" t="s">
        <v>40</v>
      </c>
      <c r="D48" s="381" t="s">
        <v>249</v>
      </c>
      <c r="E48" s="495" t="s">
        <v>554</v>
      </c>
      <c r="F48" s="1897" t="s">
        <v>1243</v>
      </c>
      <c r="G48" s="1898"/>
      <c r="H48" s="1899"/>
      <c r="I48" s="736" t="s">
        <v>554</v>
      </c>
      <c r="J48" s="740">
        <v>2</v>
      </c>
      <c r="K48" s="740">
        <v>1</v>
      </c>
      <c r="L48" s="740">
        <v>30</v>
      </c>
      <c r="M48" s="740">
        <f>L48*254*5</f>
        <v>38100</v>
      </c>
      <c r="N48" s="736" t="s">
        <v>554</v>
      </c>
      <c r="O48" s="740">
        <v>1</v>
      </c>
      <c r="P48" s="740">
        <v>1</v>
      </c>
      <c r="Q48" s="740">
        <v>30</v>
      </c>
      <c r="R48" s="740">
        <f>Q48*254*5</f>
        <v>38100</v>
      </c>
      <c r="S48" s="736" t="s">
        <v>554</v>
      </c>
      <c r="T48" s="740">
        <v>2</v>
      </c>
      <c r="U48" s="740">
        <v>1</v>
      </c>
      <c r="V48" s="740">
        <v>30</v>
      </c>
      <c r="W48" s="740">
        <f>V48*254*5</f>
        <v>38100</v>
      </c>
    </row>
    <row r="49" spans="1:23" ht="15.75">
      <c r="A49" s="1765" t="s">
        <v>130</v>
      </c>
      <c r="B49" s="1766"/>
      <c r="C49" s="375" t="s">
        <v>131</v>
      </c>
      <c r="D49" s="376" t="s">
        <v>255</v>
      </c>
      <c r="E49" s="354"/>
      <c r="F49" s="1769"/>
      <c r="G49" s="1762"/>
      <c r="H49" s="1764"/>
      <c r="I49" s="656"/>
      <c r="J49" s="632"/>
      <c r="K49" s="632"/>
      <c r="L49" s="632"/>
      <c r="M49" s="632"/>
      <c r="N49" s="656"/>
      <c r="O49" s="632"/>
      <c r="P49" s="632"/>
      <c r="Q49" s="632"/>
      <c r="R49" s="632"/>
      <c r="S49" s="656"/>
      <c r="T49" s="632"/>
      <c r="U49" s="632"/>
      <c r="V49" s="632"/>
      <c r="W49" s="654"/>
    </row>
    <row r="50" spans="1:23" ht="48" thickBot="1">
      <c r="A50" s="1767"/>
      <c r="B50" s="1768"/>
      <c r="C50" s="384" t="s">
        <v>132</v>
      </c>
      <c r="D50" s="376" t="s">
        <v>263</v>
      </c>
      <c r="E50" s="354"/>
      <c r="F50" s="1769"/>
      <c r="G50" s="1762"/>
      <c r="H50" s="1764"/>
      <c r="I50" s="656"/>
      <c r="J50" s="632"/>
      <c r="K50" s="632"/>
      <c r="L50" s="632"/>
      <c r="M50" s="632"/>
      <c r="N50" s="656"/>
      <c r="O50" s="632"/>
      <c r="P50" s="632"/>
      <c r="Q50" s="632"/>
      <c r="R50" s="632"/>
      <c r="S50" s="656"/>
      <c r="T50" s="632"/>
      <c r="U50" s="632"/>
      <c r="V50" s="632"/>
      <c r="W50" s="654"/>
    </row>
    <row r="51" spans="1:23">
      <c r="A51" s="1770" t="s">
        <v>42</v>
      </c>
      <c r="B51" s="1771"/>
      <c r="C51" s="385" t="s">
        <v>38</v>
      </c>
      <c r="D51" s="386" t="s">
        <v>239</v>
      </c>
      <c r="E51" s="354"/>
      <c r="F51" s="1763" t="s">
        <v>499</v>
      </c>
      <c r="G51" s="1762"/>
      <c r="H51" s="1764"/>
      <c r="I51" s="656"/>
      <c r="J51" s="632"/>
      <c r="K51" s="632"/>
      <c r="L51" s="632"/>
      <c r="M51" s="632"/>
      <c r="N51" s="656"/>
      <c r="O51" s="632"/>
      <c r="P51" s="632"/>
      <c r="Q51" s="632"/>
      <c r="R51" s="632"/>
      <c r="S51" s="656"/>
      <c r="T51" s="632"/>
      <c r="U51" s="632"/>
      <c r="V51" s="632"/>
      <c r="W51" s="654"/>
    </row>
    <row r="52" spans="1:23">
      <c r="A52" s="1772"/>
      <c r="B52" s="1772"/>
      <c r="C52" s="387" t="s">
        <v>55</v>
      </c>
      <c r="D52" s="386" t="s">
        <v>240</v>
      </c>
      <c r="E52" s="495" t="s">
        <v>554</v>
      </c>
      <c r="F52" s="1773"/>
      <c r="G52" s="1762"/>
      <c r="H52" s="1764"/>
      <c r="I52" s="736" t="s">
        <v>554</v>
      </c>
      <c r="J52" s="740">
        <v>2</v>
      </c>
      <c r="K52" s="740">
        <v>1</v>
      </c>
      <c r="L52" s="740">
        <v>4</v>
      </c>
      <c r="M52" s="740">
        <f>L52*62*5</f>
        <v>1240</v>
      </c>
      <c r="N52" s="736" t="s">
        <v>554</v>
      </c>
      <c r="O52" s="740">
        <v>1</v>
      </c>
      <c r="P52" s="740">
        <v>1</v>
      </c>
      <c r="Q52" s="740">
        <v>4</v>
      </c>
      <c r="R52" s="740">
        <f>Q52*62*5</f>
        <v>1240</v>
      </c>
      <c r="S52" s="736" t="s">
        <v>554</v>
      </c>
      <c r="T52" s="740">
        <v>2</v>
      </c>
      <c r="U52" s="740">
        <v>1</v>
      </c>
      <c r="V52" s="740">
        <v>4</v>
      </c>
      <c r="W52" s="740">
        <f>V52*62*5</f>
        <v>1240</v>
      </c>
    </row>
    <row r="53" spans="1:23" ht="16.5" thickBot="1">
      <c r="A53" s="1772"/>
      <c r="B53" s="1772"/>
      <c r="C53" s="377" t="s">
        <v>48</v>
      </c>
      <c r="D53" s="388" t="s">
        <v>241</v>
      </c>
      <c r="E53" s="354"/>
      <c r="F53" s="1774"/>
      <c r="G53" s="1762"/>
      <c r="H53" s="1764"/>
      <c r="I53" s="656"/>
      <c r="J53" s="632"/>
      <c r="K53" s="632"/>
      <c r="L53" s="632"/>
      <c r="M53" s="632"/>
      <c r="N53" s="656"/>
      <c r="O53" s="632"/>
      <c r="P53" s="632"/>
      <c r="Q53" s="632"/>
      <c r="R53" s="632"/>
      <c r="S53" s="656"/>
      <c r="T53" s="632"/>
      <c r="U53" s="632"/>
      <c r="V53" s="632"/>
      <c r="W53" s="654"/>
    </row>
    <row r="54" spans="1:23" ht="16.5" thickBot="1">
      <c r="A54" s="1761" t="s">
        <v>500</v>
      </c>
      <c r="B54" s="1762"/>
      <c r="C54" s="389" t="s">
        <v>134</v>
      </c>
      <c r="D54" s="390" t="s">
        <v>269</v>
      </c>
      <c r="E54" s="391"/>
      <c r="F54" s="1763" t="s">
        <v>501</v>
      </c>
      <c r="G54" s="1762"/>
      <c r="H54" s="1764"/>
      <c r="I54" s="659"/>
      <c r="J54" s="658"/>
      <c r="K54" s="658"/>
      <c r="L54" s="658"/>
      <c r="M54" s="658"/>
      <c r="N54" s="659"/>
      <c r="O54" s="658"/>
      <c r="P54" s="658"/>
      <c r="Q54" s="658"/>
      <c r="R54" s="658"/>
      <c r="S54" s="659"/>
      <c r="T54" s="658"/>
      <c r="U54" s="658"/>
      <c r="V54" s="658"/>
      <c r="W54" s="660"/>
    </row>
    <row r="56" spans="1:23">
      <c r="M56">
        <f>SUM(M15:M54)</f>
        <v>800765</v>
      </c>
    </row>
    <row r="57" spans="1:23" ht="60">
      <c r="A57" s="661" t="s">
        <v>948</v>
      </c>
      <c r="B57" s="661" t="s">
        <v>949</v>
      </c>
      <c r="C57" s="661" t="s">
        <v>950</v>
      </c>
      <c r="D57" s="661" t="s">
        <v>951</v>
      </c>
      <c r="E57" s="661" t="s">
        <v>952</v>
      </c>
      <c r="F57" s="729" t="s">
        <v>1059</v>
      </c>
    </row>
    <row r="58" spans="1:23" ht="135">
      <c r="A58" s="730" t="s">
        <v>953</v>
      </c>
      <c r="B58" s="710" t="s">
        <v>887</v>
      </c>
      <c r="C58" s="710">
        <v>3</v>
      </c>
      <c r="D58" s="710">
        <v>3</v>
      </c>
      <c r="E58" s="731" t="s">
        <v>1060</v>
      </c>
      <c r="F58" s="614" t="s">
        <v>1061</v>
      </c>
    </row>
    <row r="59" spans="1:23" ht="210">
      <c r="A59" s="730" t="s">
        <v>956</v>
      </c>
      <c r="B59" s="710" t="s">
        <v>887</v>
      </c>
      <c r="C59" s="710">
        <v>1</v>
      </c>
      <c r="D59" s="710">
        <v>1</v>
      </c>
      <c r="E59" s="731" t="s">
        <v>1062</v>
      </c>
      <c r="F59" s="614" t="s">
        <v>1063</v>
      </c>
    </row>
    <row r="60" spans="1:23">
      <c r="A60" s="730" t="s">
        <v>957</v>
      </c>
      <c r="B60" s="732" t="s">
        <v>991</v>
      </c>
      <c r="C60" s="732">
        <v>0</v>
      </c>
      <c r="D60" s="732">
        <v>0</v>
      </c>
      <c r="E60" s="733" t="s">
        <v>1064</v>
      </c>
      <c r="F60" s="734"/>
    </row>
    <row r="61" spans="1:23" ht="120">
      <c r="A61" s="730" t="s">
        <v>959</v>
      </c>
      <c r="B61" s="710" t="s">
        <v>887</v>
      </c>
      <c r="C61" s="710"/>
      <c r="D61" s="710">
        <v>3</v>
      </c>
      <c r="E61" s="731" t="s">
        <v>979</v>
      </c>
      <c r="F61" s="614" t="s">
        <v>1065</v>
      </c>
    </row>
    <row r="62" spans="1:23" ht="90">
      <c r="A62" s="730" t="s">
        <v>961</v>
      </c>
      <c r="B62" s="710" t="s">
        <v>887</v>
      </c>
      <c r="C62" s="710"/>
      <c r="D62" s="710">
        <v>14</v>
      </c>
      <c r="E62" s="731" t="s">
        <v>983</v>
      </c>
      <c r="F62" s="614" t="s">
        <v>1066</v>
      </c>
    </row>
    <row r="63" spans="1:23" ht="75">
      <c r="A63" s="730" t="s">
        <v>963</v>
      </c>
      <c r="B63" s="710" t="s">
        <v>887</v>
      </c>
      <c r="C63" s="710"/>
      <c r="D63" s="710">
        <v>6</v>
      </c>
      <c r="E63" s="731" t="s">
        <v>1067</v>
      </c>
      <c r="F63" s="614" t="s">
        <v>1068</v>
      </c>
    </row>
    <row r="64" spans="1:23">
      <c r="A64" s="730" t="s">
        <v>967</v>
      </c>
      <c r="B64" s="732" t="s">
        <v>991</v>
      </c>
      <c r="C64" s="732"/>
      <c r="D64" s="732"/>
      <c r="E64" s="733"/>
      <c r="F64" s="734"/>
    </row>
    <row r="65" spans="1:6" ht="225">
      <c r="A65" s="730" t="s">
        <v>969</v>
      </c>
      <c r="B65" s="710" t="s">
        <v>887</v>
      </c>
      <c r="C65" s="710"/>
      <c r="D65" s="710">
        <v>1</v>
      </c>
      <c r="E65" s="735" t="s">
        <v>1069</v>
      </c>
      <c r="F65" s="614" t="s">
        <v>1070</v>
      </c>
    </row>
    <row r="66" spans="1:6" ht="135">
      <c r="A66" s="730" t="s">
        <v>971</v>
      </c>
      <c r="B66" s="710" t="s">
        <v>887</v>
      </c>
      <c r="C66" s="710"/>
      <c r="D66" s="710">
        <v>4</v>
      </c>
      <c r="E66" s="735" t="s">
        <v>1071</v>
      </c>
      <c r="F66" s="614" t="s">
        <v>1072</v>
      </c>
    </row>
    <row r="67" spans="1:6">
      <c r="A67" s="730" t="s">
        <v>986</v>
      </c>
      <c r="B67" s="710"/>
      <c r="C67" s="710"/>
      <c r="D67" s="710"/>
      <c r="E67" s="731"/>
      <c r="F67" s="612"/>
    </row>
    <row r="71" spans="1:6">
      <c r="A71" s="1912" t="s">
        <v>1270</v>
      </c>
      <c r="B71" s="1913"/>
      <c r="C71" s="1913"/>
      <c r="D71" s="1913"/>
      <c r="E71" s="1913"/>
      <c r="F71" s="1913"/>
    </row>
    <row r="72" spans="1:6" ht="90">
      <c r="A72" s="1341" t="s">
        <v>1271</v>
      </c>
      <c r="B72" s="1341" t="s">
        <v>1272</v>
      </c>
      <c r="C72" s="1341" t="s">
        <v>1273</v>
      </c>
      <c r="D72" s="1341" t="s">
        <v>1274</v>
      </c>
      <c r="E72" s="1341" t="s">
        <v>1275</v>
      </c>
      <c r="F72" s="1341" t="s">
        <v>1276</v>
      </c>
    </row>
    <row r="73" spans="1:6" ht="105">
      <c r="A73" s="1342" t="s">
        <v>1401</v>
      </c>
      <c r="B73" s="1344" t="s">
        <v>1402</v>
      </c>
      <c r="C73" s="1345" t="s">
        <v>1357</v>
      </c>
      <c r="D73" s="1345" t="s">
        <v>52</v>
      </c>
      <c r="E73" s="1344" t="s">
        <v>1403</v>
      </c>
      <c r="F73" s="1346">
        <v>6</v>
      </c>
    </row>
    <row r="74" spans="1:6" ht="45">
      <c r="A74" s="1342" t="s">
        <v>1404</v>
      </c>
      <c r="B74" s="1344" t="s">
        <v>1405</v>
      </c>
      <c r="C74" s="1345" t="s">
        <v>1357</v>
      </c>
      <c r="D74" s="1345" t="s">
        <v>52</v>
      </c>
      <c r="E74" s="1344" t="s">
        <v>1403</v>
      </c>
      <c r="F74" s="1346">
        <v>6</v>
      </c>
    </row>
    <row r="75" spans="1:6" ht="45">
      <c r="A75" s="1342" t="s">
        <v>1406</v>
      </c>
      <c r="B75" s="1344" t="s">
        <v>1402</v>
      </c>
      <c r="C75" s="1345" t="s">
        <v>1357</v>
      </c>
      <c r="D75" s="1345" t="s">
        <v>52</v>
      </c>
      <c r="E75" s="1344" t="s">
        <v>1407</v>
      </c>
      <c r="F75" s="1346">
        <v>6</v>
      </c>
    </row>
    <row r="76" spans="1:6" ht="60">
      <c r="A76" s="1342" t="s">
        <v>1408</v>
      </c>
      <c r="B76" s="1344" t="s">
        <v>1402</v>
      </c>
      <c r="C76" s="1345" t="s">
        <v>1357</v>
      </c>
      <c r="D76" s="1345" t="s">
        <v>52</v>
      </c>
      <c r="E76" s="1344" t="s">
        <v>1409</v>
      </c>
      <c r="F76" s="1346">
        <v>6</v>
      </c>
    </row>
    <row r="77" spans="1:6" ht="45">
      <c r="A77" s="1343" t="s">
        <v>1410</v>
      </c>
      <c r="B77" s="1347" t="s">
        <v>1405</v>
      </c>
      <c r="C77" s="1348" t="s">
        <v>1357</v>
      </c>
      <c r="D77" s="1348" t="s">
        <v>16</v>
      </c>
      <c r="E77" s="1347" t="s">
        <v>1411</v>
      </c>
      <c r="F77" s="1349">
        <v>6</v>
      </c>
    </row>
    <row r="78" spans="1:6" ht="120">
      <c r="A78" s="1355" t="s">
        <v>1412</v>
      </c>
      <c r="B78" s="1350" t="s">
        <v>1413</v>
      </c>
      <c r="C78" s="1350" t="s">
        <v>1283</v>
      </c>
      <c r="D78" s="1350" t="s">
        <v>887</v>
      </c>
      <c r="E78" s="1350" t="s">
        <v>1299</v>
      </c>
      <c r="F78" s="1351">
        <v>6</v>
      </c>
    </row>
    <row r="79" spans="1:6" ht="105">
      <c r="A79" s="1355" t="s">
        <v>1414</v>
      </c>
      <c r="B79" s="1350" t="s">
        <v>1415</v>
      </c>
      <c r="C79" s="1350" t="s">
        <v>1283</v>
      </c>
      <c r="D79" s="1350" t="s">
        <v>954</v>
      </c>
      <c r="E79" s="1350" t="s">
        <v>1416</v>
      </c>
      <c r="F79" s="1351">
        <v>6</v>
      </c>
    </row>
    <row r="80" spans="1:6" ht="72">
      <c r="A80" s="1356"/>
      <c r="B80" s="1352" t="s">
        <v>1417</v>
      </c>
      <c r="C80" s="1350" t="s">
        <v>1418</v>
      </c>
      <c r="D80" s="1350" t="s">
        <v>954</v>
      </c>
      <c r="E80" s="1350" t="s">
        <v>1419</v>
      </c>
      <c r="F80" s="1351">
        <v>6</v>
      </c>
    </row>
    <row r="81" spans="1:6" ht="90">
      <c r="A81" s="1355" t="s">
        <v>1420</v>
      </c>
      <c r="B81" s="1350" t="s">
        <v>1421</v>
      </c>
      <c r="C81" s="1350" t="s">
        <v>1307</v>
      </c>
      <c r="D81" s="1350" t="s">
        <v>887</v>
      </c>
      <c r="E81" s="1350" t="s">
        <v>1422</v>
      </c>
      <c r="F81" s="1351">
        <v>6</v>
      </c>
    </row>
    <row r="82" spans="1:6" ht="135">
      <c r="A82" s="1355" t="s">
        <v>1423</v>
      </c>
      <c r="B82" s="1350" t="s">
        <v>1424</v>
      </c>
      <c r="C82" s="1350" t="s">
        <v>1283</v>
      </c>
      <c r="D82" s="1350" t="s">
        <v>887</v>
      </c>
      <c r="E82" s="1350" t="s">
        <v>235</v>
      </c>
      <c r="F82" s="1351">
        <v>6</v>
      </c>
    </row>
    <row r="83" spans="1:6" ht="128.25">
      <c r="A83" s="1355" t="s">
        <v>1425</v>
      </c>
      <c r="B83" s="1353" t="s">
        <v>1426</v>
      </c>
      <c r="C83" s="1350" t="s">
        <v>1427</v>
      </c>
      <c r="D83" s="1350" t="s">
        <v>887</v>
      </c>
      <c r="E83" s="1350" t="s">
        <v>235</v>
      </c>
      <c r="F83" s="1354">
        <v>6</v>
      </c>
    </row>
    <row r="84" spans="1:6" ht="75">
      <c r="A84" s="1355" t="s">
        <v>1428</v>
      </c>
      <c r="B84" s="1350" t="s">
        <v>1429</v>
      </c>
      <c r="C84" s="1350" t="s">
        <v>1427</v>
      </c>
      <c r="D84" s="1350" t="s">
        <v>887</v>
      </c>
      <c r="E84" s="1350" t="s">
        <v>1430</v>
      </c>
      <c r="F84" s="1354">
        <v>6</v>
      </c>
    </row>
  </sheetData>
  <mergeCells count="60">
    <mergeCell ref="A71:F71"/>
    <mergeCell ref="I13:M13"/>
    <mergeCell ref="N13:R13"/>
    <mergeCell ref="S13:W13"/>
    <mergeCell ref="A21:B22"/>
    <mergeCell ref="F21:H22"/>
    <mergeCell ref="A23:B25"/>
    <mergeCell ref="F23:H25"/>
    <mergeCell ref="A18:B20"/>
    <mergeCell ref="F18:H20"/>
    <mergeCell ref="E12:H13"/>
    <mergeCell ref="A14:B14"/>
    <mergeCell ref="F14:H14"/>
    <mergeCell ref="A15:B17"/>
    <mergeCell ref="F15:H17"/>
    <mergeCell ref="A26:C26"/>
    <mergeCell ref="J10:J11"/>
    <mergeCell ref="B8:D8"/>
    <mergeCell ref="B6:D6"/>
    <mergeCell ref="A10:B10"/>
    <mergeCell ref="B2:D2"/>
    <mergeCell ref="B3:D3"/>
    <mergeCell ref="B4:D4"/>
    <mergeCell ref="C10:H10"/>
    <mergeCell ref="F26:H26"/>
    <mergeCell ref="A27:B29"/>
    <mergeCell ref="F27:H29"/>
    <mergeCell ref="A30:B32"/>
    <mergeCell ref="F30:H32"/>
    <mergeCell ref="A33:B33"/>
    <mergeCell ref="F33:H33"/>
    <mergeCell ref="A34:B34"/>
    <mergeCell ref="F34:H34"/>
    <mergeCell ref="A35:B36"/>
    <mergeCell ref="F35:H36"/>
    <mergeCell ref="A37:B39"/>
    <mergeCell ref="F37:H37"/>
    <mergeCell ref="F38:H39"/>
    <mergeCell ref="A40:B42"/>
    <mergeCell ref="F40:H40"/>
    <mergeCell ref="F41:H41"/>
    <mergeCell ref="F42:H42"/>
    <mergeCell ref="A43:C43"/>
    <mergeCell ref="F43:H43"/>
    <mergeCell ref="A44:C44"/>
    <mergeCell ref="F44:H44"/>
    <mergeCell ref="A45:B48"/>
    <mergeCell ref="F45:H45"/>
    <mergeCell ref="F46:H46"/>
    <mergeCell ref="F47:H47"/>
    <mergeCell ref="F48:H48"/>
    <mergeCell ref="A54:B54"/>
    <mergeCell ref="F54:H54"/>
    <mergeCell ref="A49:B50"/>
    <mergeCell ref="F49:H49"/>
    <mergeCell ref="F50:H50"/>
    <mergeCell ref="A51:B53"/>
    <mergeCell ref="F51:H51"/>
    <mergeCell ref="F52:H52"/>
    <mergeCell ref="F53:H53"/>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3" location="SOMMAIRE!A1" display="Retour sommaire"/>
    <hyperlink ref="J5" location="SYNTHESE!A1" display="Retour synthèse"/>
  </hyperlink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DCFED"/>
  </sheetPr>
  <dimension ref="A1:W86"/>
  <sheetViews>
    <sheetView topLeftCell="A46" workbookViewId="0">
      <selection activeCell="C10" sqref="C10:H10"/>
    </sheetView>
  </sheetViews>
  <sheetFormatPr baseColWidth="10" defaultRowHeight="15"/>
  <cols>
    <col min="1" max="1" width="18.7109375" customWidth="1"/>
    <col min="3" max="3" width="45.85546875" customWidth="1"/>
    <col min="7" max="7" width="17.42578125" customWidth="1"/>
    <col min="8" max="8" width="22.85546875" customWidth="1"/>
  </cols>
  <sheetData>
    <row r="1" spans="1:23" ht="15.75" thickBot="1"/>
    <row r="2" spans="1:23" ht="15.75" thickBot="1">
      <c r="A2" s="328" t="s">
        <v>0</v>
      </c>
      <c r="B2" s="1807" t="s">
        <v>679</v>
      </c>
      <c r="C2" s="1776"/>
      <c r="D2" s="1777"/>
      <c r="E2" s="329"/>
      <c r="F2" s="329"/>
      <c r="G2" s="330" t="s">
        <v>462</v>
      </c>
      <c r="H2" s="408" t="s">
        <v>14</v>
      </c>
    </row>
    <row r="3" spans="1:23" ht="15.75" thickBot="1">
      <c r="A3" s="331" t="s">
        <v>344</v>
      </c>
      <c r="B3" s="1808" t="s">
        <v>680</v>
      </c>
      <c r="C3" s="1776"/>
      <c r="D3" s="1777"/>
      <c r="E3" s="329"/>
      <c r="F3" s="329"/>
      <c r="G3" s="332" t="s">
        <v>10</v>
      </c>
      <c r="H3" s="408" t="s">
        <v>16</v>
      </c>
    </row>
    <row r="4" spans="1:23" ht="15.75" thickBot="1">
      <c r="A4" s="332" t="s">
        <v>3</v>
      </c>
      <c r="B4" s="1810" t="s">
        <v>686</v>
      </c>
      <c r="C4" s="1910"/>
      <c r="D4" s="1911"/>
      <c r="E4" s="333"/>
      <c r="F4" s="329"/>
      <c r="G4" s="334" t="s">
        <v>26</v>
      </c>
      <c r="H4" s="392"/>
    </row>
    <row r="5" spans="1:23" ht="15.75" thickBot="1">
      <c r="A5" s="329"/>
      <c r="B5" s="329"/>
      <c r="C5" s="329"/>
      <c r="D5" s="329"/>
      <c r="E5" s="329"/>
      <c r="F5" s="329"/>
      <c r="G5" s="329"/>
      <c r="H5" s="329"/>
    </row>
    <row r="6" spans="1:23" ht="86.25" customHeight="1" thickBot="1">
      <c r="A6" s="328" t="s">
        <v>465</v>
      </c>
      <c r="B6" s="1909" t="s">
        <v>1569</v>
      </c>
      <c r="C6" s="1811"/>
      <c r="D6" s="1812"/>
      <c r="E6" s="329"/>
      <c r="F6" s="329"/>
      <c r="G6" s="335" t="s">
        <v>466</v>
      </c>
      <c r="H6" s="336" t="s">
        <v>682</v>
      </c>
    </row>
    <row r="7" spans="1:23" ht="15.75" thickBot="1">
      <c r="B7" s="329"/>
      <c r="C7" s="329"/>
      <c r="D7" s="329"/>
      <c r="E7" s="329"/>
      <c r="F7" s="329"/>
      <c r="G7" s="337"/>
      <c r="H7" s="329"/>
    </row>
    <row r="8" spans="1:23" ht="53.25" customHeight="1" thickBot="1">
      <c r="A8" s="338" t="s">
        <v>7</v>
      </c>
      <c r="B8" s="1809" t="s">
        <v>683</v>
      </c>
      <c r="C8" s="1776"/>
      <c r="D8" s="1777"/>
      <c r="E8" s="333"/>
      <c r="F8" s="339"/>
      <c r="G8" s="338" t="s">
        <v>469</v>
      </c>
      <c r="H8" s="123" t="s">
        <v>759</v>
      </c>
    </row>
    <row r="9" spans="1:23">
      <c r="B9" s="329"/>
      <c r="C9" s="329"/>
      <c r="D9" s="329"/>
      <c r="E9" s="329"/>
      <c r="F9" s="329"/>
      <c r="G9" s="337"/>
      <c r="H9" s="110" t="s">
        <v>1168</v>
      </c>
    </row>
    <row r="10" spans="1:23" ht="199.5" customHeight="1">
      <c r="A10" s="1813" t="s">
        <v>471</v>
      </c>
      <c r="B10" s="1772"/>
      <c r="C10" s="1806" t="s">
        <v>684</v>
      </c>
      <c r="D10" s="1806"/>
      <c r="E10" s="1806"/>
      <c r="F10" s="1806"/>
      <c r="G10" s="1806"/>
      <c r="H10" s="1806"/>
    </row>
    <row r="11" spans="1:23">
      <c r="A11" s="343"/>
      <c r="B11" s="333"/>
      <c r="C11" s="333"/>
      <c r="D11" s="333"/>
      <c r="E11" s="333"/>
      <c r="F11" s="339"/>
      <c r="G11" s="342"/>
      <c r="H11" s="342"/>
    </row>
    <row r="12" spans="1:23">
      <c r="A12" s="343"/>
      <c r="B12" s="333"/>
      <c r="C12" s="333"/>
      <c r="D12" s="333"/>
      <c r="E12" s="1814" t="s">
        <v>473</v>
      </c>
      <c r="F12" s="1772"/>
      <c r="G12" s="1772"/>
      <c r="H12" s="1772"/>
    </row>
    <row r="13" spans="1:23">
      <c r="A13" s="329"/>
      <c r="B13" s="329"/>
      <c r="C13" s="329"/>
      <c r="D13" s="329"/>
      <c r="E13" s="1780"/>
      <c r="F13" s="1780"/>
      <c r="G13" s="1780"/>
      <c r="H13" s="1780"/>
      <c r="I13" s="1817">
        <v>2025</v>
      </c>
      <c r="J13" s="1762"/>
      <c r="K13" s="1762"/>
      <c r="L13" s="1762"/>
      <c r="M13" s="1764"/>
      <c r="N13" s="1817">
        <v>2026</v>
      </c>
      <c r="O13" s="1762"/>
      <c r="P13" s="1762"/>
      <c r="Q13" s="1762"/>
      <c r="R13" s="1764"/>
      <c r="S13" s="1817">
        <v>2027</v>
      </c>
      <c r="T13" s="1762"/>
      <c r="U13" s="1762"/>
      <c r="V13" s="1762"/>
      <c r="W13" s="1764"/>
    </row>
    <row r="14" spans="1:23" ht="45.75" thickBot="1">
      <c r="A14" s="1816" t="s">
        <v>5</v>
      </c>
      <c r="B14" s="1792"/>
      <c r="C14" s="344" t="s">
        <v>1</v>
      </c>
      <c r="D14" s="344" t="s">
        <v>260</v>
      </c>
      <c r="E14" s="345" t="s">
        <v>474</v>
      </c>
      <c r="F14" s="1815" t="s">
        <v>6</v>
      </c>
      <c r="G14" s="1762"/>
      <c r="H14" s="1764"/>
      <c r="I14" s="643" t="s">
        <v>474</v>
      </c>
      <c r="J14" s="644" t="s">
        <v>944</v>
      </c>
      <c r="K14" s="645" t="s">
        <v>945</v>
      </c>
      <c r="L14" s="644" t="s">
        <v>946</v>
      </c>
      <c r="M14" s="646" t="s">
        <v>947</v>
      </c>
      <c r="N14" s="643" t="s">
        <v>474</v>
      </c>
      <c r="O14" s="644" t="s">
        <v>944</v>
      </c>
      <c r="P14" s="645" t="s">
        <v>945</v>
      </c>
      <c r="Q14" s="644" t="s">
        <v>946</v>
      </c>
      <c r="R14" s="646" t="s">
        <v>947</v>
      </c>
      <c r="S14" s="643" t="s">
        <v>474</v>
      </c>
      <c r="T14" s="644" t="s">
        <v>944</v>
      </c>
      <c r="U14" s="645" t="s">
        <v>945</v>
      </c>
      <c r="V14" s="644" t="s">
        <v>946</v>
      </c>
      <c r="W14" s="646" t="s">
        <v>947</v>
      </c>
    </row>
    <row r="15" spans="1:23" ht="15" customHeight="1" thickTop="1" thickBot="1">
      <c r="A15" s="1804" t="s">
        <v>17</v>
      </c>
      <c r="B15" s="1771"/>
      <c r="C15" s="346" t="s">
        <v>59</v>
      </c>
      <c r="D15" s="347" t="s">
        <v>251</v>
      </c>
      <c r="E15" s="1232"/>
      <c r="F15" s="1926" t="s">
        <v>1248</v>
      </c>
      <c r="G15" s="1927"/>
      <c r="H15" s="1928"/>
      <c r="I15" s="650"/>
      <c r="J15" s="648"/>
      <c r="K15" s="648"/>
      <c r="L15" s="648"/>
      <c r="M15" s="649"/>
      <c r="N15" s="650"/>
      <c r="O15" s="648"/>
      <c r="P15" s="648"/>
      <c r="Q15" s="648"/>
      <c r="R15" s="649"/>
      <c r="S15" s="650"/>
      <c r="T15" s="648"/>
      <c r="U15" s="648"/>
      <c r="V15" s="648"/>
      <c r="W15" s="651"/>
    </row>
    <row r="16" spans="1:23" ht="15.75" thickBot="1">
      <c r="A16" s="1772"/>
      <c r="B16" s="1772"/>
      <c r="C16" s="349" t="s">
        <v>18</v>
      </c>
      <c r="D16" s="350" t="s">
        <v>168</v>
      </c>
      <c r="E16" s="1233"/>
      <c r="F16" s="1932"/>
      <c r="G16" s="1933"/>
      <c r="H16" s="1934"/>
      <c r="I16" s="653"/>
      <c r="J16" s="632"/>
      <c r="K16" s="632"/>
      <c r="L16" s="632"/>
      <c r="M16" s="632"/>
      <c r="N16" s="653"/>
      <c r="O16" s="632"/>
      <c r="P16" s="632"/>
      <c r="Q16" s="632"/>
      <c r="R16" s="632"/>
      <c r="S16" s="653"/>
      <c r="T16" s="632"/>
      <c r="U16" s="632"/>
      <c r="V16" s="632"/>
      <c r="W16" s="654"/>
    </row>
    <row r="17" spans="1:23" ht="15.75" thickBot="1">
      <c r="A17" s="1780"/>
      <c r="B17" s="1780"/>
      <c r="C17" s="352" t="s">
        <v>19</v>
      </c>
      <c r="D17" s="353" t="s">
        <v>233</v>
      </c>
      <c r="E17" s="1233"/>
      <c r="F17" s="1929"/>
      <c r="G17" s="1930"/>
      <c r="H17" s="1931"/>
      <c r="I17" s="656"/>
      <c r="J17" s="632"/>
      <c r="K17" s="632"/>
      <c r="L17" s="632"/>
      <c r="M17" s="632"/>
      <c r="N17" s="656"/>
      <c r="O17" s="632"/>
      <c r="P17" s="632"/>
      <c r="Q17" s="632"/>
      <c r="R17" s="632"/>
      <c r="S17" s="656"/>
      <c r="T17" s="632"/>
      <c r="U17" s="632"/>
      <c r="V17" s="632"/>
      <c r="W17" s="654"/>
    </row>
    <row r="18" spans="1:23" ht="15" customHeight="1" thickBot="1">
      <c r="A18" s="1804" t="s">
        <v>20</v>
      </c>
      <c r="B18" s="1771"/>
      <c r="C18" s="346" t="s">
        <v>54</v>
      </c>
      <c r="D18" s="353" t="s">
        <v>261</v>
      </c>
      <c r="E18" s="1233"/>
      <c r="F18" s="1903" t="s">
        <v>1247</v>
      </c>
      <c r="G18" s="1904"/>
      <c r="H18" s="1905"/>
      <c r="I18" s="656"/>
      <c r="J18" s="632"/>
      <c r="K18" s="632"/>
      <c r="L18" s="632"/>
      <c r="M18" s="632"/>
      <c r="N18" s="656"/>
      <c r="O18" s="632"/>
      <c r="P18" s="632"/>
      <c r="Q18" s="632"/>
      <c r="R18" s="632"/>
      <c r="S18" s="656"/>
      <c r="T18" s="632"/>
      <c r="U18" s="632"/>
      <c r="V18" s="632"/>
      <c r="W18" s="654"/>
    </row>
    <row r="19" spans="1:23" ht="15.75" thickBot="1">
      <c r="A19" s="1772"/>
      <c r="B19" s="1772"/>
      <c r="C19" s="355" t="s">
        <v>21</v>
      </c>
      <c r="D19" s="353" t="s">
        <v>234</v>
      </c>
      <c r="E19" s="1233"/>
      <c r="F19" s="1914"/>
      <c r="G19" s="1915"/>
      <c r="H19" s="1916"/>
      <c r="I19" s="656"/>
      <c r="J19" s="632"/>
      <c r="K19" s="632"/>
      <c r="L19" s="632"/>
      <c r="M19" s="632"/>
      <c r="N19" s="656"/>
      <c r="O19" s="632"/>
      <c r="P19" s="632"/>
      <c r="Q19" s="632"/>
      <c r="R19" s="632"/>
      <c r="S19" s="656"/>
      <c r="T19" s="632"/>
      <c r="U19" s="632"/>
      <c r="V19" s="632"/>
      <c r="W19" s="654"/>
    </row>
    <row r="20" spans="1:23" ht="15.75" thickBot="1">
      <c r="A20" s="1772"/>
      <c r="B20" s="1772"/>
      <c r="C20" s="352" t="s">
        <v>22</v>
      </c>
      <c r="D20" s="353" t="s">
        <v>235</v>
      </c>
      <c r="E20" s="1234" t="s">
        <v>554</v>
      </c>
      <c r="F20" s="1906"/>
      <c r="G20" s="1907"/>
      <c r="H20" s="1908"/>
      <c r="I20" s="736" t="s">
        <v>554</v>
      </c>
      <c r="J20" s="737">
        <v>2</v>
      </c>
      <c r="K20" s="737">
        <v>1</v>
      </c>
      <c r="L20" s="737">
        <v>160</v>
      </c>
      <c r="M20" s="737">
        <f>L20*306*5</f>
        <v>244800</v>
      </c>
      <c r="N20" s="738" t="s">
        <v>554</v>
      </c>
      <c r="O20" s="737">
        <v>2</v>
      </c>
      <c r="P20" s="737">
        <v>1</v>
      </c>
      <c r="Q20" s="737">
        <v>160</v>
      </c>
      <c r="R20" s="737">
        <f>Q20*5*306</f>
        <v>244800</v>
      </c>
      <c r="S20" s="738" t="s">
        <v>554</v>
      </c>
      <c r="T20" s="737">
        <v>2</v>
      </c>
      <c r="U20" s="737">
        <v>1</v>
      </c>
      <c r="V20" s="737">
        <v>160</v>
      </c>
      <c r="W20" s="737">
        <f>V20*5*306</f>
        <v>244800</v>
      </c>
    </row>
    <row r="21" spans="1:23" ht="15" customHeight="1" thickBot="1">
      <c r="A21" s="1804" t="s">
        <v>23</v>
      </c>
      <c r="B21" s="1771"/>
      <c r="C21" s="356" t="s">
        <v>69</v>
      </c>
      <c r="D21" s="353" t="s">
        <v>267</v>
      </c>
      <c r="E21" s="1233"/>
      <c r="F21" s="1926" t="s">
        <v>1249</v>
      </c>
      <c r="G21" s="1927"/>
      <c r="H21" s="1928"/>
      <c r="I21" s="656"/>
      <c r="J21" s="632"/>
      <c r="K21" s="632"/>
      <c r="L21" s="632"/>
      <c r="M21" s="632"/>
      <c r="N21" s="656"/>
      <c r="O21" s="632"/>
      <c r="P21" s="632"/>
      <c r="Q21" s="632"/>
      <c r="R21" s="632"/>
      <c r="S21" s="656"/>
      <c r="T21" s="632"/>
      <c r="U21" s="632"/>
      <c r="V21" s="632"/>
      <c r="W21" s="654"/>
    </row>
    <row r="22" spans="1:23" ht="15.75" thickBot="1">
      <c r="A22" s="1780"/>
      <c r="B22" s="1780"/>
      <c r="C22" s="357" t="s">
        <v>24</v>
      </c>
      <c r="D22" s="358" t="s">
        <v>236</v>
      </c>
      <c r="E22" s="1233"/>
      <c r="F22" s="1929"/>
      <c r="G22" s="1930"/>
      <c r="H22" s="1931"/>
      <c r="I22" s="656"/>
      <c r="J22" s="632"/>
      <c r="K22" s="632"/>
      <c r="L22" s="632"/>
      <c r="M22" s="632"/>
      <c r="N22" s="656"/>
      <c r="O22" s="632"/>
      <c r="P22" s="632"/>
      <c r="Q22" s="632"/>
      <c r="R22" s="632"/>
      <c r="S22" s="656"/>
      <c r="T22" s="632"/>
      <c r="U22" s="632"/>
      <c r="V22" s="632"/>
      <c r="W22" s="654"/>
    </row>
    <row r="23" spans="1:23" ht="15.75" customHeight="1" thickBot="1">
      <c r="A23" s="1801" t="s">
        <v>478</v>
      </c>
      <c r="B23" s="1792"/>
      <c r="C23" s="359" t="s">
        <v>360</v>
      </c>
      <c r="D23" s="358" t="s">
        <v>265</v>
      </c>
      <c r="E23" s="1233"/>
      <c r="F23" s="1926" t="s">
        <v>1249</v>
      </c>
      <c r="G23" s="1927"/>
      <c r="H23" s="1928"/>
      <c r="I23" s="656"/>
      <c r="J23" s="632"/>
      <c r="K23" s="632"/>
      <c r="L23" s="632"/>
      <c r="M23" s="632"/>
      <c r="N23" s="656"/>
      <c r="O23" s="632"/>
      <c r="P23" s="632"/>
      <c r="Q23" s="632"/>
      <c r="R23" s="632"/>
      <c r="S23" s="656"/>
      <c r="T23" s="632"/>
      <c r="U23" s="632"/>
      <c r="V23" s="632"/>
      <c r="W23" s="654"/>
    </row>
    <row r="24" spans="1:23" ht="16.5" thickBot="1">
      <c r="A24" s="1779"/>
      <c r="B24" s="1799"/>
      <c r="C24" s="360" t="s">
        <v>361</v>
      </c>
      <c r="D24" s="358" t="s">
        <v>362</v>
      </c>
      <c r="E24" s="1233"/>
      <c r="F24" s="1932"/>
      <c r="G24" s="1933"/>
      <c r="H24" s="1934"/>
      <c r="I24" s="656"/>
      <c r="J24" s="632"/>
      <c r="K24" s="632"/>
      <c r="L24" s="632"/>
      <c r="M24" s="632"/>
      <c r="N24" s="656"/>
      <c r="O24" s="632"/>
      <c r="P24" s="632"/>
      <c r="Q24" s="632"/>
      <c r="R24" s="632"/>
      <c r="S24" s="656"/>
      <c r="T24" s="632"/>
      <c r="U24" s="632"/>
      <c r="V24" s="632"/>
      <c r="W24" s="654"/>
    </row>
    <row r="25" spans="1:23" ht="16.5" thickBot="1">
      <c r="A25" s="1779"/>
      <c r="B25" s="1799"/>
      <c r="C25" s="361" t="s">
        <v>479</v>
      </c>
      <c r="D25" s="358" t="s">
        <v>480</v>
      </c>
      <c r="E25" s="1233"/>
      <c r="F25" s="1929"/>
      <c r="G25" s="1930"/>
      <c r="H25" s="1931"/>
      <c r="I25" s="656"/>
      <c r="J25" s="632"/>
      <c r="K25" s="632"/>
      <c r="L25" s="632"/>
      <c r="M25" s="632"/>
      <c r="N25" s="656"/>
      <c r="O25" s="632"/>
      <c r="P25" s="632"/>
      <c r="Q25" s="632"/>
      <c r="R25" s="632"/>
      <c r="S25" s="656"/>
      <c r="T25" s="632"/>
      <c r="U25" s="632"/>
      <c r="V25" s="632"/>
      <c r="W25" s="654"/>
    </row>
    <row r="26" spans="1:23" ht="25.5" customHeight="1" thickTop="1" thickBot="1">
      <c r="A26" s="1802" t="s">
        <v>25</v>
      </c>
      <c r="B26" s="1776"/>
      <c r="C26" s="1777"/>
      <c r="D26" s="362" t="s">
        <v>270</v>
      </c>
      <c r="E26" s="1704" t="s">
        <v>554</v>
      </c>
      <c r="F26" s="1935" t="s">
        <v>1663</v>
      </c>
      <c r="G26" s="1936"/>
      <c r="H26" s="1937"/>
      <c r="I26" s="656"/>
      <c r="J26" s="632"/>
      <c r="K26" s="632"/>
      <c r="L26" s="632"/>
      <c r="M26" s="632"/>
      <c r="N26" s="656"/>
      <c r="O26" s="632"/>
      <c r="P26" s="632"/>
      <c r="Q26" s="632"/>
      <c r="R26" s="632"/>
      <c r="S26" s="656"/>
      <c r="T26" s="632"/>
      <c r="U26" s="632"/>
      <c r="V26" s="632"/>
      <c r="W26" s="654"/>
    </row>
    <row r="27" spans="1:23" ht="15.75" customHeight="1" thickBot="1">
      <c r="A27" s="1803" t="s">
        <v>153</v>
      </c>
      <c r="B27" s="1788"/>
      <c r="C27" s="363" t="s">
        <v>152</v>
      </c>
      <c r="D27" s="364" t="s">
        <v>268</v>
      </c>
      <c r="E27" s="1233"/>
      <c r="F27" s="1926" t="s">
        <v>1248</v>
      </c>
      <c r="G27" s="1927"/>
      <c r="H27" s="1928"/>
      <c r="I27" s="656"/>
      <c r="J27" s="632"/>
      <c r="K27" s="632"/>
      <c r="L27" s="632"/>
      <c r="M27" s="632"/>
      <c r="N27" s="656"/>
      <c r="O27" s="632"/>
      <c r="P27" s="632"/>
      <c r="Q27" s="632"/>
      <c r="R27" s="632"/>
      <c r="S27" s="656"/>
      <c r="T27" s="632"/>
      <c r="U27" s="632"/>
      <c r="V27" s="632"/>
      <c r="W27" s="654"/>
    </row>
    <row r="28" spans="1:23" ht="16.5" thickBot="1">
      <c r="A28" s="1779"/>
      <c r="B28" s="1788"/>
      <c r="C28" s="365" t="s">
        <v>154</v>
      </c>
      <c r="D28" s="364" t="s">
        <v>392</v>
      </c>
      <c r="E28" s="1233"/>
      <c r="F28" s="1932"/>
      <c r="G28" s="1933"/>
      <c r="H28" s="1934"/>
      <c r="I28" s="656"/>
      <c r="J28" s="632"/>
      <c r="K28" s="632"/>
      <c r="L28" s="632"/>
      <c r="M28" s="632"/>
      <c r="N28" s="656"/>
      <c r="O28" s="632"/>
      <c r="P28" s="632"/>
      <c r="Q28" s="632"/>
      <c r="R28" s="632"/>
      <c r="S28" s="656"/>
      <c r="T28" s="632"/>
      <c r="U28" s="632"/>
      <c r="V28" s="632"/>
      <c r="W28" s="654"/>
    </row>
    <row r="29" spans="1:23" ht="16.5" thickBot="1">
      <c r="A29" s="1767"/>
      <c r="B29" s="1768"/>
      <c r="C29" s="366" t="s">
        <v>400</v>
      </c>
      <c r="D29" s="364" t="s">
        <v>393</v>
      </c>
      <c r="E29" s="1233"/>
      <c r="F29" s="1929"/>
      <c r="G29" s="1930"/>
      <c r="H29" s="1931"/>
      <c r="I29" s="656"/>
      <c r="J29" s="632"/>
      <c r="K29" s="632"/>
      <c r="L29" s="632"/>
      <c r="M29" s="632"/>
      <c r="N29" s="656"/>
      <c r="O29" s="632"/>
      <c r="P29" s="632"/>
      <c r="Q29" s="632"/>
      <c r="R29" s="632"/>
      <c r="S29" s="656"/>
      <c r="T29" s="632"/>
      <c r="U29" s="632"/>
      <c r="V29" s="632"/>
      <c r="W29" s="654"/>
    </row>
    <row r="30" spans="1:23" ht="15.75" customHeight="1" thickBot="1">
      <c r="A30" s="1797" t="s">
        <v>153</v>
      </c>
      <c r="B30" s="1766"/>
      <c r="C30" s="367" t="s">
        <v>155</v>
      </c>
      <c r="D30" s="364" t="s">
        <v>266</v>
      </c>
      <c r="E30" s="1233"/>
      <c r="F30" s="1926" t="s">
        <v>1248</v>
      </c>
      <c r="G30" s="1927"/>
      <c r="H30" s="1928"/>
      <c r="I30" s="656"/>
      <c r="J30" s="632"/>
      <c r="K30" s="632"/>
      <c r="L30" s="632"/>
      <c r="M30" s="632"/>
      <c r="N30" s="656"/>
      <c r="O30" s="632"/>
      <c r="P30" s="632"/>
      <c r="Q30" s="632"/>
      <c r="R30" s="632"/>
      <c r="S30" s="656"/>
      <c r="T30" s="632"/>
      <c r="U30" s="632"/>
      <c r="V30" s="632"/>
      <c r="W30" s="654"/>
    </row>
    <row r="31" spans="1:23" ht="16.5" thickBot="1">
      <c r="A31" s="1779"/>
      <c r="B31" s="1788"/>
      <c r="C31" s="365" t="s">
        <v>156</v>
      </c>
      <c r="D31" s="364" t="s">
        <v>394</v>
      </c>
      <c r="E31" s="1233"/>
      <c r="F31" s="1932"/>
      <c r="G31" s="1933"/>
      <c r="H31" s="1934"/>
      <c r="I31" s="656"/>
      <c r="J31" s="632"/>
      <c r="K31" s="632"/>
      <c r="L31" s="632"/>
      <c r="M31" s="632"/>
      <c r="N31" s="656"/>
      <c r="O31" s="632"/>
      <c r="P31" s="632"/>
      <c r="Q31" s="632"/>
      <c r="R31" s="632"/>
      <c r="S31" s="656"/>
      <c r="T31" s="632"/>
      <c r="U31" s="632"/>
      <c r="V31" s="632"/>
      <c r="W31" s="654"/>
    </row>
    <row r="32" spans="1:23" ht="16.5" thickBot="1">
      <c r="A32" s="1767"/>
      <c r="B32" s="1768"/>
      <c r="C32" s="366" t="s">
        <v>399</v>
      </c>
      <c r="D32" s="364" t="s">
        <v>395</v>
      </c>
      <c r="E32" s="1233"/>
      <c r="F32" s="1929"/>
      <c r="G32" s="1930"/>
      <c r="H32" s="1931"/>
      <c r="I32" s="656"/>
      <c r="J32" s="632"/>
      <c r="K32" s="632"/>
      <c r="L32" s="632"/>
      <c r="M32" s="632"/>
      <c r="N32" s="656"/>
      <c r="O32" s="632"/>
      <c r="P32" s="632"/>
      <c r="Q32" s="632"/>
      <c r="R32" s="632"/>
      <c r="S32" s="656"/>
      <c r="T32" s="632"/>
      <c r="U32" s="632"/>
      <c r="V32" s="632"/>
      <c r="W32" s="654"/>
    </row>
    <row r="33" spans="1:23" ht="25.5" customHeight="1" thickBot="1">
      <c r="A33" s="1797" t="s">
        <v>482</v>
      </c>
      <c r="B33" s="1766"/>
      <c r="C33" s="367" t="s">
        <v>365</v>
      </c>
      <c r="D33" s="364" t="s">
        <v>252</v>
      </c>
      <c r="E33" s="1233"/>
      <c r="F33" s="1917" t="s">
        <v>483</v>
      </c>
      <c r="G33" s="1918"/>
      <c r="H33" s="1919"/>
      <c r="I33" s="656"/>
      <c r="J33" s="632"/>
      <c r="K33" s="632"/>
      <c r="L33" s="632"/>
      <c r="M33" s="632"/>
      <c r="N33" s="656"/>
      <c r="O33" s="632"/>
      <c r="P33" s="632"/>
      <c r="Q33" s="632"/>
      <c r="R33" s="632"/>
      <c r="S33" s="656"/>
      <c r="T33" s="632"/>
      <c r="U33" s="632"/>
      <c r="V33" s="632"/>
      <c r="W33" s="654"/>
    </row>
    <row r="34" spans="1:23" ht="16.5" thickBot="1">
      <c r="A34" s="1797" t="s">
        <v>484</v>
      </c>
      <c r="B34" s="1766"/>
      <c r="C34" s="367" t="s">
        <v>485</v>
      </c>
      <c r="D34" s="364" t="s">
        <v>264</v>
      </c>
      <c r="E34" s="1234" t="s">
        <v>554</v>
      </c>
      <c r="F34" s="1920"/>
      <c r="G34" s="1921"/>
      <c r="H34" s="1922"/>
      <c r="I34" s="738" t="s">
        <v>554</v>
      </c>
      <c r="J34" s="737">
        <v>2</v>
      </c>
      <c r="K34" s="737">
        <v>1</v>
      </c>
      <c r="L34" s="737">
        <v>60</v>
      </c>
      <c r="M34" s="737">
        <f>L34*527*5</f>
        <v>158100</v>
      </c>
      <c r="N34" s="739" t="s">
        <v>554</v>
      </c>
      <c r="O34" s="737">
        <v>2</v>
      </c>
      <c r="P34" s="737">
        <v>1</v>
      </c>
      <c r="Q34" s="737">
        <v>60</v>
      </c>
      <c r="R34" s="737">
        <f>Q34*527*5</f>
        <v>158100</v>
      </c>
      <c r="S34" s="739" t="s">
        <v>554</v>
      </c>
      <c r="T34" s="737">
        <v>2</v>
      </c>
      <c r="U34" s="737">
        <v>1</v>
      </c>
      <c r="V34" s="737">
        <v>60</v>
      </c>
      <c r="W34" s="737">
        <f>V34*5*527</f>
        <v>158100</v>
      </c>
    </row>
    <row r="35" spans="1:23" ht="15.75" customHeight="1" thickBot="1">
      <c r="A35" s="1795" t="s">
        <v>486</v>
      </c>
      <c r="B35" s="1766"/>
      <c r="C35" s="368" t="s">
        <v>43</v>
      </c>
      <c r="D35" s="369" t="s">
        <v>256</v>
      </c>
      <c r="E35" s="1233"/>
      <c r="F35" s="1926" t="s">
        <v>1250</v>
      </c>
      <c r="G35" s="1927"/>
      <c r="H35" s="1928"/>
      <c r="I35" s="656"/>
      <c r="J35" s="632"/>
      <c r="K35" s="632"/>
      <c r="L35" s="632"/>
      <c r="M35" s="632"/>
      <c r="N35" s="656"/>
      <c r="O35" s="632"/>
      <c r="P35" s="632"/>
      <c r="Q35" s="632"/>
      <c r="R35" s="632"/>
      <c r="S35" s="656"/>
      <c r="T35" s="632"/>
      <c r="U35" s="632"/>
      <c r="V35" s="632"/>
      <c r="W35" s="654"/>
    </row>
    <row r="36" spans="1:23" ht="16.5" thickBot="1">
      <c r="A36" s="1767"/>
      <c r="B36" s="1768"/>
      <c r="C36" s="370" t="s">
        <v>60</v>
      </c>
      <c r="D36" s="369" t="s">
        <v>257</v>
      </c>
      <c r="E36" s="1233"/>
      <c r="F36" s="1929"/>
      <c r="G36" s="1930"/>
      <c r="H36" s="1931"/>
      <c r="I36" s="656"/>
      <c r="J36" s="632"/>
      <c r="K36" s="632"/>
      <c r="L36" s="632"/>
      <c r="M36" s="632"/>
      <c r="N36" s="656"/>
      <c r="O36" s="632"/>
      <c r="P36" s="632"/>
      <c r="Q36" s="632"/>
      <c r="R36" s="632"/>
      <c r="S36" s="656"/>
      <c r="T36" s="632"/>
      <c r="U36" s="632"/>
      <c r="V36" s="632"/>
      <c r="W36" s="654"/>
    </row>
    <row r="37" spans="1:23" ht="30.75" thickBot="1">
      <c r="A37" s="1796" t="s">
        <v>33</v>
      </c>
      <c r="B37" s="1771"/>
      <c r="C37" s="371" t="s">
        <v>30</v>
      </c>
      <c r="D37" s="372" t="s">
        <v>170</v>
      </c>
      <c r="E37" s="1234" t="s">
        <v>554</v>
      </c>
      <c r="F37" s="1900" t="s">
        <v>1244</v>
      </c>
      <c r="G37" s="1901"/>
      <c r="H37" s="1902"/>
      <c r="I37" s="736" t="s">
        <v>554</v>
      </c>
      <c r="J37" s="740">
        <v>2</v>
      </c>
      <c r="K37" s="740">
        <v>1</v>
      </c>
      <c r="L37" s="740">
        <v>200</v>
      </c>
      <c r="M37" s="740">
        <f>L37*121*5</f>
        <v>121000</v>
      </c>
      <c r="N37" s="736" t="s">
        <v>554</v>
      </c>
      <c r="O37" s="740">
        <v>2</v>
      </c>
      <c r="P37" s="740">
        <v>1</v>
      </c>
      <c r="Q37" s="740">
        <v>200</v>
      </c>
      <c r="R37" s="740">
        <f>Q37*121*5</f>
        <v>121000</v>
      </c>
      <c r="S37" s="736" t="s">
        <v>554</v>
      </c>
      <c r="T37" s="740">
        <v>2</v>
      </c>
      <c r="U37" s="740">
        <v>1</v>
      </c>
      <c r="V37" s="740">
        <v>200</v>
      </c>
      <c r="W37" s="740">
        <f>V37*121*5</f>
        <v>121000</v>
      </c>
    </row>
    <row r="38" spans="1:23" ht="30.75" thickBot="1">
      <c r="A38" s="1779"/>
      <c r="B38" s="1772"/>
      <c r="C38" s="373" t="s">
        <v>31</v>
      </c>
      <c r="D38" s="372" t="s">
        <v>169</v>
      </c>
      <c r="E38" s="1234" t="s">
        <v>554</v>
      </c>
      <c r="F38" s="1903" t="s">
        <v>1245</v>
      </c>
      <c r="G38" s="1904"/>
      <c r="H38" s="1905"/>
      <c r="I38" s="736" t="s">
        <v>554</v>
      </c>
      <c r="J38" s="740">
        <v>2</v>
      </c>
      <c r="K38" s="740">
        <v>1</v>
      </c>
      <c r="L38" s="740">
        <v>200</v>
      </c>
      <c r="M38" s="740">
        <f>L38*177*5</f>
        <v>177000</v>
      </c>
      <c r="N38" s="736" t="s">
        <v>554</v>
      </c>
      <c r="O38" s="740">
        <v>2</v>
      </c>
      <c r="P38" s="740">
        <v>1</v>
      </c>
      <c r="Q38" s="740">
        <v>200</v>
      </c>
      <c r="R38" s="740">
        <f>Q38*177*5</f>
        <v>177000</v>
      </c>
      <c r="S38" s="736" t="s">
        <v>554</v>
      </c>
      <c r="T38" s="740">
        <v>2</v>
      </c>
      <c r="U38" s="740">
        <v>1</v>
      </c>
      <c r="V38" s="740">
        <v>200</v>
      </c>
      <c r="W38" s="740">
        <f>V38*177*5</f>
        <v>177000</v>
      </c>
    </row>
    <row r="39" spans="1:23" ht="30.75" thickBot="1">
      <c r="A39" s="1779"/>
      <c r="B39" s="1772"/>
      <c r="C39" s="374" t="s">
        <v>32</v>
      </c>
      <c r="D39" s="372" t="s">
        <v>250</v>
      </c>
      <c r="E39" s="1233"/>
      <c r="F39" s="1906"/>
      <c r="G39" s="1907"/>
      <c r="H39" s="1908"/>
      <c r="I39" s="656"/>
      <c r="J39" s="632"/>
      <c r="K39" s="632"/>
      <c r="L39" s="632"/>
      <c r="M39" s="632"/>
      <c r="N39" s="656"/>
      <c r="O39" s="632"/>
      <c r="P39" s="632"/>
      <c r="Q39" s="632"/>
      <c r="R39" s="632"/>
      <c r="S39" s="656"/>
      <c r="T39" s="632"/>
      <c r="U39" s="632"/>
      <c r="V39" s="632"/>
      <c r="W39" s="654"/>
    </row>
    <row r="40" spans="1:23" ht="51" customHeight="1" thickBot="1">
      <c r="A40" s="1786" t="s">
        <v>491</v>
      </c>
      <c r="B40" s="1787"/>
      <c r="C40" s="375" t="s">
        <v>144</v>
      </c>
      <c r="D40" s="376" t="s">
        <v>253</v>
      </c>
      <c r="E40" s="1234" t="s">
        <v>554</v>
      </c>
      <c r="F40" s="1900" t="s">
        <v>1246</v>
      </c>
      <c r="G40" s="1901"/>
      <c r="H40" s="1902"/>
      <c r="I40" s="736" t="s">
        <v>554</v>
      </c>
      <c r="J40" s="740">
        <v>2</v>
      </c>
      <c r="K40" s="740">
        <v>1</v>
      </c>
      <c r="L40" s="740">
        <v>5</v>
      </c>
      <c r="M40" s="740">
        <f>L40*150*5</f>
        <v>3750</v>
      </c>
      <c r="N40" s="736" t="s">
        <v>554</v>
      </c>
      <c r="O40" s="740">
        <v>2</v>
      </c>
      <c r="P40" s="740">
        <v>1</v>
      </c>
      <c r="Q40" s="740">
        <v>5</v>
      </c>
      <c r="R40" s="740">
        <f>Q40*150*5</f>
        <v>3750</v>
      </c>
      <c r="S40" s="736" t="s">
        <v>554</v>
      </c>
      <c r="T40" s="740">
        <v>2</v>
      </c>
      <c r="U40" s="740">
        <v>1</v>
      </c>
      <c r="V40" s="740">
        <v>5</v>
      </c>
      <c r="W40" s="740">
        <f>V40*150*5</f>
        <v>3750</v>
      </c>
    </row>
    <row r="41" spans="1:23" ht="51" customHeight="1" thickBot="1">
      <c r="A41" s="1772"/>
      <c r="B41" s="1788"/>
      <c r="C41" s="377" t="s">
        <v>145</v>
      </c>
      <c r="D41" s="376" t="s">
        <v>254</v>
      </c>
      <c r="E41" s="1234" t="s">
        <v>554</v>
      </c>
      <c r="F41" s="1900" t="s">
        <v>685</v>
      </c>
      <c r="G41" s="1901"/>
      <c r="H41" s="1902"/>
      <c r="I41" s="736" t="s">
        <v>554</v>
      </c>
      <c r="J41" s="740">
        <v>2</v>
      </c>
      <c r="K41" s="740">
        <v>1</v>
      </c>
      <c r="L41" s="740">
        <v>5</v>
      </c>
      <c r="M41" s="740">
        <f>L41*201*5</f>
        <v>5025</v>
      </c>
      <c r="N41" s="736" t="s">
        <v>554</v>
      </c>
      <c r="O41" s="740">
        <v>2</v>
      </c>
      <c r="P41" s="740">
        <v>1</v>
      </c>
      <c r="Q41" s="740">
        <v>5</v>
      </c>
      <c r="R41" s="740">
        <f>Q41*201*5</f>
        <v>5025</v>
      </c>
      <c r="S41" s="736" t="s">
        <v>554</v>
      </c>
      <c r="T41" s="740">
        <v>2</v>
      </c>
      <c r="U41" s="740">
        <v>1</v>
      </c>
      <c r="V41" s="740">
        <v>5</v>
      </c>
      <c r="W41" s="740">
        <f>V41*201*5</f>
        <v>5025</v>
      </c>
    </row>
    <row r="42" spans="1:23" ht="48" thickBot="1">
      <c r="A42" s="1789"/>
      <c r="B42" s="1790"/>
      <c r="C42" s="378" t="s">
        <v>128</v>
      </c>
      <c r="D42" s="376" t="s">
        <v>262</v>
      </c>
      <c r="E42" s="1233"/>
      <c r="F42" s="1920"/>
      <c r="G42" s="1921"/>
      <c r="H42" s="1922"/>
      <c r="I42" s="656"/>
      <c r="J42" s="632"/>
      <c r="K42" s="632"/>
      <c r="L42" s="632"/>
      <c r="M42" s="632"/>
      <c r="N42" s="656"/>
      <c r="O42" s="632"/>
      <c r="P42" s="632"/>
      <c r="Q42" s="632"/>
      <c r="R42" s="632"/>
      <c r="S42" s="656"/>
      <c r="T42" s="632"/>
      <c r="U42" s="632"/>
      <c r="V42" s="632"/>
      <c r="W42" s="654"/>
    </row>
    <row r="43" spans="1:23" ht="38.25" customHeight="1" thickBot="1">
      <c r="A43" s="1775" t="s">
        <v>493</v>
      </c>
      <c r="B43" s="1776"/>
      <c r="C43" s="1777"/>
      <c r="D43" s="379" t="s">
        <v>237</v>
      </c>
      <c r="E43" s="1233"/>
      <c r="F43" s="1917" t="s">
        <v>1251</v>
      </c>
      <c r="G43" s="1918"/>
      <c r="H43" s="1919"/>
      <c r="I43" s="656"/>
      <c r="J43" s="632"/>
      <c r="K43" s="632"/>
      <c r="L43" s="632"/>
      <c r="M43" s="632"/>
      <c r="N43" s="656"/>
      <c r="O43" s="632"/>
      <c r="P43" s="632"/>
      <c r="Q43" s="632"/>
      <c r="R43" s="632"/>
      <c r="S43" s="656"/>
      <c r="T43" s="632"/>
      <c r="U43" s="632"/>
      <c r="V43" s="632"/>
      <c r="W43" s="654"/>
    </row>
    <row r="44" spans="1:23" ht="15.75" thickBot="1">
      <c r="A44" s="1775" t="s">
        <v>133</v>
      </c>
      <c r="B44" s="1776"/>
      <c r="C44" s="1777"/>
      <c r="D44" s="379" t="s">
        <v>238</v>
      </c>
      <c r="E44" s="1235"/>
      <c r="F44" s="1917" t="s">
        <v>1252</v>
      </c>
      <c r="G44" s="1918"/>
      <c r="H44" s="1919"/>
      <c r="I44" s="656"/>
      <c r="J44" s="632"/>
      <c r="K44" s="632"/>
      <c r="L44" s="632"/>
      <c r="M44" s="632"/>
      <c r="N44" s="656"/>
      <c r="O44" s="632"/>
      <c r="P44" s="632"/>
      <c r="Q44" s="632"/>
      <c r="R44" s="632"/>
      <c r="S44" s="656"/>
      <c r="T44" s="632"/>
      <c r="U44" s="632"/>
      <c r="V44" s="632"/>
      <c r="W44" s="654"/>
    </row>
    <row r="45" spans="1:23" ht="51" customHeight="1" thickBot="1">
      <c r="A45" s="1778" t="s">
        <v>41</v>
      </c>
      <c r="B45" s="1772"/>
      <c r="C45" s="380" t="s">
        <v>50</v>
      </c>
      <c r="D45" s="381" t="s">
        <v>246</v>
      </c>
      <c r="E45" s="1235"/>
      <c r="F45" s="1782" t="s">
        <v>1253</v>
      </c>
      <c r="G45" s="1783"/>
      <c r="H45" s="1784"/>
      <c r="I45" s="656"/>
      <c r="J45" s="632"/>
      <c r="K45" s="632"/>
      <c r="L45" s="632"/>
      <c r="M45" s="632"/>
      <c r="N45" s="656"/>
      <c r="O45" s="632"/>
      <c r="P45" s="632"/>
      <c r="Q45" s="632"/>
      <c r="R45" s="632"/>
      <c r="S45" s="656"/>
      <c r="T45" s="632"/>
      <c r="U45" s="632"/>
      <c r="V45" s="632"/>
      <c r="W45" s="654"/>
    </row>
    <row r="46" spans="1:23" ht="63.75" customHeight="1" thickTop="1" thickBot="1">
      <c r="A46" s="1779"/>
      <c r="B46" s="1772"/>
      <c r="C46" s="382" t="s">
        <v>51</v>
      </c>
      <c r="D46" s="381" t="s">
        <v>247</v>
      </c>
      <c r="E46" s="1234" t="s">
        <v>554</v>
      </c>
      <c r="F46" s="1897" t="s">
        <v>1241</v>
      </c>
      <c r="G46" s="1898"/>
      <c r="H46" s="1899"/>
      <c r="I46" s="736" t="s">
        <v>554</v>
      </c>
      <c r="J46" s="740">
        <v>2</v>
      </c>
      <c r="K46" s="740">
        <v>1</v>
      </c>
      <c r="L46" s="740">
        <v>30</v>
      </c>
      <c r="M46" s="740">
        <f>L46*145*5</f>
        <v>21750</v>
      </c>
      <c r="N46" s="736" t="s">
        <v>554</v>
      </c>
      <c r="O46" s="740">
        <v>2</v>
      </c>
      <c r="P46" s="740">
        <v>1</v>
      </c>
      <c r="Q46" s="740">
        <v>30</v>
      </c>
      <c r="R46" s="740">
        <f>Q46*145*5</f>
        <v>21750</v>
      </c>
      <c r="S46" s="736" t="s">
        <v>554</v>
      </c>
      <c r="T46" s="740">
        <v>2</v>
      </c>
      <c r="U46" s="740">
        <v>1</v>
      </c>
      <c r="V46" s="740">
        <v>30</v>
      </c>
      <c r="W46" s="740">
        <f>V46*145*5</f>
        <v>21750</v>
      </c>
    </row>
    <row r="47" spans="1:23" ht="63.75" customHeight="1" thickBot="1">
      <c r="A47" s="1779"/>
      <c r="B47" s="1772"/>
      <c r="C47" s="382" t="s">
        <v>39</v>
      </c>
      <c r="D47" s="381" t="s">
        <v>248</v>
      </c>
      <c r="E47" s="1234" t="s">
        <v>554</v>
      </c>
      <c r="F47" s="1897" t="s">
        <v>1242</v>
      </c>
      <c r="G47" s="1898"/>
      <c r="H47" s="1899"/>
      <c r="I47" s="736" t="s">
        <v>554</v>
      </c>
      <c r="J47" s="740">
        <v>2</v>
      </c>
      <c r="K47" s="740">
        <v>1</v>
      </c>
      <c r="L47" s="740">
        <v>30</v>
      </c>
      <c r="M47" s="740">
        <f>L47*200*5</f>
        <v>30000</v>
      </c>
      <c r="N47" s="736" t="s">
        <v>554</v>
      </c>
      <c r="O47" s="740">
        <v>2</v>
      </c>
      <c r="P47" s="740">
        <v>1</v>
      </c>
      <c r="Q47" s="740">
        <v>30</v>
      </c>
      <c r="R47" s="740">
        <f>Q47*200*5</f>
        <v>30000</v>
      </c>
      <c r="S47" s="736" t="s">
        <v>554</v>
      </c>
      <c r="T47" s="740">
        <v>2</v>
      </c>
      <c r="U47" s="740">
        <v>1</v>
      </c>
      <c r="V47" s="740">
        <v>30</v>
      </c>
      <c r="W47" s="740">
        <f>V47*200*5</f>
        <v>30000</v>
      </c>
    </row>
    <row r="48" spans="1:23" ht="63.75" customHeight="1" thickBot="1">
      <c r="A48" s="1767"/>
      <c r="B48" s="1780"/>
      <c r="C48" s="383" t="s">
        <v>40</v>
      </c>
      <c r="D48" s="381" t="s">
        <v>249</v>
      </c>
      <c r="E48" s="1234" t="s">
        <v>554</v>
      </c>
      <c r="F48" s="1897" t="s">
        <v>1243</v>
      </c>
      <c r="G48" s="1898"/>
      <c r="H48" s="1899"/>
      <c r="I48" s="736" t="s">
        <v>554</v>
      </c>
      <c r="J48" s="740">
        <v>2</v>
      </c>
      <c r="K48" s="740">
        <v>1</v>
      </c>
      <c r="L48" s="740">
        <v>30</v>
      </c>
      <c r="M48" s="740">
        <f>L48*254*5</f>
        <v>38100</v>
      </c>
      <c r="N48" s="736" t="s">
        <v>554</v>
      </c>
      <c r="O48" s="740">
        <v>2</v>
      </c>
      <c r="P48" s="740">
        <v>1</v>
      </c>
      <c r="Q48" s="740">
        <v>30</v>
      </c>
      <c r="R48" s="740">
        <f>Q48*254*5</f>
        <v>38100</v>
      </c>
      <c r="S48" s="736" t="s">
        <v>554</v>
      </c>
      <c r="T48" s="740">
        <v>2</v>
      </c>
      <c r="U48" s="740">
        <v>1</v>
      </c>
      <c r="V48" s="740">
        <v>30</v>
      </c>
      <c r="W48" s="740">
        <f>V48*254*5</f>
        <v>38100</v>
      </c>
    </row>
    <row r="49" spans="1:23" ht="16.5" thickBot="1">
      <c r="A49" s="1765" t="s">
        <v>130</v>
      </c>
      <c r="B49" s="1766"/>
      <c r="C49" s="375" t="s">
        <v>131</v>
      </c>
      <c r="D49" s="376" t="s">
        <v>255</v>
      </c>
      <c r="E49" s="1233"/>
      <c r="F49" s="1920"/>
      <c r="G49" s="1921"/>
      <c r="H49" s="1922"/>
      <c r="I49" s="656"/>
      <c r="J49" s="632"/>
      <c r="K49" s="632"/>
      <c r="L49" s="632"/>
      <c r="M49" s="632"/>
      <c r="N49" s="656"/>
      <c r="O49" s="632"/>
      <c r="P49" s="632"/>
      <c r="Q49" s="632"/>
      <c r="R49" s="632"/>
      <c r="S49" s="656"/>
      <c r="T49" s="632"/>
      <c r="U49" s="632"/>
      <c r="V49" s="632"/>
      <c r="W49" s="654"/>
    </row>
    <row r="50" spans="1:23" ht="48" thickBot="1">
      <c r="A50" s="1767"/>
      <c r="B50" s="1768"/>
      <c r="C50" s="384" t="s">
        <v>132</v>
      </c>
      <c r="D50" s="376" t="s">
        <v>263</v>
      </c>
      <c r="E50" s="1233"/>
      <c r="F50" s="1920"/>
      <c r="G50" s="1921"/>
      <c r="H50" s="1922"/>
      <c r="I50" s="656"/>
      <c r="J50" s="632"/>
      <c r="K50" s="632"/>
      <c r="L50" s="632"/>
      <c r="M50" s="632"/>
      <c r="N50" s="656"/>
      <c r="O50" s="632"/>
      <c r="P50" s="632"/>
      <c r="Q50" s="632"/>
      <c r="R50" s="632"/>
      <c r="S50" s="656"/>
      <c r="T50" s="632"/>
      <c r="U50" s="632"/>
      <c r="V50" s="632"/>
      <c r="W50" s="654"/>
    </row>
    <row r="51" spans="1:23" ht="15" customHeight="1" thickBot="1">
      <c r="A51" s="1770" t="s">
        <v>42</v>
      </c>
      <c r="B51" s="1771"/>
      <c r="C51" s="385" t="s">
        <v>38</v>
      </c>
      <c r="D51" s="386" t="s">
        <v>239</v>
      </c>
      <c r="E51" s="1233"/>
      <c r="F51" s="1917" t="s">
        <v>1254</v>
      </c>
      <c r="G51" s="1918"/>
      <c r="H51" s="1919"/>
      <c r="I51" s="656"/>
      <c r="J51" s="632"/>
      <c r="K51" s="632"/>
      <c r="L51" s="632"/>
      <c r="M51" s="632"/>
      <c r="N51" s="656"/>
      <c r="O51" s="632"/>
      <c r="P51" s="632"/>
      <c r="Q51" s="632"/>
      <c r="R51" s="632"/>
      <c r="S51" s="656"/>
      <c r="T51" s="632"/>
      <c r="U51" s="632"/>
      <c r="V51" s="632"/>
      <c r="W51" s="654"/>
    </row>
    <row r="52" spans="1:23" ht="15.75" thickBot="1">
      <c r="A52" s="1772"/>
      <c r="B52" s="1772"/>
      <c r="C52" s="387" t="s">
        <v>55</v>
      </c>
      <c r="D52" s="386" t="s">
        <v>240</v>
      </c>
      <c r="E52" s="1234" t="s">
        <v>554</v>
      </c>
      <c r="F52" s="1920"/>
      <c r="G52" s="1921"/>
      <c r="H52" s="1922"/>
      <c r="I52" s="736" t="s">
        <v>554</v>
      </c>
      <c r="J52" s="740">
        <v>2</v>
      </c>
      <c r="K52" s="740">
        <v>1</v>
      </c>
      <c r="L52" s="740">
        <v>4</v>
      </c>
      <c r="M52" s="740">
        <f>L52*62*5</f>
        <v>1240</v>
      </c>
      <c r="N52" s="736" t="s">
        <v>554</v>
      </c>
      <c r="O52" s="740">
        <v>2</v>
      </c>
      <c r="P52" s="740">
        <v>1</v>
      </c>
      <c r="Q52" s="740">
        <v>4</v>
      </c>
      <c r="R52" s="740">
        <f>Q52*62*5</f>
        <v>1240</v>
      </c>
      <c r="S52" s="736" t="s">
        <v>554</v>
      </c>
      <c r="T52" s="740">
        <v>2</v>
      </c>
      <c r="U52" s="740">
        <v>1</v>
      </c>
      <c r="V52" s="740">
        <v>4</v>
      </c>
      <c r="W52" s="740">
        <f>V52*62*5</f>
        <v>1240</v>
      </c>
    </row>
    <row r="53" spans="1:23" ht="16.5" thickBot="1">
      <c r="A53" s="1772"/>
      <c r="B53" s="1772"/>
      <c r="C53" s="377" t="s">
        <v>48</v>
      </c>
      <c r="D53" s="388" t="s">
        <v>241</v>
      </c>
      <c r="E53" s="1233"/>
      <c r="F53" s="1923"/>
      <c r="G53" s="1924"/>
      <c r="H53" s="1925"/>
      <c r="I53" s="656"/>
      <c r="J53" s="632"/>
      <c r="K53" s="632"/>
      <c r="L53" s="632"/>
      <c r="M53" s="632"/>
      <c r="N53" s="656"/>
      <c r="O53" s="632"/>
      <c r="P53" s="632"/>
      <c r="Q53" s="632"/>
      <c r="R53" s="632"/>
      <c r="S53" s="656"/>
      <c r="T53" s="632"/>
      <c r="U53" s="632"/>
      <c r="V53" s="632"/>
      <c r="W53" s="654"/>
    </row>
    <row r="54" spans="1:23" ht="38.25" customHeight="1" thickBot="1">
      <c r="A54" s="1761" t="s">
        <v>500</v>
      </c>
      <c r="B54" s="1762"/>
      <c r="C54" s="389" t="s">
        <v>134</v>
      </c>
      <c r="D54" s="390" t="s">
        <v>269</v>
      </c>
      <c r="E54" s="1235"/>
      <c r="F54" s="1917" t="s">
        <v>501</v>
      </c>
      <c r="G54" s="1918"/>
      <c r="H54" s="1919"/>
      <c r="I54" s="659"/>
      <c r="J54" s="658"/>
      <c r="K54" s="658"/>
      <c r="L54" s="658"/>
      <c r="M54" s="658"/>
      <c r="N54" s="659"/>
      <c r="O54" s="658"/>
      <c r="P54" s="658"/>
      <c r="Q54" s="658"/>
      <c r="R54" s="658"/>
      <c r="S54" s="659"/>
      <c r="T54" s="658"/>
      <c r="U54" s="658"/>
      <c r="V54" s="658"/>
      <c r="W54" s="660"/>
    </row>
    <row r="56" spans="1:23">
      <c r="M56">
        <f>SUM(M16:M54)</f>
        <v>800765</v>
      </c>
    </row>
    <row r="58" spans="1:23" ht="60">
      <c r="A58" s="741" t="s">
        <v>948</v>
      </c>
      <c r="B58" s="741" t="s">
        <v>949</v>
      </c>
      <c r="C58" s="741" t="s">
        <v>950</v>
      </c>
      <c r="D58" s="741" t="s">
        <v>951</v>
      </c>
      <c r="E58" s="741" t="s">
        <v>952</v>
      </c>
      <c r="F58" s="742" t="s">
        <v>1059</v>
      </c>
    </row>
    <row r="59" spans="1:23" ht="180">
      <c r="A59" s="743" t="s">
        <v>953</v>
      </c>
      <c r="B59" s="744" t="s">
        <v>887</v>
      </c>
      <c r="C59" s="744">
        <v>3</v>
      </c>
      <c r="D59" s="744">
        <v>3</v>
      </c>
      <c r="E59" s="745" t="s">
        <v>1060</v>
      </c>
      <c r="F59" s="746" t="s">
        <v>1061</v>
      </c>
    </row>
    <row r="60" spans="1:23" ht="300">
      <c r="A60" s="743" t="s">
        <v>956</v>
      </c>
      <c r="B60" s="744" t="s">
        <v>887</v>
      </c>
      <c r="C60" s="744">
        <v>1</v>
      </c>
      <c r="D60" s="744">
        <v>1</v>
      </c>
      <c r="E60" s="745" t="s">
        <v>1062</v>
      </c>
      <c r="F60" s="746" t="s">
        <v>1063</v>
      </c>
    </row>
    <row r="61" spans="1:23">
      <c r="A61" s="743" t="s">
        <v>957</v>
      </c>
      <c r="B61" s="747" t="s">
        <v>991</v>
      </c>
      <c r="C61" s="747">
        <v>0</v>
      </c>
      <c r="D61" s="747">
        <v>0</v>
      </c>
      <c r="E61" s="748" t="s">
        <v>1064</v>
      </c>
      <c r="F61" s="749"/>
    </row>
    <row r="62" spans="1:23" ht="195">
      <c r="A62" s="743" t="s">
        <v>959</v>
      </c>
      <c r="B62" s="744" t="s">
        <v>887</v>
      </c>
      <c r="C62" s="744"/>
      <c r="D62" s="744">
        <v>3</v>
      </c>
      <c r="E62" s="745" t="s">
        <v>979</v>
      </c>
      <c r="F62" s="746" t="s">
        <v>1065</v>
      </c>
    </row>
    <row r="63" spans="1:23" ht="135">
      <c r="A63" s="743" t="s">
        <v>961</v>
      </c>
      <c r="B63" s="744" t="s">
        <v>887</v>
      </c>
      <c r="C63" s="744"/>
      <c r="D63" s="744">
        <v>14</v>
      </c>
      <c r="E63" s="745" t="s">
        <v>983</v>
      </c>
      <c r="F63" s="746" t="s">
        <v>1066</v>
      </c>
    </row>
    <row r="64" spans="1:23" ht="120">
      <c r="A64" s="743" t="s">
        <v>963</v>
      </c>
      <c r="B64" s="744" t="s">
        <v>887</v>
      </c>
      <c r="C64" s="744"/>
      <c r="D64" s="744">
        <v>6</v>
      </c>
      <c r="E64" s="745" t="s">
        <v>1067</v>
      </c>
      <c r="F64" s="746" t="s">
        <v>1068</v>
      </c>
    </row>
    <row r="65" spans="1:6">
      <c r="A65" s="743" t="s">
        <v>967</v>
      </c>
      <c r="B65" s="747" t="s">
        <v>991</v>
      </c>
      <c r="C65" s="747"/>
      <c r="D65" s="747"/>
      <c r="E65" s="748"/>
      <c r="F65" s="749"/>
    </row>
    <row r="66" spans="1:6" ht="330">
      <c r="A66" s="743" t="s">
        <v>969</v>
      </c>
      <c r="B66" s="744" t="s">
        <v>887</v>
      </c>
      <c r="C66" s="744"/>
      <c r="D66" s="744">
        <v>1</v>
      </c>
      <c r="E66" s="750" t="s">
        <v>1069</v>
      </c>
      <c r="F66" s="746" t="s">
        <v>1070</v>
      </c>
    </row>
    <row r="67" spans="1:6" ht="150">
      <c r="A67" s="743" t="s">
        <v>971</v>
      </c>
      <c r="B67" s="744" t="s">
        <v>887</v>
      </c>
      <c r="C67" s="744"/>
      <c r="D67" s="744">
        <v>4</v>
      </c>
      <c r="E67" s="750" t="s">
        <v>1071</v>
      </c>
      <c r="F67" s="746" t="s">
        <v>1072</v>
      </c>
    </row>
    <row r="68" spans="1:6">
      <c r="A68" s="743" t="s">
        <v>986</v>
      </c>
      <c r="B68" s="744"/>
      <c r="C68" s="744"/>
      <c r="D68" s="744"/>
      <c r="E68" s="745"/>
      <c r="F68" s="751"/>
    </row>
    <row r="69" spans="1:6">
      <c r="A69" s="752"/>
      <c r="B69" s="744"/>
      <c r="C69" s="744"/>
      <c r="D69" s="744"/>
      <c r="E69" s="745"/>
      <c r="F69" s="751"/>
    </row>
    <row r="73" spans="1:6">
      <c r="A73" s="1829" t="s">
        <v>1270</v>
      </c>
      <c r="B73" s="1830"/>
      <c r="C73" s="1830"/>
      <c r="D73" s="1830"/>
      <c r="E73" s="1830"/>
      <c r="F73" s="1830"/>
    </row>
    <row r="74" spans="1:6" ht="105">
      <c r="A74" s="1357" t="s">
        <v>1271</v>
      </c>
      <c r="B74" s="1357" t="s">
        <v>1272</v>
      </c>
      <c r="C74" s="1357" t="s">
        <v>1273</v>
      </c>
      <c r="D74" s="1357" t="s">
        <v>1274</v>
      </c>
      <c r="E74" s="1357" t="s">
        <v>1275</v>
      </c>
      <c r="F74" s="1357" t="s">
        <v>1276</v>
      </c>
    </row>
    <row r="75" spans="1:6" ht="135">
      <c r="A75" s="1358" t="s">
        <v>1401</v>
      </c>
      <c r="B75" s="1359" t="s">
        <v>1402</v>
      </c>
      <c r="C75" s="1360" t="s">
        <v>1357</v>
      </c>
      <c r="D75" s="1360" t="s">
        <v>52</v>
      </c>
      <c r="E75" s="1359" t="s">
        <v>1403</v>
      </c>
      <c r="F75" s="1361">
        <v>6</v>
      </c>
    </row>
    <row r="76" spans="1:6" ht="45">
      <c r="A76" s="1358" t="s">
        <v>1404</v>
      </c>
      <c r="B76" s="1359" t="s">
        <v>1405</v>
      </c>
      <c r="C76" s="1360" t="s">
        <v>1357</v>
      </c>
      <c r="D76" s="1360" t="s">
        <v>52</v>
      </c>
      <c r="E76" s="1359" t="s">
        <v>1403</v>
      </c>
      <c r="F76" s="1361">
        <v>6</v>
      </c>
    </row>
    <row r="77" spans="1:6" ht="45">
      <c r="A77" s="1358" t="s">
        <v>1406</v>
      </c>
      <c r="B77" s="1359" t="s">
        <v>1402</v>
      </c>
      <c r="C77" s="1360" t="s">
        <v>1357</v>
      </c>
      <c r="D77" s="1360" t="s">
        <v>52</v>
      </c>
      <c r="E77" s="1359" t="s">
        <v>1407</v>
      </c>
      <c r="F77" s="1361">
        <v>6</v>
      </c>
    </row>
    <row r="78" spans="1:6" ht="45">
      <c r="A78" s="1358" t="s">
        <v>1408</v>
      </c>
      <c r="B78" s="1359" t="s">
        <v>1402</v>
      </c>
      <c r="C78" s="1360" t="s">
        <v>1357</v>
      </c>
      <c r="D78" s="1360" t="s">
        <v>52</v>
      </c>
      <c r="E78" s="1359" t="s">
        <v>1409</v>
      </c>
      <c r="F78" s="1361">
        <v>6</v>
      </c>
    </row>
    <row r="79" spans="1:6" ht="45">
      <c r="A79" s="1362" t="s">
        <v>1410</v>
      </c>
      <c r="B79" s="1363" t="s">
        <v>1405</v>
      </c>
      <c r="C79" s="1364" t="s">
        <v>1357</v>
      </c>
      <c r="D79" s="1364" t="s">
        <v>16</v>
      </c>
      <c r="E79" s="1363" t="s">
        <v>1411</v>
      </c>
      <c r="F79" s="1365">
        <v>6</v>
      </c>
    </row>
    <row r="80" spans="1:6" ht="150">
      <c r="A80" s="1366" t="s">
        <v>1412</v>
      </c>
      <c r="B80" s="1367" t="s">
        <v>1413</v>
      </c>
      <c r="C80" s="1367" t="s">
        <v>1283</v>
      </c>
      <c r="D80" s="1367" t="s">
        <v>887</v>
      </c>
      <c r="E80" s="1367" t="s">
        <v>1299</v>
      </c>
      <c r="F80" s="1368">
        <v>6</v>
      </c>
    </row>
    <row r="81" spans="1:6" ht="135">
      <c r="A81" s="1366" t="s">
        <v>1414</v>
      </c>
      <c r="B81" s="1367" t="s">
        <v>1415</v>
      </c>
      <c r="C81" s="1367" t="s">
        <v>1283</v>
      </c>
      <c r="D81" s="1367" t="s">
        <v>954</v>
      </c>
      <c r="E81" s="1367" t="s">
        <v>1416</v>
      </c>
      <c r="F81" s="1368">
        <v>6</v>
      </c>
    </row>
    <row r="82" spans="1:6" ht="108">
      <c r="A82" s="1369"/>
      <c r="B82" s="1370" t="s">
        <v>1417</v>
      </c>
      <c r="C82" s="1367" t="s">
        <v>1418</v>
      </c>
      <c r="D82" s="1367" t="s">
        <v>954</v>
      </c>
      <c r="E82" s="1367" t="s">
        <v>1419</v>
      </c>
      <c r="F82" s="1368">
        <v>6</v>
      </c>
    </row>
    <row r="83" spans="1:6" ht="135">
      <c r="A83" s="1366" t="s">
        <v>1420</v>
      </c>
      <c r="B83" s="1367" t="s">
        <v>1421</v>
      </c>
      <c r="C83" s="1367" t="s">
        <v>1307</v>
      </c>
      <c r="D83" s="1367" t="s">
        <v>887</v>
      </c>
      <c r="E83" s="1367" t="s">
        <v>1422</v>
      </c>
      <c r="F83" s="1368">
        <v>6</v>
      </c>
    </row>
    <row r="84" spans="1:6" ht="195">
      <c r="A84" s="1366" t="s">
        <v>1423</v>
      </c>
      <c r="B84" s="1367" t="s">
        <v>1424</v>
      </c>
      <c r="C84" s="1367" t="s">
        <v>1283</v>
      </c>
      <c r="D84" s="1367" t="s">
        <v>887</v>
      </c>
      <c r="E84" s="1367" t="s">
        <v>235</v>
      </c>
      <c r="F84" s="1368">
        <v>6</v>
      </c>
    </row>
    <row r="85" spans="1:6" ht="171">
      <c r="A85" s="1366" t="s">
        <v>1425</v>
      </c>
      <c r="B85" s="1371" t="s">
        <v>1426</v>
      </c>
      <c r="C85" s="1367" t="s">
        <v>1427</v>
      </c>
      <c r="D85" s="1367" t="s">
        <v>887</v>
      </c>
      <c r="E85" s="1367" t="s">
        <v>235</v>
      </c>
      <c r="F85" s="1368">
        <v>6</v>
      </c>
    </row>
    <row r="86" spans="1:6" ht="135">
      <c r="A86" s="1366" t="s">
        <v>1428</v>
      </c>
      <c r="B86" s="1367" t="s">
        <v>1429</v>
      </c>
      <c r="C86" s="1367" t="s">
        <v>1427</v>
      </c>
      <c r="D86" s="1367" t="s">
        <v>887</v>
      </c>
      <c r="E86" s="1367" t="s">
        <v>1430</v>
      </c>
      <c r="F86" s="1368">
        <v>6</v>
      </c>
    </row>
  </sheetData>
  <mergeCells count="59">
    <mergeCell ref="A73:F73"/>
    <mergeCell ref="I13:M13"/>
    <mergeCell ref="N13:R13"/>
    <mergeCell ref="S13:W13"/>
    <mergeCell ref="A18:B20"/>
    <mergeCell ref="F18:H20"/>
    <mergeCell ref="A15:B17"/>
    <mergeCell ref="F15:H17"/>
    <mergeCell ref="A21:B22"/>
    <mergeCell ref="F21:H22"/>
    <mergeCell ref="A23:B25"/>
    <mergeCell ref="F23:H25"/>
    <mergeCell ref="A26:C26"/>
    <mergeCell ref="F26:H26"/>
    <mergeCell ref="A27:B29"/>
    <mergeCell ref="F27:H29"/>
    <mergeCell ref="B2:D2"/>
    <mergeCell ref="B3:D3"/>
    <mergeCell ref="B4:D4"/>
    <mergeCell ref="B6:D6"/>
    <mergeCell ref="B8:D8"/>
    <mergeCell ref="A10:B10"/>
    <mergeCell ref="C10:H10"/>
    <mergeCell ref="E12:H13"/>
    <mergeCell ref="A14:B14"/>
    <mergeCell ref="F14:H14"/>
    <mergeCell ref="A30:B32"/>
    <mergeCell ref="F30:H32"/>
    <mergeCell ref="A33:B33"/>
    <mergeCell ref="F33:H33"/>
    <mergeCell ref="A34:B34"/>
    <mergeCell ref="F34:H34"/>
    <mergeCell ref="A35:B36"/>
    <mergeCell ref="F35:H36"/>
    <mergeCell ref="A37:B39"/>
    <mergeCell ref="F37:H37"/>
    <mergeCell ref="F38:H39"/>
    <mergeCell ref="A40:B42"/>
    <mergeCell ref="F40:H40"/>
    <mergeCell ref="F41:H41"/>
    <mergeCell ref="F42:H42"/>
    <mergeCell ref="A43:C43"/>
    <mergeCell ref="F43:H43"/>
    <mergeCell ref="A44:C44"/>
    <mergeCell ref="F44:H44"/>
    <mergeCell ref="A45:B48"/>
    <mergeCell ref="F45:H45"/>
    <mergeCell ref="F46:H46"/>
    <mergeCell ref="F47:H47"/>
    <mergeCell ref="F48:H48"/>
    <mergeCell ref="A54:B54"/>
    <mergeCell ref="F54:H54"/>
    <mergeCell ref="A49:B50"/>
    <mergeCell ref="F49:H49"/>
    <mergeCell ref="F50:H50"/>
    <mergeCell ref="A51:B53"/>
    <mergeCell ref="F51:H51"/>
    <mergeCell ref="F52:H52"/>
    <mergeCell ref="F53:H53"/>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W80"/>
  <sheetViews>
    <sheetView topLeftCell="A42" zoomScale="110" zoomScaleNormal="110" workbookViewId="0">
      <selection activeCell="F47" sqref="F47:H47"/>
    </sheetView>
  </sheetViews>
  <sheetFormatPr baseColWidth="10" defaultRowHeight="15"/>
  <cols>
    <col min="1" max="1" width="20.42578125" style="8" bestFit="1" customWidth="1"/>
    <col min="2" max="2" width="15.7109375" style="8" customWidth="1"/>
    <col min="3" max="3" width="40" style="8" customWidth="1"/>
    <col min="4" max="4" width="17" style="8" customWidth="1"/>
    <col min="5" max="5" width="8.42578125" style="8" customWidth="1"/>
    <col min="6" max="6" width="16.28515625" style="8" bestFit="1" customWidth="1"/>
    <col min="7" max="7" width="18.140625" style="8" customWidth="1"/>
    <col min="8" max="8" width="18.28515625" bestFit="1" customWidth="1"/>
    <col min="9" max="9" width="18.42578125" bestFit="1" customWidth="1"/>
    <col min="10" max="10" width="16.42578125" bestFit="1" customWidth="1"/>
  </cols>
  <sheetData>
    <row r="1" spans="1:23" ht="15.75" thickBot="1"/>
    <row r="2" spans="1:23" ht="15.75" thickBot="1">
      <c r="A2" s="193" t="s">
        <v>0</v>
      </c>
      <c r="B2" s="1980" t="s">
        <v>546</v>
      </c>
      <c r="C2" s="1966"/>
      <c r="D2" s="1967"/>
      <c r="E2" s="194"/>
      <c r="F2" s="194"/>
      <c r="G2" s="195" t="s">
        <v>462</v>
      </c>
      <c r="H2" s="255" t="s">
        <v>14</v>
      </c>
    </row>
    <row r="3" spans="1:23" ht="15.75" customHeight="1" thickBot="1">
      <c r="A3" s="196" t="s">
        <v>344</v>
      </c>
      <c r="B3" s="1981" t="s">
        <v>547</v>
      </c>
      <c r="C3" s="1966"/>
      <c r="D3" s="1967"/>
      <c r="E3" s="194"/>
      <c r="F3" s="194"/>
      <c r="G3" s="197" t="s">
        <v>10</v>
      </c>
      <c r="H3" s="255" t="s">
        <v>16</v>
      </c>
      <c r="J3" s="13" t="s">
        <v>73</v>
      </c>
    </row>
    <row r="4" spans="1:23" ht="15.75" thickBot="1">
      <c r="A4" s="197" t="s">
        <v>3</v>
      </c>
      <c r="B4" s="1982" t="s">
        <v>548</v>
      </c>
      <c r="C4" s="1966"/>
      <c r="D4" s="1967"/>
      <c r="E4" s="198"/>
      <c r="F4" s="194"/>
      <c r="G4" s="199" t="s">
        <v>26</v>
      </c>
      <c r="H4" s="200">
        <v>10</v>
      </c>
    </row>
    <row r="5" spans="1:23" ht="15.75" customHeight="1" thickBot="1">
      <c r="A5" s="194"/>
      <c r="B5" s="194"/>
      <c r="C5" s="194"/>
      <c r="D5" s="194"/>
      <c r="E5" s="194"/>
      <c r="F5" s="194"/>
      <c r="G5" s="194"/>
      <c r="H5" s="194"/>
    </row>
    <row r="6" spans="1:23" ht="287.25" customHeight="1" thickBot="1">
      <c r="A6" s="193" t="s">
        <v>465</v>
      </c>
      <c r="B6" s="1975" t="s">
        <v>1570</v>
      </c>
      <c r="C6" s="1976"/>
      <c r="D6" s="1977"/>
      <c r="E6" s="194"/>
      <c r="F6" s="194"/>
      <c r="G6" s="201" t="s">
        <v>466</v>
      </c>
      <c r="H6" s="256" t="s">
        <v>549</v>
      </c>
    </row>
    <row r="7" spans="1:23" ht="15.75" thickBot="1">
      <c r="A7" s="192"/>
      <c r="B7" s="194"/>
      <c r="C7" s="194"/>
      <c r="D7" s="194"/>
      <c r="E7" s="194"/>
      <c r="F7" s="194"/>
      <c r="G7" s="202"/>
      <c r="H7" s="194"/>
    </row>
    <row r="8" spans="1:23" ht="30.75" thickBot="1">
      <c r="A8" s="203" t="s">
        <v>7</v>
      </c>
      <c r="B8" s="1978" t="s">
        <v>550</v>
      </c>
      <c r="C8" s="1966"/>
      <c r="D8" s="1967"/>
      <c r="E8" s="198"/>
      <c r="F8" s="204"/>
      <c r="G8" s="203" t="s">
        <v>469</v>
      </c>
      <c r="H8" s="257" t="s">
        <v>551</v>
      </c>
    </row>
    <row r="9" spans="1:23">
      <c r="A9" s="192"/>
      <c r="B9" s="194"/>
      <c r="C9" s="194"/>
      <c r="D9" s="194"/>
      <c r="E9" s="194"/>
      <c r="F9" s="194"/>
      <c r="G9" s="202"/>
      <c r="H9" s="194"/>
    </row>
    <row r="10" spans="1:23" ht="85.5" customHeight="1">
      <c r="A10" s="1979" t="s">
        <v>471</v>
      </c>
      <c r="B10" s="1951"/>
      <c r="C10" s="1983" t="s">
        <v>552</v>
      </c>
      <c r="D10" s="1983"/>
      <c r="E10" s="1983"/>
      <c r="F10" s="1983"/>
      <c r="G10" s="1983"/>
      <c r="H10" s="1983"/>
      <c r="I10" s="61"/>
      <c r="J10" s="1821"/>
    </row>
    <row r="11" spans="1:23">
      <c r="A11" s="206"/>
      <c r="B11" s="198"/>
      <c r="C11" s="198"/>
      <c r="D11" s="198"/>
      <c r="E11" s="198"/>
      <c r="F11" s="204"/>
      <c r="G11" s="205"/>
      <c r="H11" s="205"/>
      <c r="I11" s="61"/>
      <c r="J11" s="1821"/>
    </row>
    <row r="12" spans="1:23">
      <c r="A12" s="206"/>
      <c r="B12" s="198"/>
      <c r="C12" s="198"/>
      <c r="D12" s="198"/>
      <c r="E12" s="1985" t="s">
        <v>473</v>
      </c>
      <c r="F12" s="1951"/>
      <c r="G12" s="1951"/>
      <c r="H12" s="1951"/>
      <c r="I12" s="61"/>
      <c r="J12" s="61"/>
    </row>
    <row r="13" spans="1:23" ht="15" customHeight="1">
      <c r="A13" s="194"/>
      <c r="B13" s="194"/>
      <c r="C13" s="194"/>
      <c r="D13" s="194"/>
      <c r="E13" s="1942"/>
      <c r="F13" s="1942"/>
      <c r="G13" s="1942"/>
      <c r="H13" s="1942"/>
      <c r="I13" s="1817">
        <v>2025</v>
      </c>
      <c r="J13" s="1762"/>
      <c r="K13" s="1762"/>
      <c r="L13" s="1762"/>
      <c r="M13" s="1764"/>
      <c r="N13" s="1817">
        <v>2026</v>
      </c>
      <c r="O13" s="1762"/>
      <c r="P13" s="1762"/>
      <c r="Q13" s="1762"/>
      <c r="R13" s="1764"/>
      <c r="S13" s="1817">
        <v>2027</v>
      </c>
      <c r="T13" s="1762"/>
      <c r="U13" s="1762"/>
      <c r="V13" s="1762"/>
      <c r="W13" s="1764"/>
    </row>
    <row r="14" spans="1:23" ht="45.75" thickBot="1">
      <c r="A14" s="1984" t="s">
        <v>5</v>
      </c>
      <c r="B14" s="1941"/>
      <c r="C14" s="207" t="s">
        <v>1</v>
      </c>
      <c r="D14" s="207" t="s">
        <v>260</v>
      </c>
      <c r="E14" s="208" t="s">
        <v>474</v>
      </c>
      <c r="F14" s="1986" t="s">
        <v>6</v>
      </c>
      <c r="G14" s="1826"/>
      <c r="H14" s="1827"/>
      <c r="I14" s="643" t="s">
        <v>474</v>
      </c>
      <c r="J14" s="644" t="s">
        <v>944</v>
      </c>
      <c r="K14" s="645" t="s">
        <v>945</v>
      </c>
      <c r="L14" s="644" t="s">
        <v>946</v>
      </c>
      <c r="M14" s="646" t="s">
        <v>947</v>
      </c>
      <c r="N14" s="643" t="s">
        <v>474</v>
      </c>
      <c r="O14" s="644" t="s">
        <v>944</v>
      </c>
      <c r="P14" s="645" t="s">
        <v>945</v>
      </c>
      <c r="Q14" s="644" t="s">
        <v>946</v>
      </c>
      <c r="R14" s="646" t="s">
        <v>947</v>
      </c>
      <c r="S14" s="643" t="s">
        <v>474</v>
      </c>
      <c r="T14" s="644" t="s">
        <v>944</v>
      </c>
      <c r="U14" s="645" t="s">
        <v>945</v>
      </c>
      <c r="V14" s="644" t="s">
        <v>946</v>
      </c>
      <c r="W14" s="646" t="s">
        <v>947</v>
      </c>
    </row>
    <row r="15" spans="1:23">
      <c r="A15" s="1987" t="s">
        <v>17</v>
      </c>
      <c r="B15" s="1940"/>
      <c r="C15" s="209" t="s">
        <v>59</v>
      </c>
      <c r="D15" s="210" t="s">
        <v>251</v>
      </c>
      <c r="E15" s="211"/>
      <c r="F15" s="1939" t="s">
        <v>475</v>
      </c>
      <c r="G15" s="1940"/>
      <c r="H15" s="1941"/>
      <c r="I15" s="647"/>
      <c r="J15" s="648"/>
      <c r="K15" s="648"/>
      <c r="L15" s="648"/>
      <c r="M15" s="649"/>
      <c r="N15" s="650"/>
      <c r="O15" s="648"/>
      <c r="P15" s="648"/>
      <c r="Q15" s="648"/>
      <c r="R15" s="649"/>
      <c r="S15" s="650"/>
      <c r="T15" s="648"/>
      <c r="U15" s="648"/>
      <c r="V15" s="648"/>
      <c r="W15" s="651"/>
    </row>
    <row r="16" spans="1:23">
      <c r="A16" s="1951"/>
      <c r="B16" s="1951"/>
      <c r="C16" s="212" t="s">
        <v>18</v>
      </c>
      <c r="D16" s="213" t="s">
        <v>168</v>
      </c>
      <c r="E16" s="214"/>
      <c r="F16" s="1971"/>
      <c r="G16" s="1971"/>
      <c r="H16" s="1972"/>
      <c r="I16" s="652"/>
      <c r="J16" s="632"/>
      <c r="K16" s="632"/>
      <c r="L16" s="632"/>
      <c r="M16" s="632"/>
      <c r="N16" s="653"/>
      <c r="O16" s="632"/>
      <c r="P16" s="632"/>
      <c r="Q16" s="632"/>
      <c r="R16" s="632"/>
      <c r="S16" s="653"/>
      <c r="T16" s="632"/>
      <c r="U16" s="632"/>
      <c r="V16" s="632"/>
      <c r="W16" s="654"/>
    </row>
    <row r="17" spans="1:23" ht="30" customHeight="1" thickBot="1">
      <c r="A17" s="1942"/>
      <c r="B17" s="1942"/>
      <c r="C17" s="215" t="s">
        <v>19</v>
      </c>
      <c r="D17" s="216" t="s">
        <v>233</v>
      </c>
      <c r="E17" s="217"/>
      <c r="F17" s="1942"/>
      <c r="G17" s="1942"/>
      <c r="H17" s="1943"/>
      <c r="I17" s="655"/>
      <c r="J17" s="632"/>
      <c r="K17" s="632"/>
      <c r="L17" s="632"/>
      <c r="M17" s="632"/>
      <c r="N17" s="656"/>
      <c r="O17" s="632"/>
      <c r="P17" s="632"/>
      <c r="Q17" s="632"/>
      <c r="R17" s="632"/>
      <c r="S17" s="656"/>
      <c r="T17" s="632"/>
      <c r="U17" s="632"/>
      <c r="V17" s="632"/>
      <c r="W17" s="654"/>
    </row>
    <row r="18" spans="1:23" ht="66" customHeight="1">
      <c r="A18" s="1987" t="s">
        <v>20</v>
      </c>
      <c r="B18" s="1940"/>
      <c r="C18" s="209" t="s">
        <v>54</v>
      </c>
      <c r="D18" s="216" t="s">
        <v>261</v>
      </c>
      <c r="E18" s="217"/>
      <c r="F18" s="1939" t="s">
        <v>475</v>
      </c>
      <c r="G18" s="1940"/>
      <c r="H18" s="1941"/>
      <c r="I18" s="655"/>
      <c r="J18" s="632"/>
      <c r="K18" s="632"/>
      <c r="L18" s="632"/>
      <c r="M18" s="632"/>
      <c r="N18" s="656"/>
      <c r="O18" s="632"/>
      <c r="P18" s="632"/>
      <c r="Q18" s="632"/>
      <c r="R18" s="632"/>
      <c r="S18" s="656"/>
      <c r="T18" s="632"/>
      <c r="U18" s="632"/>
      <c r="V18" s="632"/>
      <c r="W18" s="654"/>
    </row>
    <row r="19" spans="1:23" ht="30.75" customHeight="1">
      <c r="A19" s="1951"/>
      <c r="B19" s="1951"/>
      <c r="C19" s="218" t="s">
        <v>21</v>
      </c>
      <c r="D19" s="216" t="s">
        <v>234</v>
      </c>
      <c r="E19" s="217"/>
      <c r="F19" s="1971"/>
      <c r="G19" s="1971"/>
      <c r="H19" s="1972"/>
      <c r="I19" s="655"/>
      <c r="J19" s="632"/>
      <c r="K19" s="632"/>
      <c r="L19" s="632"/>
      <c r="M19" s="632"/>
      <c r="N19" s="656"/>
      <c r="O19" s="632"/>
      <c r="P19" s="632"/>
      <c r="Q19" s="632"/>
      <c r="R19" s="632"/>
      <c r="S19" s="656"/>
      <c r="T19" s="632"/>
      <c r="U19" s="632"/>
      <c r="V19" s="632"/>
      <c r="W19" s="654"/>
    </row>
    <row r="20" spans="1:23" ht="15" customHeight="1" thickBot="1">
      <c r="A20" s="1951"/>
      <c r="B20" s="1951"/>
      <c r="C20" s="215" t="s">
        <v>22</v>
      </c>
      <c r="D20" s="216" t="s">
        <v>235</v>
      </c>
      <c r="E20" s="217"/>
      <c r="F20" s="1942"/>
      <c r="G20" s="1942"/>
      <c r="H20" s="1943"/>
      <c r="I20" s="655"/>
      <c r="J20" s="632"/>
      <c r="K20" s="632"/>
      <c r="L20" s="632"/>
      <c r="M20" s="632"/>
      <c r="N20" s="656"/>
      <c r="O20" s="632"/>
      <c r="P20" s="632"/>
      <c r="Q20" s="632"/>
      <c r="R20" s="632"/>
      <c r="S20" s="656"/>
      <c r="T20" s="632"/>
      <c r="U20" s="632"/>
      <c r="V20" s="632"/>
      <c r="W20" s="654"/>
    </row>
    <row r="21" spans="1:23" ht="15" customHeight="1">
      <c r="A21" s="1987" t="s">
        <v>23</v>
      </c>
      <c r="B21" s="1940"/>
      <c r="C21" s="219" t="s">
        <v>69</v>
      </c>
      <c r="D21" s="216" t="s">
        <v>267</v>
      </c>
      <c r="E21" s="217"/>
      <c r="F21" s="1939" t="s">
        <v>477</v>
      </c>
      <c r="G21" s="1940"/>
      <c r="H21" s="1941"/>
      <c r="I21" s="655"/>
      <c r="J21" s="632"/>
      <c r="K21" s="632"/>
      <c r="L21" s="632"/>
      <c r="M21" s="632"/>
      <c r="N21" s="656"/>
      <c r="O21" s="632"/>
      <c r="P21" s="632"/>
      <c r="Q21" s="632"/>
      <c r="R21" s="632"/>
      <c r="S21" s="656"/>
      <c r="T21" s="632"/>
      <c r="U21" s="632"/>
      <c r="V21" s="632"/>
      <c r="W21" s="654"/>
    </row>
    <row r="22" spans="1:23" ht="30" customHeight="1" thickBot="1">
      <c r="A22" s="1942"/>
      <c r="B22" s="1942"/>
      <c r="C22" s="220" t="s">
        <v>24</v>
      </c>
      <c r="D22" s="221" t="s">
        <v>236</v>
      </c>
      <c r="E22" s="217"/>
      <c r="F22" s="1942"/>
      <c r="G22" s="1942"/>
      <c r="H22" s="1943"/>
      <c r="I22" s="655"/>
      <c r="J22" s="632"/>
      <c r="K22" s="632"/>
      <c r="L22" s="632"/>
      <c r="M22" s="632"/>
      <c r="N22" s="656"/>
      <c r="O22" s="632"/>
      <c r="P22" s="632"/>
      <c r="Q22" s="632"/>
      <c r="R22" s="632"/>
      <c r="S22" s="656"/>
      <c r="T22" s="632"/>
      <c r="U22" s="632"/>
      <c r="V22" s="632"/>
      <c r="W22" s="654"/>
    </row>
    <row r="23" spans="1:23" ht="15.75">
      <c r="A23" s="1988" t="s">
        <v>478</v>
      </c>
      <c r="B23" s="1941"/>
      <c r="C23" s="222" t="s">
        <v>360</v>
      </c>
      <c r="D23" s="221" t="s">
        <v>265</v>
      </c>
      <c r="E23" s="217"/>
      <c r="F23" s="1939" t="s">
        <v>553</v>
      </c>
      <c r="G23" s="1940"/>
      <c r="H23" s="1941"/>
      <c r="I23" s="655"/>
      <c r="J23" s="632"/>
      <c r="K23" s="632"/>
      <c r="L23" s="632"/>
      <c r="M23" s="632"/>
      <c r="N23" s="656"/>
      <c r="O23" s="632"/>
      <c r="P23" s="632"/>
      <c r="Q23" s="632"/>
      <c r="R23" s="632"/>
      <c r="S23" s="656"/>
      <c r="T23" s="632"/>
      <c r="U23" s="632"/>
      <c r="V23" s="632"/>
      <c r="W23" s="654"/>
    </row>
    <row r="24" spans="1:23" ht="15.75">
      <c r="A24" s="1959"/>
      <c r="B24" s="1972"/>
      <c r="C24" s="223" t="s">
        <v>361</v>
      </c>
      <c r="D24" s="221" t="s">
        <v>362</v>
      </c>
      <c r="E24" s="217" t="s">
        <v>554</v>
      </c>
      <c r="F24" s="1971"/>
      <c r="G24" s="1971"/>
      <c r="H24" s="1972"/>
      <c r="I24" s="655" t="s">
        <v>554</v>
      </c>
      <c r="J24" s="632">
        <v>1</v>
      </c>
      <c r="K24" s="632"/>
      <c r="L24" s="632"/>
      <c r="M24" s="632"/>
      <c r="N24" s="655" t="s">
        <v>554</v>
      </c>
      <c r="O24" s="632">
        <v>1</v>
      </c>
      <c r="P24" s="632"/>
      <c r="Q24" s="632"/>
      <c r="R24" s="632"/>
      <c r="S24" s="655" t="s">
        <v>554</v>
      </c>
      <c r="T24" s="632">
        <v>1</v>
      </c>
      <c r="U24" s="632"/>
      <c r="V24" s="632"/>
      <c r="W24" s="654"/>
    </row>
    <row r="25" spans="1:23" ht="16.5" thickBot="1">
      <c r="A25" s="1959"/>
      <c r="B25" s="1972"/>
      <c r="C25" s="224" t="s">
        <v>479</v>
      </c>
      <c r="D25" s="221" t="s">
        <v>480</v>
      </c>
      <c r="E25" s="217" t="s">
        <v>277</v>
      </c>
      <c r="F25" s="1942"/>
      <c r="G25" s="1942"/>
      <c r="H25" s="1943"/>
      <c r="I25" s="655" t="s">
        <v>554</v>
      </c>
      <c r="J25" s="632">
        <v>1</v>
      </c>
      <c r="K25" s="632"/>
      <c r="L25" s="632"/>
      <c r="M25" s="632"/>
      <c r="N25" s="655" t="s">
        <v>554</v>
      </c>
      <c r="O25" s="632">
        <v>1</v>
      </c>
      <c r="P25" s="632"/>
      <c r="Q25" s="632"/>
      <c r="R25" s="632"/>
      <c r="S25" s="655" t="s">
        <v>554</v>
      </c>
      <c r="T25" s="632">
        <v>1</v>
      </c>
      <c r="U25" s="632"/>
      <c r="V25" s="632"/>
      <c r="W25" s="654"/>
    </row>
    <row r="26" spans="1:23" ht="15.75" thickBot="1">
      <c r="A26" s="1989" t="s">
        <v>25</v>
      </c>
      <c r="B26" s="1966"/>
      <c r="C26" s="1967"/>
      <c r="D26" s="225" t="s">
        <v>270</v>
      </c>
      <c r="E26" s="217"/>
      <c r="F26" s="1938" t="s">
        <v>553</v>
      </c>
      <c r="G26" s="1826"/>
      <c r="H26" s="1827"/>
      <c r="I26" s="655"/>
      <c r="J26" s="632"/>
      <c r="K26" s="632"/>
      <c r="L26" s="632"/>
      <c r="M26" s="632"/>
      <c r="N26" s="655"/>
      <c r="O26" s="632"/>
      <c r="P26" s="632"/>
      <c r="Q26" s="632"/>
      <c r="R26" s="632"/>
      <c r="S26" s="655"/>
      <c r="T26" s="632"/>
      <c r="U26" s="632"/>
      <c r="V26" s="632"/>
      <c r="W26" s="654"/>
    </row>
    <row r="27" spans="1:23" ht="15.75">
      <c r="A27" s="1990" t="s">
        <v>153</v>
      </c>
      <c r="B27" s="1962"/>
      <c r="C27" s="226" t="s">
        <v>152</v>
      </c>
      <c r="D27" s="227" t="s">
        <v>268</v>
      </c>
      <c r="E27" s="217"/>
      <c r="F27" s="1939" t="s">
        <v>475</v>
      </c>
      <c r="G27" s="1940"/>
      <c r="H27" s="1941"/>
      <c r="I27" s="655"/>
      <c r="J27" s="632"/>
      <c r="K27" s="632"/>
      <c r="L27" s="632"/>
      <c r="M27" s="632"/>
      <c r="N27" s="655"/>
      <c r="O27" s="632"/>
      <c r="P27" s="632"/>
      <c r="Q27" s="632"/>
      <c r="R27" s="632"/>
      <c r="S27" s="655"/>
      <c r="T27" s="632"/>
      <c r="U27" s="632"/>
      <c r="V27" s="632"/>
      <c r="W27" s="654"/>
    </row>
    <row r="28" spans="1:23" ht="15.75">
      <c r="A28" s="1959"/>
      <c r="B28" s="1962"/>
      <c r="C28" s="228" t="s">
        <v>154</v>
      </c>
      <c r="D28" s="227" t="s">
        <v>392</v>
      </c>
      <c r="E28" s="217"/>
      <c r="F28" s="1971"/>
      <c r="G28" s="1971"/>
      <c r="H28" s="1972"/>
      <c r="I28" s="655"/>
      <c r="J28" s="632"/>
      <c r="K28" s="632"/>
      <c r="L28" s="632"/>
      <c r="M28" s="632"/>
      <c r="N28" s="655"/>
      <c r="O28" s="632"/>
      <c r="P28" s="632"/>
      <c r="Q28" s="632"/>
      <c r="R28" s="632"/>
      <c r="S28" s="655"/>
      <c r="T28" s="632"/>
      <c r="U28" s="632"/>
      <c r="V28" s="632"/>
      <c r="W28" s="654"/>
    </row>
    <row r="29" spans="1:23" ht="16.5" thickBot="1">
      <c r="A29" s="1956"/>
      <c r="B29" s="1957"/>
      <c r="C29" s="229" t="s">
        <v>400</v>
      </c>
      <c r="D29" s="227" t="s">
        <v>393</v>
      </c>
      <c r="E29" s="217"/>
      <c r="F29" s="1942"/>
      <c r="G29" s="1942"/>
      <c r="H29" s="1943"/>
      <c r="I29" s="655"/>
      <c r="J29" s="632"/>
      <c r="K29" s="632"/>
      <c r="L29" s="632"/>
      <c r="M29" s="632"/>
      <c r="N29" s="655"/>
      <c r="O29" s="632"/>
      <c r="P29" s="632"/>
      <c r="Q29" s="632"/>
      <c r="R29" s="632"/>
      <c r="S29" s="655"/>
      <c r="T29" s="632"/>
      <c r="U29" s="632"/>
      <c r="V29" s="632"/>
      <c r="W29" s="654"/>
    </row>
    <row r="30" spans="1:23" ht="15.75">
      <c r="A30" s="1953" t="s">
        <v>153</v>
      </c>
      <c r="B30" s="1954"/>
      <c r="C30" s="230" t="s">
        <v>155</v>
      </c>
      <c r="D30" s="227" t="s">
        <v>266</v>
      </c>
      <c r="E30" s="217" t="s">
        <v>554</v>
      </c>
      <c r="F30" s="1939" t="s">
        <v>555</v>
      </c>
      <c r="G30" s="1940"/>
      <c r="H30" s="1941"/>
      <c r="I30" s="655" t="s">
        <v>554</v>
      </c>
      <c r="J30" s="632">
        <v>1</v>
      </c>
      <c r="K30" s="632"/>
      <c r="L30" s="632"/>
      <c r="M30" s="632"/>
      <c r="N30" s="655" t="s">
        <v>554</v>
      </c>
      <c r="O30" s="632">
        <v>1</v>
      </c>
      <c r="P30" s="632"/>
      <c r="Q30" s="632"/>
      <c r="R30" s="632"/>
      <c r="S30" s="655" t="s">
        <v>554</v>
      </c>
      <c r="T30" s="632">
        <v>1</v>
      </c>
      <c r="U30" s="632"/>
      <c r="V30" s="632"/>
      <c r="W30" s="654"/>
    </row>
    <row r="31" spans="1:23" ht="15.75">
      <c r="A31" s="1959"/>
      <c r="B31" s="1962"/>
      <c r="C31" s="228" t="s">
        <v>156</v>
      </c>
      <c r="D31" s="227" t="s">
        <v>394</v>
      </c>
      <c r="E31" s="217" t="s">
        <v>277</v>
      </c>
      <c r="F31" s="1971"/>
      <c r="G31" s="1971"/>
      <c r="H31" s="1972"/>
      <c r="I31" s="655" t="s">
        <v>554</v>
      </c>
      <c r="J31" s="632">
        <v>1</v>
      </c>
      <c r="K31" s="632">
        <v>1</v>
      </c>
      <c r="L31" s="632"/>
      <c r="M31" s="632"/>
      <c r="N31" s="655" t="s">
        <v>554</v>
      </c>
      <c r="O31" s="632">
        <v>1</v>
      </c>
      <c r="P31" s="632">
        <v>1</v>
      </c>
      <c r="Q31" s="632"/>
      <c r="R31" s="632"/>
      <c r="S31" s="655" t="s">
        <v>554</v>
      </c>
      <c r="T31" s="632">
        <v>1</v>
      </c>
      <c r="U31" s="632">
        <v>1</v>
      </c>
      <c r="V31" s="632"/>
      <c r="W31" s="654"/>
    </row>
    <row r="32" spans="1:23" ht="16.5" thickBot="1">
      <c r="A32" s="1956"/>
      <c r="B32" s="1957"/>
      <c r="C32" s="229" t="s">
        <v>399</v>
      </c>
      <c r="D32" s="227" t="s">
        <v>395</v>
      </c>
      <c r="E32" s="217" t="s">
        <v>277</v>
      </c>
      <c r="F32" s="1942"/>
      <c r="G32" s="1942"/>
      <c r="H32" s="1943"/>
      <c r="I32" s="655" t="s">
        <v>554</v>
      </c>
      <c r="J32" s="632">
        <v>2</v>
      </c>
      <c r="K32" s="632">
        <v>1</v>
      </c>
      <c r="L32" s="632"/>
      <c r="M32" s="632"/>
      <c r="N32" s="655" t="s">
        <v>554</v>
      </c>
      <c r="O32" s="632">
        <v>2</v>
      </c>
      <c r="P32" s="632">
        <v>1</v>
      </c>
      <c r="Q32" s="632"/>
      <c r="R32" s="632"/>
      <c r="S32" s="655" t="s">
        <v>554</v>
      </c>
      <c r="T32" s="632">
        <v>2</v>
      </c>
      <c r="U32" s="632">
        <v>1</v>
      </c>
      <c r="V32" s="632"/>
      <c r="W32" s="654"/>
    </row>
    <row r="33" spans="1:23" ht="16.5" thickBot="1">
      <c r="A33" s="1953" t="s">
        <v>482</v>
      </c>
      <c r="B33" s="1954"/>
      <c r="C33" s="230" t="s">
        <v>365</v>
      </c>
      <c r="D33" s="227" t="s">
        <v>252</v>
      </c>
      <c r="E33" s="217"/>
      <c r="F33" s="1939" t="s">
        <v>483</v>
      </c>
      <c r="G33" s="1940"/>
      <c r="H33" s="1941"/>
      <c r="I33" s="655"/>
      <c r="J33" s="632"/>
      <c r="K33" s="632"/>
      <c r="L33" s="632"/>
      <c r="M33" s="632"/>
      <c r="N33" s="655"/>
      <c r="O33" s="632"/>
      <c r="P33" s="632"/>
      <c r="Q33" s="632"/>
      <c r="R33" s="632"/>
      <c r="S33" s="655"/>
      <c r="T33" s="632"/>
      <c r="U33" s="632"/>
      <c r="V33" s="632"/>
      <c r="W33" s="654"/>
    </row>
    <row r="34" spans="1:23" ht="16.5" thickBot="1">
      <c r="A34" s="1953" t="s">
        <v>484</v>
      </c>
      <c r="B34" s="1954"/>
      <c r="C34" s="230" t="s">
        <v>485</v>
      </c>
      <c r="D34" s="227" t="s">
        <v>264</v>
      </c>
      <c r="E34" s="217"/>
      <c r="F34" s="1973"/>
      <c r="G34" s="1940"/>
      <c r="H34" s="1941"/>
      <c r="I34" s="655"/>
      <c r="J34" s="632"/>
      <c r="K34" s="632"/>
      <c r="L34" s="632"/>
      <c r="M34" s="632"/>
      <c r="N34" s="655"/>
      <c r="O34" s="632"/>
      <c r="P34" s="632"/>
      <c r="Q34" s="632"/>
      <c r="R34" s="632"/>
      <c r="S34" s="655"/>
      <c r="T34" s="632"/>
      <c r="U34" s="632"/>
      <c r="V34" s="632"/>
      <c r="W34" s="654"/>
    </row>
    <row r="35" spans="1:23" ht="15.75">
      <c r="A35" s="1955" t="s">
        <v>486</v>
      </c>
      <c r="B35" s="1954"/>
      <c r="C35" s="231" t="s">
        <v>43</v>
      </c>
      <c r="D35" s="232" t="s">
        <v>256</v>
      </c>
      <c r="E35" s="258" t="s">
        <v>277</v>
      </c>
      <c r="F35" s="1974" t="s">
        <v>556</v>
      </c>
      <c r="G35" s="1940"/>
      <c r="H35" s="1941"/>
      <c r="I35" s="655" t="s">
        <v>554</v>
      </c>
      <c r="J35" s="632">
        <v>2</v>
      </c>
      <c r="K35" s="632"/>
      <c r="L35" s="632"/>
      <c r="M35" s="632"/>
      <c r="N35" s="655" t="s">
        <v>554</v>
      </c>
      <c r="O35" s="632">
        <v>2</v>
      </c>
      <c r="P35" s="632"/>
      <c r="Q35" s="632"/>
      <c r="R35" s="632"/>
      <c r="S35" s="655" t="s">
        <v>554</v>
      </c>
      <c r="T35" s="632">
        <v>2</v>
      </c>
      <c r="U35" s="632"/>
      <c r="V35" s="632"/>
      <c r="W35" s="654"/>
    </row>
    <row r="36" spans="1:23" ht="16.5" thickBot="1">
      <c r="A36" s="1956"/>
      <c r="B36" s="1957"/>
      <c r="C36" s="233" t="s">
        <v>60</v>
      </c>
      <c r="D36" s="232" t="s">
        <v>257</v>
      </c>
      <c r="E36" s="258" t="s">
        <v>277</v>
      </c>
      <c r="F36" s="1942"/>
      <c r="G36" s="1942"/>
      <c r="H36" s="1943"/>
      <c r="I36" s="655" t="s">
        <v>554</v>
      </c>
      <c r="J36" s="632">
        <v>1</v>
      </c>
      <c r="K36" s="632"/>
      <c r="L36" s="632"/>
      <c r="M36" s="632"/>
      <c r="N36" s="655" t="s">
        <v>554</v>
      </c>
      <c r="O36" s="632">
        <v>1</v>
      </c>
      <c r="P36" s="632"/>
      <c r="Q36" s="632"/>
      <c r="R36" s="632"/>
      <c r="S36" s="655" t="s">
        <v>554</v>
      </c>
      <c r="T36" s="632">
        <v>1</v>
      </c>
      <c r="U36" s="632"/>
      <c r="V36" s="632"/>
      <c r="W36" s="654"/>
    </row>
    <row r="37" spans="1:23" ht="30">
      <c r="A37" s="1958" t="s">
        <v>33</v>
      </c>
      <c r="B37" s="1940"/>
      <c r="C37" s="234" t="s">
        <v>30</v>
      </c>
      <c r="D37" s="235" t="s">
        <v>170</v>
      </c>
      <c r="E37" s="258" t="s">
        <v>277</v>
      </c>
      <c r="F37" s="1968" t="s">
        <v>557</v>
      </c>
      <c r="G37" s="1940"/>
      <c r="H37" s="1941"/>
      <c r="I37" s="655" t="s">
        <v>554</v>
      </c>
      <c r="J37" s="632">
        <v>2</v>
      </c>
      <c r="K37" s="632">
        <v>1</v>
      </c>
      <c r="L37" s="632"/>
      <c r="M37" s="632"/>
      <c r="N37" s="655" t="s">
        <v>554</v>
      </c>
      <c r="O37" s="632">
        <v>2</v>
      </c>
      <c r="P37" s="632">
        <v>1</v>
      </c>
      <c r="Q37" s="632"/>
      <c r="R37" s="632"/>
      <c r="S37" s="655" t="s">
        <v>554</v>
      </c>
      <c r="T37" s="632">
        <v>2</v>
      </c>
      <c r="U37" s="632">
        <v>1</v>
      </c>
      <c r="V37" s="632"/>
      <c r="W37" s="654"/>
    </row>
    <row r="38" spans="1:23" ht="30">
      <c r="A38" s="1959"/>
      <c r="B38" s="1951"/>
      <c r="C38" s="236" t="s">
        <v>31</v>
      </c>
      <c r="D38" s="235" t="s">
        <v>169</v>
      </c>
      <c r="E38" s="258" t="s">
        <v>277</v>
      </c>
      <c r="F38" s="1968" t="s">
        <v>558</v>
      </c>
      <c r="G38" s="1940"/>
      <c r="H38" s="1941"/>
      <c r="I38" s="655" t="s">
        <v>554</v>
      </c>
      <c r="J38" s="632">
        <v>2</v>
      </c>
      <c r="K38" s="632">
        <v>1</v>
      </c>
      <c r="L38" s="632"/>
      <c r="M38" s="632"/>
      <c r="N38" s="655" t="s">
        <v>554</v>
      </c>
      <c r="O38" s="632">
        <v>2</v>
      </c>
      <c r="P38" s="632">
        <v>1</v>
      </c>
      <c r="Q38" s="632"/>
      <c r="R38" s="632"/>
      <c r="S38" s="655" t="s">
        <v>554</v>
      </c>
      <c r="T38" s="632">
        <v>2</v>
      </c>
      <c r="U38" s="632">
        <v>1</v>
      </c>
      <c r="V38" s="632"/>
      <c r="W38" s="654"/>
    </row>
    <row r="39" spans="1:23" ht="30.75" thickBot="1">
      <c r="A39" s="1959"/>
      <c r="B39" s="1951"/>
      <c r="C39" s="237" t="s">
        <v>32</v>
      </c>
      <c r="D39" s="235" t="s">
        <v>250</v>
      </c>
      <c r="E39" s="217"/>
      <c r="F39" s="1942"/>
      <c r="G39" s="1942"/>
      <c r="H39" s="1943"/>
      <c r="I39" s="655"/>
      <c r="J39" s="632"/>
      <c r="K39" s="632"/>
      <c r="L39" s="632"/>
      <c r="M39" s="632"/>
      <c r="N39" s="655"/>
      <c r="O39" s="632"/>
      <c r="P39" s="632"/>
      <c r="Q39" s="632"/>
      <c r="R39" s="632"/>
      <c r="S39" s="655"/>
      <c r="T39" s="632"/>
      <c r="U39" s="632"/>
      <c r="V39" s="632"/>
      <c r="W39" s="654"/>
    </row>
    <row r="40" spans="1:23" ht="15.75">
      <c r="A40" s="1960" t="s">
        <v>491</v>
      </c>
      <c r="B40" s="1961"/>
      <c r="C40" s="238" t="s">
        <v>144</v>
      </c>
      <c r="D40" s="239" t="s">
        <v>253</v>
      </c>
      <c r="E40" s="217"/>
      <c r="F40" s="1939" t="s">
        <v>492</v>
      </c>
      <c r="G40" s="1940"/>
      <c r="H40" s="1941"/>
      <c r="I40" s="655"/>
      <c r="J40" s="632"/>
      <c r="K40" s="632"/>
      <c r="L40" s="632"/>
      <c r="M40" s="632"/>
      <c r="N40" s="655"/>
      <c r="O40" s="632"/>
      <c r="P40" s="632"/>
      <c r="Q40" s="632"/>
      <c r="R40" s="632"/>
      <c r="S40" s="655"/>
      <c r="T40" s="632"/>
      <c r="U40" s="632"/>
      <c r="V40" s="632"/>
      <c r="W40" s="654"/>
    </row>
    <row r="41" spans="1:23" ht="16.5" thickBot="1">
      <c r="A41" s="1951"/>
      <c r="B41" s="1962"/>
      <c r="C41" s="240" t="s">
        <v>145</v>
      </c>
      <c r="D41" s="239" t="s">
        <v>254</v>
      </c>
      <c r="E41" s="217"/>
      <c r="F41" s="1942"/>
      <c r="G41" s="1942"/>
      <c r="H41" s="1943"/>
      <c r="I41" s="655"/>
      <c r="J41" s="632"/>
      <c r="K41" s="632"/>
      <c r="L41" s="632"/>
      <c r="M41" s="632"/>
      <c r="N41" s="655"/>
      <c r="O41" s="632"/>
      <c r="P41" s="632"/>
      <c r="Q41" s="632"/>
      <c r="R41" s="632"/>
      <c r="S41" s="655"/>
      <c r="T41" s="632"/>
      <c r="U41" s="632"/>
      <c r="V41" s="632"/>
      <c r="W41" s="654"/>
    </row>
    <row r="42" spans="1:23" ht="48" thickBot="1">
      <c r="A42" s="1963"/>
      <c r="B42" s="1964"/>
      <c r="C42" s="241" t="s">
        <v>128</v>
      </c>
      <c r="D42" s="239" t="s">
        <v>262</v>
      </c>
      <c r="E42" s="217"/>
      <c r="F42" s="1944"/>
      <c r="G42" s="1826"/>
      <c r="H42" s="1827"/>
      <c r="I42" s="655"/>
      <c r="J42" s="632"/>
      <c r="K42" s="632"/>
      <c r="L42" s="632"/>
      <c r="M42" s="632"/>
      <c r="N42" s="655"/>
      <c r="O42" s="632"/>
      <c r="P42" s="632"/>
      <c r="Q42" s="632"/>
      <c r="R42" s="632"/>
      <c r="S42" s="655"/>
      <c r="T42" s="632"/>
      <c r="U42" s="632"/>
      <c r="V42" s="632"/>
      <c r="W42" s="654"/>
    </row>
    <row r="43" spans="1:23" ht="15.75" thickBot="1">
      <c r="A43" s="1965" t="s">
        <v>493</v>
      </c>
      <c r="B43" s="1966"/>
      <c r="C43" s="1967"/>
      <c r="D43" s="242" t="s">
        <v>237</v>
      </c>
      <c r="E43" s="217"/>
      <c r="F43" s="1938" t="s">
        <v>559</v>
      </c>
      <c r="G43" s="1826"/>
      <c r="H43" s="1827"/>
      <c r="I43" s="655"/>
      <c r="J43" s="632"/>
      <c r="K43" s="632"/>
      <c r="L43" s="632"/>
      <c r="M43" s="632"/>
      <c r="N43" s="655"/>
      <c r="O43" s="632"/>
      <c r="P43" s="632"/>
      <c r="Q43" s="632"/>
      <c r="R43" s="632"/>
      <c r="S43" s="655"/>
      <c r="T43" s="632"/>
      <c r="U43" s="632"/>
      <c r="V43" s="632"/>
      <c r="W43" s="654"/>
    </row>
    <row r="44" spans="1:23" ht="15.75" thickBot="1">
      <c r="A44" s="1965" t="s">
        <v>133</v>
      </c>
      <c r="B44" s="1966"/>
      <c r="C44" s="1967"/>
      <c r="D44" s="242" t="s">
        <v>238</v>
      </c>
      <c r="E44" s="217"/>
      <c r="F44" s="1938" t="s">
        <v>495</v>
      </c>
      <c r="G44" s="1826"/>
      <c r="H44" s="1827"/>
      <c r="I44" s="655"/>
      <c r="J44" s="632"/>
      <c r="K44" s="632"/>
      <c r="L44" s="632"/>
      <c r="M44" s="632"/>
      <c r="N44" s="655"/>
      <c r="O44" s="632"/>
      <c r="P44" s="632"/>
      <c r="Q44" s="632"/>
      <c r="R44" s="632"/>
      <c r="S44" s="655"/>
      <c r="T44" s="632"/>
      <c r="U44" s="632"/>
      <c r="V44" s="632"/>
      <c r="W44" s="654"/>
    </row>
    <row r="45" spans="1:23">
      <c r="A45" s="1969" t="s">
        <v>41</v>
      </c>
      <c r="B45" s="1951"/>
      <c r="C45" s="243" t="s">
        <v>50</v>
      </c>
      <c r="D45" s="244" t="s">
        <v>246</v>
      </c>
      <c r="E45" s="217"/>
      <c r="F45" s="1945" t="s">
        <v>560</v>
      </c>
      <c r="G45" s="1826"/>
      <c r="H45" s="1827"/>
      <c r="I45" s="655"/>
      <c r="J45" s="632"/>
      <c r="K45" s="632"/>
      <c r="L45" s="632"/>
      <c r="M45" s="632"/>
      <c r="N45" s="655"/>
      <c r="O45" s="632"/>
      <c r="P45" s="632"/>
      <c r="Q45" s="632"/>
      <c r="R45" s="632"/>
      <c r="S45" s="655"/>
      <c r="T45" s="632"/>
      <c r="U45" s="632"/>
      <c r="V45" s="632"/>
      <c r="W45" s="654"/>
    </row>
    <row r="46" spans="1:23" ht="86.25" customHeight="1">
      <c r="A46" s="1959"/>
      <c r="B46" s="1951"/>
      <c r="C46" s="245" t="s">
        <v>51</v>
      </c>
      <c r="D46" s="244" t="s">
        <v>247</v>
      </c>
      <c r="E46" s="217"/>
      <c r="F46" s="1945" t="s">
        <v>498</v>
      </c>
      <c r="G46" s="1826"/>
      <c r="H46" s="1827"/>
      <c r="I46" s="655"/>
      <c r="J46" s="632"/>
      <c r="K46" s="632"/>
      <c r="L46" s="632"/>
      <c r="M46" s="632"/>
      <c r="N46" s="655"/>
      <c r="O46" s="632"/>
      <c r="P46" s="632"/>
      <c r="Q46" s="632"/>
      <c r="R46" s="632"/>
      <c r="S46" s="655"/>
      <c r="T46" s="632"/>
      <c r="U46" s="632"/>
      <c r="V46" s="632"/>
      <c r="W46" s="654"/>
    </row>
    <row r="47" spans="1:23">
      <c r="A47" s="1959"/>
      <c r="B47" s="1951"/>
      <c r="C47" s="245" t="s">
        <v>39</v>
      </c>
      <c r="D47" s="244" t="s">
        <v>248</v>
      </c>
      <c r="E47" s="217"/>
      <c r="F47" s="1945" t="s">
        <v>498</v>
      </c>
      <c r="G47" s="1826"/>
      <c r="H47" s="1827"/>
      <c r="I47" s="655"/>
      <c r="J47" s="632"/>
      <c r="K47" s="632"/>
      <c r="L47" s="632"/>
      <c r="M47" s="632"/>
      <c r="N47" s="655"/>
      <c r="O47" s="632"/>
      <c r="P47" s="632"/>
      <c r="Q47" s="632"/>
      <c r="R47" s="632"/>
      <c r="S47" s="655"/>
      <c r="T47" s="632"/>
      <c r="U47" s="632"/>
      <c r="V47" s="632"/>
      <c r="W47" s="654"/>
    </row>
    <row r="48" spans="1:23" ht="15.75" thickBot="1">
      <c r="A48" s="1956"/>
      <c r="B48" s="1942"/>
      <c r="C48" s="246" t="s">
        <v>40</v>
      </c>
      <c r="D48" s="244" t="s">
        <v>249</v>
      </c>
      <c r="E48" s="217"/>
      <c r="F48" s="1945" t="s">
        <v>498</v>
      </c>
      <c r="G48" s="1826"/>
      <c r="H48" s="1827"/>
      <c r="I48" s="655"/>
      <c r="J48" s="632"/>
      <c r="K48" s="632"/>
      <c r="L48" s="632"/>
      <c r="M48" s="632"/>
      <c r="N48" s="655"/>
      <c r="O48" s="632"/>
      <c r="P48" s="632"/>
      <c r="Q48" s="632"/>
      <c r="R48" s="632"/>
      <c r="S48" s="655"/>
      <c r="T48" s="632"/>
      <c r="U48" s="632"/>
      <c r="V48" s="632"/>
      <c r="W48" s="654"/>
    </row>
    <row r="49" spans="1:23" ht="15.75">
      <c r="A49" s="1970" t="s">
        <v>130</v>
      </c>
      <c r="B49" s="1954"/>
      <c r="C49" s="238" t="s">
        <v>131</v>
      </c>
      <c r="D49" s="239" t="s">
        <v>255</v>
      </c>
      <c r="E49" s="217"/>
      <c r="F49" s="1946"/>
      <c r="G49" s="1826"/>
      <c r="H49" s="1827"/>
      <c r="I49" s="655"/>
      <c r="J49" s="632"/>
      <c r="K49" s="632"/>
      <c r="L49" s="632"/>
      <c r="M49" s="632"/>
      <c r="N49" s="655"/>
      <c r="O49" s="632"/>
      <c r="P49" s="632"/>
      <c r="Q49" s="632"/>
      <c r="R49" s="632"/>
      <c r="S49" s="655"/>
      <c r="T49" s="632"/>
      <c r="U49" s="632"/>
      <c r="V49" s="632"/>
      <c r="W49" s="654"/>
    </row>
    <row r="50" spans="1:23" ht="48" thickBot="1">
      <c r="A50" s="1956"/>
      <c r="B50" s="1957"/>
      <c r="C50" s="247" t="s">
        <v>132</v>
      </c>
      <c r="D50" s="239" t="s">
        <v>263</v>
      </c>
      <c r="E50" s="217"/>
      <c r="F50" s="1946"/>
      <c r="G50" s="1826"/>
      <c r="H50" s="1827"/>
      <c r="I50" s="655"/>
      <c r="J50" s="632"/>
      <c r="K50" s="632"/>
      <c r="L50" s="632"/>
      <c r="M50" s="632"/>
      <c r="N50" s="655"/>
      <c r="O50" s="632"/>
      <c r="P50" s="632"/>
      <c r="Q50" s="632"/>
      <c r="R50" s="632"/>
      <c r="S50" s="655"/>
      <c r="T50" s="632"/>
      <c r="U50" s="632"/>
      <c r="V50" s="632"/>
      <c r="W50" s="654"/>
    </row>
    <row r="51" spans="1:23">
      <c r="A51" s="1950" t="s">
        <v>42</v>
      </c>
      <c r="B51" s="1940"/>
      <c r="C51" s="248" t="s">
        <v>38</v>
      </c>
      <c r="D51" s="249" t="s">
        <v>239</v>
      </c>
      <c r="E51" s="258" t="s">
        <v>277</v>
      </c>
      <c r="F51" s="1947" t="s">
        <v>561</v>
      </c>
      <c r="G51" s="1826"/>
      <c r="H51" s="1827"/>
      <c r="I51" s="655" t="s">
        <v>554</v>
      </c>
      <c r="J51" s="632">
        <v>3</v>
      </c>
      <c r="K51" s="632"/>
      <c r="L51" s="632"/>
      <c r="M51" s="632"/>
      <c r="N51" s="655" t="s">
        <v>554</v>
      </c>
      <c r="O51" s="632">
        <v>3</v>
      </c>
      <c r="P51" s="632"/>
      <c r="Q51" s="632"/>
      <c r="R51" s="632"/>
      <c r="S51" s="655" t="s">
        <v>554</v>
      </c>
      <c r="T51" s="632">
        <v>3</v>
      </c>
      <c r="U51" s="632"/>
      <c r="V51" s="632"/>
      <c r="W51" s="654"/>
    </row>
    <row r="52" spans="1:23">
      <c r="A52" s="1951"/>
      <c r="B52" s="1951"/>
      <c r="C52" s="250" t="s">
        <v>55</v>
      </c>
      <c r="D52" s="249" t="s">
        <v>240</v>
      </c>
      <c r="E52" s="217"/>
      <c r="F52" s="1948"/>
      <c r="G52" s="1826"/>
      <c r="H52" s="1827"/>
      <c r="I52" s="655"/>
      <c r="J52" s="632"/>
      <c r="K52" s="632"/>
      <c r="L52" s="632"/>
      <c r="M52" s="632"/>
      <c r="N52" s="656"/>
      <c r="O52" s="632"/>
      <c r="P52" s="632"/>
      <c r="Q52" s="632"/>
      <c r="R52" s="632"/>
      <c r="S52" s="656"/>
      <c r="T52" s="632"/>
      <c r="U52" s="632"/>
      <c r="V52" s="632"/>
      <c r="W52" s="654"/>
    </row>
    <row r="53" spans="1:23" ht="16.5" thickBot="1">
      <c r="A53" s="1951"/>
      <c r="B53" s="1951"/>
      <c r="C53" s="240" t="s">
        <v>48</v>
      </c>
      <c r="D53" s="251" t="s">
        <v>241</v>
      </c>
      <c r="E53" s="217"/>
      <c r="F53" s="1949"/>
      <c r="G53" s="1826"/>
      <c r="H53" s="1827"/>
      <c r="I53" s="655"/>
      <c r="J53" s="632"/>
      <c r="K53" s="632"/>
      <c r="L53" s="632"/>
      <c r="M53" s="632"/>
      <c r="N53" s="656"/>
      <c r="O53" s="632"/>
      <c r="P53" s="632"/>
      <c r="Q53" s="632"/>
      <c r="R53" s="632"/>
      <c r="S53" s="656"/>
      <c r="T53" s="632"/>
      <c r="U53" s="632"/>
      <c r="V53" s="632"/>
      <c r="W53" s="654"/>
    </row>
    <row r="54" spans="1:23" ht="32.25" thickBot="1">
      <c r="A54" s="1952" t="s">
        <v>500</v>
      </c>
      <c r="B54" s="1826"/>
      <c r="C54" s="252" t="s">
        <v>134</v>
      </c>
      <c r="D54" s="253" t="s">
        <v>269</v>
      </c>
      <c r="E54" s="254"/>
      <c r="F54" s="1938" t="s">
        <v>501</v>
      </c>
      <c r="G54" s="1826"/>
      <c r="H54" s="1827"/>
      <c r="I54" s="657"/>
      <c r="J54" s="658"/>
      <c r="K54" s="658"/>
      <c r="L54" s="658"/>
      <c r="M54" s="658"/>
      <c r="N54" s="659"/>
      <c r="O54" s="658"/>
      <c r="P54" s="658"/>
      <c r="Q54" s="658"/>
      <c r="R54" s="658"/>
      <c r="S54" s="659"/>
      <c r="T54" s="658"/>
      <c r="U54" s="658"/>
      <c r="V54" s="658"/>
      <c r="W54" s="660"/>
    </row>
    <row r="57" spans="1:23" ht="45">
      <c r="A57" s="661" t="s">
        <v>948</v>
      </c>
      <c r="B57" s="661" t="s">
        <v>949</v>
      </c>
      <c r="C57" s="661" t="s">
        <v>950</v>
      </c>
      <c r="D57" s="661" t="s">
        <v>951</v>
      </c>
      <c r="E57" s="661" t="s">
        <v>952</v>
      </c>
    </row>
    <row r="58" spans="1:23">
      <c r="A58" s="631" t="s">
        <v>953</v>
      </c>
      <c r="B58" s="624" t="s">
        <v>887</v>
      </c>
      <c r="C58" s="632">
        <v>2</v>
      </c>
      <c r="D58" s="632">
        <v>4</v>
      </c>
      <c r="E58" s="662">
        <v>45717</v>
      </c>
    </row>
    <row r="59" spans="1:23">
      <c r="A59" s="631" t="s">
        <v>956</v>
      </c>
      <c r="B59" s="624" t="s">
        <v>887</v>
      </c>
      <c r="C59" s="632">
        <v>6</v>
      </c>
      <c r="D59" s="632">
        <v>1.5</v>
      </c>
      <c r="E59" s="635" t="s">
        <v>990</v>
      </c>
    </row>
    <row r="60" spans="1:23">
      <c r="A60" s="631" t="s">
        <v>957</v>
      </c>
      <c r="B60" s="624" t="s">
        <v>991</v>
      </c>
      <c r="C60" s="632"/>
      <c r="D60" s="632"/>
      <c r="E60" s="633"/>
    </row>
    <row r="61" spans="1:23">
      <c r="A61" s="631" t="s">
        <v>959</v>
      </c>
      <c r="B61" s="624" t="s">
        <v>887</v>
      </c>
      <c r="C61" s="632">
        <v>16</v>
      </c>
      <c r="D61" s="632">
        <v>2</v>
      </c>
      <c r="E61" s="635" t="s">
        <v>992</v>
      </c>
    </row>
    <row r="62" spans="1:23">
      <c r="A62" s="631" t="s">
        <v>961</v>
      </c>
      <c r="B62" s="663" t="s">
        <v>887</v>
      </c>
      <c r="C62" s="632">
        <v>16</v>
      </c>
      <c r="D62" s="632">
        <v>14.5</v>
      </c>
      <c r="E62" s="635" t="s">
        <v>992</v>
      </c>
    </row>
    <row r="63" spans="1:23">
      <c r="A63" s="631" t="s">
        <v>963</v>
      </c>
      <c r="B63" s="663" t="s">
        <v>887</v>
      </c>
      <c r="C63" s="632">
        <v>3</v>
      </c>
      <c r="D63" s="632">
        <v>1.5</v>
      </c>
      <c r="E63" s="635" t="s">
        <v>992</v>
      </c>
    </row>
    <row r="64" spans="1:23">
      <c r="A64" s="631" t="s">
        <v>965</v>
      </c>
      <c r="B64" s="624" t="s">
        <v>887</v>
      </c>
      <c r="C64" s="632">
        <v>16</v>
      </c>
      <c r="D64" s="632">
        <v>2</v>
      </c>
      <c r="E64" s="635" t="s">
        <v>992</v>
      </c>
    </row>
    <row r="65" spans="1:6">
      <c r="A65" s="631" t="s">
        <v>967</v>
      </c>
      <c r="B65" s="624" t="s">
        <v>991</v>
      </c>
      <c r="C65" s="632"/>
      <c r="D65" s="632"/>
      <c r="E65" s="633"/>
    </row>
    <row r="66" spans="1:6">
      <c r="A66" s="631" t="s">
        <v>969</v>
      </c>
      <c r="B66" s="624" t="s">
        <v>991</v>
      </c>
      <c r="C66" s="632"/>
      <c r="D66" s="632"/>
      <c r="E66" s="633"/>
    </row>
    <row r="67" spans="1:6">
      <c r="A67" s="631" t="s">
        <v>971</v>
      </c>
      <c r="B67" s="624" t="s">
        <v>887</v>
      </c>
      <c r="C67" s="632">
        <v>16</v>
      </c>
      <c r="D67" s="632">
        <v>2</v>
      </c>
      <c r="E67" s="635" t="s">
        <v>993</v>
      </c>
    </row>
    <row r="68" spans="1:6">
      <c r="A68" s="631" t="s">
        <v>986</v>
      </c>
      <c r="B68" s="632"/>
      <c r="C68" s="632"/>
      <c r="D68" s="632"/>
      <c r="E68" s="633"/>
    </row>
    <row r="69" spans="1:6">
      <c r="A69" s="631"/>
      <c r="B69" s="632"/>
      <c r="C69" s="632"/>
      <c r="D69" s="632"/>
      <c r="E69" s="633"/>
    </row>
    <row r="70" spans="1:6">
      <c r="A70" s="631"/>
      <c r="B70" s="632"/>
      <c r="C70" s="632"/>
      <c r="D70" s="632"/>
      <c r="E70" s="633"/>
    </row>
    <row r="73" spans="1:6">
      <c r="A73" s="1912" t="s">
        <v>1270</v>
      </c>
      <c r="B73" s="1913"/>
      <c r="C73" s="1913"/>
      <c r="D73" s="1913"/>
      <c r="E73" s="1913"/>
      <c r="F73" s="1913"/>
    </row>
    <row r="74" spans="1:6" ht="75">
      <c r="A74" s="1285" t="s">
        <v>1271</v>
      </c>
      <c r="B74" s="1285" t="s">
        <v>1272</v>
      </c>
      <c r="C74" s="1285" t="s">
        <v>1273</v>
      </c>
      <c r="D74" s="1285" t="s">
        <v>1274</v>
      </c>
      <c r="E74" s="1285" t="s">
        <v>1275</v>
      </c>
      <c r="F74" s="1285" t="s">
        <v>1276</v>
      </c>
    </row>
    <row r="75" spans="1:6" ht="195">
      <c r="A75" s="1289" t="s">
        <v>1318</v>
      </c>
      <c r="B75" s="1288" t="s">
        <v>1319</v>
      </c>
      <c r="C75" s="1286" t="s">
        <v>1320</v>
      </c>
      <c r="D75" s="1286" t="s">
        <v>954</v>
      </c>
      <c r="E75" s="1286" t="s">
        <v>1321</v>
      </c>
      <c r="F75" s="1284">
        <v>10</v>
      </c>
    </row>
    <row r="76" spans="1:6" ht="225">
      <c r="A76" s="1289" t="s">
        <v>1322</v>
      </c>
      <c r="B76" s="1288" t="s">
        <v>1323</v>
      </c>
      <c r="C76" s="1286" t="s">
        <v>1320</v>
      </c>
      <c r="D76" s="1286" t="s">
        <v>954</v>
      </c>
      <c r="E76" s="1287" t="s">
        <v>1324</v>
      </c>
      <c r="F76" s="1290">
        <v>10</v>
      </c>
    </row>
    <row r="77" spans="1:6" ht="195">
      <c r="A77" s="1289" t="s">
        <v>1325</v>
      </c>
      <c r="B77" s="1288" t="s">
        <v>1326</v>
      </c>
      <c r="C77" s="1286" t="s">
        <v>1320</v>
      </c>
      <c r="D77" s="1286" t="s">
        <v>954</v>
      </c>
      <c r="E77" s="1288" t="s">
        <v>1327</v>
      </c>
      <c r="F77" s="1290">
        <v>10</v>
      </c>
    </row>
    <row r="78" spans="1:6" ht="90">
      <c r="A78" s="1289" t="s">
        <v>1328</v>
      </c>
      <c r="B78" s="1288" t="s">
        <v>1329</v>
      </c>
      <c r="C78" s="1286" t="s">
        <v>1320</v>
      </c>
      <c r="D78" s="1286" t="s">
        <v>954</v>
      </c>
      <c r="E78" s="1287" t="s">
        <v>1324</v>
      </c>
      <c r="F78" s="1290">
        <v>10</v>
      </c>
    </row>
    <row r="79" spans="1:6" ht="240">
      <c r="A79" s="1291" t="s">
        <v>1330</v>
      </c>
      <c r="B79" s="1288" t="s">
        <v>1331</v>
      </c>
      <c r="C79" s="1286" t="s">
        <v>1320</v>
      </c>
      <c r="D79" s="1286" t="s">
        <v>954</v>
      </c>
      <c r="E79" s="1287" t="s">
        <v>1324</v>
      </c>
      <c r="F79" s="1290">
        <v>10</v>
      </c>
    </row>
    <row r="80" spans="1:6" ht="75">
      <c r="A80" s="1288" t="s">
        <v>1332</v>
      </c>
      <c r="B80" s="1288" t="s">
        <v>1333</v>
      </c>
      <c r="C80" s="1288" t="s">
        <v>1334</v>
      </c>
      <c r="D80" s="1288" t="s">
        <v>1005</v>
      </c>
      <c r="E80" s="1287" t="s">
        <v>1324</v>
      </c>
      <c r="F80" s="1290">
        <v>10</v>
      </c>
    </row>
  </sheetData>
  <mergeCells count="59">
    <mergeCell ref="A73:F73"/>
    <mergeCell ref="A14:B14"/>
    <mergeCell ref="E12:H13"/>
    <mergeCell ref="F14:H14"/>
    <mergeCell ref="F15:H17"/>
    <mergeCell ref="F18:H20"/>
    <mergeCell ref="F26:H26"/>
    <mergeCell ref="A15:B17"/>
    <mergeCell ref="A18:B20"/>
    <mergeCell ref="A21:B22"/>
    <mergeCell ref="A23:B25"/>
    <mergeCell ref="A26:C26"/>
    <mergeCell ref="F21:H22"/>
    <mergeCell ref="F23:H25"/>
    <mergeCell ref="A27:B29"/>
    <mergeCell ref="A30:B32"/>
    <mergeCell ref="J10:J11"/>
    <mergeCell ref="B6:D6"/>
    <mergeCell ref="B8:D8"/>
    <mergeCell ref="A10:B10"/>
    <mergeCell ref="B2:D2"/>
    <mergeCell ref="B3:D3"/>
    <mergeCell ref="B4:D4"/>
    <mergeCell ref="C10:H10"/>
    <mergeCell ref="F27:H29"/>
    <mergeCell ref="F30:H32"/>
    <mergeCell ref="F33:H33"/>
    <mergeCell ref="F34:H34"/>
    <mergeCell ref="F35:H36"/>
    <mergeCell ref="F37:H37"/>
    <mergeCell ref="F38:H39"/>
    <mergeCell ref="A45:B48"/>
    <mergeCell ref="F48:H48"/>
    <mergeCell ref="A49:B50"/>
    <mergeCell ref="A51:B53"/>
    <mergeCell ref="A54:B54"/>
    <mergeCell ref="A33:B33"/>
    <mergeCell ref="A34:B34"/>
    <mergeCell ref="A35:B36"/>
    <mergeCell ref="A37:B39"/>
    <mergeCell ref="A40:B42"/>
    <mergeCell ref="A43:C43"/>
    <mergeCell ref="A44:C44"/>
    <mergeCell ref="I13:M13"/>
    <mergeCell ref="N13:R13"/>
    <mergeCell ref="S13:W13"/>
    <mergeCell ref="F54:H54"/>
    <mergeCell ref="F40:H41"/>
    <mergeCell ref="F42:H42"/>
    <mergeCell ref="F43:H43"/>
    <mergeCell ref="F44:H44"/>
    <mergeCell ref="F45:H45"/>
    <mergeCell ref="F46:H46"/>
    <mergeCell ref="F47:H47"/>
    <mergeCell ref="F49:H49"/>
    <mergeCell ref="F50:H50"/>
    <mergeCell ref="F51:H51"/>
    <mergeCell ref="F52:H52"/>
    <mergeCell ref="F53:H53"/>
  </mergeCells>
  <hyperlinks>
    <hyperlink ref="J3" location="SOMMAIRE!A1" display="Retour sommaire"/>
  </hyperlink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K25"/>
  <sheetViews>
    <sheetView topLeftCell="A16" workbookViewId="0">
      <selection activeCell="I22" sqref="I22"/>
    </sheetView>
  </sheetViews>
  <sheetFormatPr baseColWidth="10" defaultRowHeight="15"/>
  <cols>
    <col min="1" max="1" width="20.42578125" bestFit="1" customWidth="1"/>
    <col min="3" max="3" width="38.85546875" bestFit="1" customWidth="1"/>
    <col min="6" max="6" width="16.28515625" bestFit="1" customWidth="1"/>
    <col min="7" max="7" width="21" bestFit="1" customWidth="1"/>
    <col min="9" max="9" width="49.5703125" bestFit="1" customWidth="1"/>
  </cols>
  <sheetData>
    <row r="1" spans="1:10" ht="15.75" thickBot="1">
      <c r="A1" s="97"/>
      <c r="B1" s="97"/>
      <c r="C1" s="97"/>
      <c r="D1" s="97"/>
      <c r="E1" s="97"/>
      <c r="F1" s="97"/>
      <c r="G1" s="97"/>
      <c r="H1" s="2"/>
    </row>
    <row r="2" spans="1:10" ht="15.75" thickBot="1">
      <c r="A2" s="100" t="s">
        <v>0</v>
      </c>
      <c r="B2" s="2016" t="s">
        <v>404</v>
      </c>
      <c r="C2" s="2017"/>
      <c r="D2" s="97"/>
      <c r="E2" s="97"/>
      <c r="F2" s="102" t="s">
        <v>4</v>
      </c>
      <c r="G2" s="103" t="s">
        <v>403</v>
      </c>
      <c r="H2" s="2"/>
    </row>
    <row r="3" spans="1:10" ht="15.75" thickBot="1">
      <c r="A3" s="4" t="s">
        <v>3</v>
      </c>
      <c r="B3" s="2018" t="s">
        <v>405</v>
      </c>
      <c r="C3" s="2019"/>
      <c r="D3" s="97"/>
      <c r="E3" s="97"/>
      <c r="F3" s="5" t="s">
        <v>410</v>
      </c>
      <c r="G3" s="106" t="s">
        <v>411</v>
      </c>
      <c r="H3" s="2"/>
      <c r="J3" s="11" t="s">
        <v>73</v>
      </c>
    </row>
    <row r="4" spans="1:10" ht="15.75" thickBot="1">
      <c r="A4" s="97"/>
      <c r="B4" s="97"/>
      <c r="C4" s="97"/>
      <c r="D4" s="97"/>
      <c r="E4" s="97"/>
      <c r="F4" s="104" t="s">
        <v>10</v>
      </c>
      <c r="G4" s="105" t="s">
        <v>406</v>
      </c>
      <c r="H4" s="2"/>
    </row>
    <row r="5" spans="1:10" ht="15.75" thickBot="1">
      <c r="A5" s="2020" t="s">
        <v>2</v>
      </c>
      <c r="B5" s="2022" t="s">
        <v>407</v>
      </c>
      <c r="C5" s="2023"/>
      <c r="D5" s="55"/>
      <c r="E5" s="97"/>
      <c r="F5" s="5" t="s">
        <v>9</v>
      </c>
      <c r="G5" s="96" t="s">
        <v>53</v>
      </c>
      <c r="H5" s="3"/>
      <c r="J5" s="13" t="s">
        <v>381</v>
      </c>
    </row>
    <row r="6" spans="1:10" ht="15.75" thickBot="1">
      <c r="A6" s="2021"/>
      <c r="B6" s="2024"/>
      <c r="C6" s="2025"/>
      <c r="D6" s="55"/>
      <c r="E6" s="97"/>
      <c r="F6" s="97"/>
      <c r="G6" s="97"/>
      <c r="H6" s="3"/>
    </row>
    <row r="7" spans="1:10" ht="15.75" thickBot="1">
      <c r="A7" s="97"/>
      <c r="B7" s="97"/>
      <c r="C7" s="97"/>
      <c r="D7" s="97"/>
      <c r="E7" s="97"/>
      <c r="F7" s="5" t="s">
        <v>11</v>
      </c>
      <c r="G7" s="96" t="s">
        <v>8</v>
      </c>
      <c r="H7" s="3"/>
      <c r="J7" s="1821"/>
    </row>
    <row r="8" spans="1:10" ht="15.75" thickBot="1">
      <c r="A8" s="5" t="s">
        <v>12</v>
      </c>
      <c r="B8" s="2026" t="s">
        <v>13</v>
      </c>
      <c r="C8" s="2027"/>
      <c r="D8" s="97"/>
      <c r="E8" s="97"/>
      <c r="F8" s="5" t="s">
        <v>26</v>
      </c>
      <c r="G8" s="96">
        <v>7</v>
      </c>
      <c r="H8" s="2"/>
      <c r="J8" s="1821"/>
    </row>
    <row r="9" spans="1:10" ht="15.75" thickBot="1">
      <c r="A9" s="56"/>
      <c r="B9" s="56"/>
      <c r="C9" s="97"/>
      <c r="D9" s="97"/>
      <c r="E9" s="97"/>
      <c r="F9" s="97"/>
      <c r="G9" s="97"/>
      <c r="H9" s="2"/>
    </row>
    <row r="10" spans="1:10" ht="15.75" thickBot="1">
      <c r="A10" s="2009" t="s">
        <v>7</v>
      </c>
      <c r="B10" s="2010"/>
      <c r="C10" s="2011"/>
      <c r="D10" s="2012"/>
      <c r="E10" s="40"/>
      <c r="F10" s="5" t="s">
        <v>409</v>
      </c>
      <c r="G10" s="106" t="s">
        <v>411</v>
      </c>
      <c r="H10" s="2"/>
    </row>
    <row r="11" spans="1:10" s="1606" customFormat="1" ht="15.75" thickBot="1">
      <c r="A11" s="1619"/>
      <c r="B11" s="1619"/>
      <c r="C11" s="1620"/>
      <c r="D11" s="1620"/>
      <c r="E11" s="1621"/>
      <c r="F11" s="1622"/>
      <c r="G11" s="1607"/>
      <c r="H11" s="2"/>
    </row>
    <row r="12" spans="1:10" s="1606" customFormat="1" ht="56.25" customHeight="1" thickBot="1">
      <c r="A12" s="2009" t="s">
        <v>1571</v>
      </c>
      <c r="B12" s="2010"/>
      <c r="C12" s="2011" t="s">
        <v>1572</v>
      </c>
      <c r="D12" s="2012"/>
      <c r="E12" s="1621"/>
      <c r="F12" s="1622"/>
      <c r="G12" s="1607"/>
      <c r="H12" s="2"/>
    </row>
    <row r="13" spans="1:10" s="1606" customFormat="1">
      <c r="A13" s="1619"/>
      <c r="B13" s="1619"/>
      <c r="C13" s="1620"/>
      <c r="D13" s="1620"/>
      <c r="E13" s="1621"/>
      <c r="F13" s="1622"/>
      <c r="G13" s="1607"/>
      <c r="H13" s="2"/>
    </row>
    <row r="14" spans="1:10" s="1606" customFormat="1">
      <c r="A14" s="1619"/>
      <c r="B14" s="1619"/>
      <c r="C14" s="1620"/>
      <c r="D14" s="1620"/>
      <c r="E14" s="1621"/>
      <c r="F14" s="1622"/>
      <c r="G14" s="1607"/>
      <c r="H14" s="2"/>
    </row>
    <row r="15" spans="1:10" s="1606" customFormat="1">
      <c r="A15" s="1619"/>
      <c r="B15" s="1619"/>
      <c r="C15" s="1620"/>
      <c r="D15" s="1620"/>
      <c r="E15" s="1621"/>
      <c r="F15" s="1622"/>
      <c r="G15" s="1607"/>
      <c r="H15" s="2"/>
    </row>
    <row r="16" spans="1:10">
      <c r="A16" s="97"/>
      <c r="B16" s="97"/>
      <c r="C16" s="97"/>
      <c r="D16" s="97"/>
      <c r="E16" s="97"/>
      <c r="F16" s="97"/>
      <c r="G16" s="97"/>
      <c r="H16" s="2"/>
    </row>
    <row r="17" spans="1:11">
      <c r="A17" s="2001" t="s">
        <v>5</v>
      </c>
      <c r="B17" s="2001"/>
      <c r="C17" s="57" t="s">
        <v>1</v>
      </c>
      <c r="D17" s="57" t="s">
        <v>260</v>
      </c>
      <c r="E17" s="2002" t="s">
        <v>6</v>
      </c>
      <c r="F17" s="2002"/>
      <c r="G17" s="2002"/>
      <c r="H17" s="2"/>
    </row>
    <row r="18" spans="1:11">
      <c r="A18" s="1994" t="s">
        <v>20</v>
      </c>
      <c r="B18" s="1994"/>
      <c r="C18" s="6" t="s">
        <v>21</v>
      </c>
      <c r="D18" s="6" t="s">
        <v>234</v>
      </c>
      <c r="E18" s="2003" t="s">
        <v>402</v>
      </c>
      <c r="F18" s="2004"/>
      <c r="G18" s="2005"/>
      <c r="H18" s="2">
        <v>1</v>
      </c>
    </row>
    <row r="19" spans="1:11">
      <c r="A19" s="1994"/>
      <c r="B19" s="1994"/>
      <c r="C19" s="6" t="s">
        <v>22</v>
      </c>
      <c r="D19" s="6" t="s">
        <v>235</v>
      </c>
      <c r="E19" s="2006"/>
      <c r="F19" s="2007"/>
      <c r="G19" s="2008"/>
      <c r="H19" s="2">
        <v>1</v>
      </c>
    </row>
    <row r="20" spans="1:11" ht="25.5" customHeight="1">
      <c r="A20" s="1994" t="s">
        <v>25</v>
      </c>
      <c r="B20" s="1994"/>
      <c r="C20" s="1994"/>
      <c r="D20" s="98" t="s">
        <v>270</v>
      </c>
      <c r="E20" s="1995" t="s">
        <v>414</v>
      </c>
      <c r="F20" s="1996"/>
      <c r="G20" s="1997"/>
      <c r="H20" s="2">
        <v>1</v>
      </c>
    </row>
    <row r="21" spans="1:11" ht="45">
      <c r="A21" s="1998" t="s">
        <v>33</v>
      </c>
      <c r="B21" s="1998"/>
      <c r="C21" s="39" t="s">
        <v>30</v>
      </c>
      <c r="D21" s="39" t="s">
        <v>170</v>
      </c>
      <c r="E21" s="2000" t="s">
        <v>415</v>
      </c>
      <c r="F21" s="2000"/>
      <c r="G21" s="2000"/>
      <c r="H21" s="2">
        <v>1</v>
      </c>
      <c r="K21" s="2">
        <v>1</v>
      </c>
    </row>
    <row r="22" spans="1:11" ht="45">
      <c r="A22" s="1999"/>
      <c r="B22" s="1999"/>
      <c r="C22" s="39" t="s">
        <v>31</v>
      </c>
      <c r="D22" s="39" t="s">
        <v>169</v>
      </c>
      <c r="E22" s="2013" t="s">
        <v>416</v>
      </c>
      <c r="F22" s="2014"/>
      <c r="G22" s="2015"/>
      <c r="H22" s="2">
        <v>1</v>
      </c>
    </row>
    <row r="23" spans="1:11" ht="45">
      <c r="A23" s="1999"/>
      <c r="B23" s="1999"/>
      <c r="C23" s="58" t="s">
        <v>32</v>
      </c>
      <c r="D23" s="58" t="s">
        <v>250</v>
      </c>
      <c r="E23" s="2013" t="s">
        <v>1650</v>
      </c>
      <c r="F23" s="2014"/>
      <c r="G23" s="2015"/>
      <c r="H23" s="2">
        <v>1</v>
      </c>
    </row>
    <row r="24" spans="1:11" ht="58.5" customHeight="1">
      <c r="A24" s="1991" t="s">
        <v>27</v>
      </c>
      <c r="B24" s="1991"/>
      <c r="C24" s="7" t="s">
        <v>29</v>
      </c>
      <c r="D24" s="99" t="s">
        <v>238</v>
      </c>
      <c r="E24" s="1992" t="s">
        <v>408</v>
      </c>
      <c r="F24" s="1993"/>
      <c r="G24" s="1993"/>
    </row>
    <row r="25" spans="1:11">
      <c r="A25" s="34"/>
      <c r="B25" s="34"/>
    </row>
  </sheetData>
  <mergeCells count="22">
    <mergeCell ref="C12:D12"/>
    <mergeCell ref="B2:C2"/>
    <mergeCell ref="B3:C3"/>
    <mergeCell ref="A5:A6"/>
    <mergeCell ref="B5:C6"/>
    <mergeCell ref="B8:C8"/>
    <mergeCell ref="J7:J8"/>
    <mergeCell ref="A24:B24"/>
    <mergeCell ref="E24:G24"/>
    <mergeCell ref="A20:C20"/>
    <mergeCell ref="E20:G20"/>
    <mergeCell ref="A21:B23"/>
    <mergeCell ref="E21:G21"/>
    <mergeCell ref="A17:B17"/>
    <mergeCell ref="E17:G17"/>
    <mergeCell ref="A18:B19"/>
    <mergeCell ref="E18:G19"/>
    <mergeCell ref="A10:B10"/>
    <mergeCell ref="C10:D10"/>
    <mergeCell ref="E22:G22"/>
    <mergeCell ref="E23:G23"/>
    <mergeCell ref="A12:B12"/>
  </mergeCells>
  <hyperlinks>
    <hyperlink ref="J3" location="SOMMAIRE!A1" display="Retour sommaire"/>
    <hyperlink ref="J5" location="SYNTHESE!A1" display="Retour synthèse"/>
  </hyperlink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W86"/>
  <sheetViews>
    <sheetView topLeftCell="A40" workbookViewId="0">
      <selection activeCell="F47" sqref="F47:H47"/>
    </sheetView>
  </sheetViews>
  <sheetFormatPr baseColWidth="10" defaultRowHeight="15"/>
  <cols>
    <col min="1" max="1" width="17.140625" customWidth="1"/>
    <col min="3" max="3" width="46.140625" customWidth="1"/>
    <col min="7" max="7" width="15.7109375" customWidth="1"/>
    <col min="8" max="8" width="18.28515625" customWidth="1"/>
  </cols>
  <sheetData>
    <row r="1" spans="1:23" ht="15.75" thickBot="1"/>
    <row r="2" spans="1:23" ht="15.75" thickBot="1">
      <c r="A2" s="328" t="s">
        <v>0</v>
      </c>
      <c r="B2" s="2029" t="s">
        <v>783</v>
      </c>
      <c r="C2" s="1776"/>
      <c r="D2" s="1777"/>
      <c r="E2" s="329"/>
      <c r="F2" s="329"/>
      <c r="G2" s="330" t="s">
        <v>462</v>
      </c>
      <c r="H2" s="112" t="s">
        <v>53</v>
      </c>
    </row>
    <row r="3" spans="1:23" ht="15.75" thickBot="1">
      <c r="A3" s="331" t="s">
        <v>344</v>
      </c>
      <c r="B3" s="1808" t="s">
        <v>784</v>
      </c>
      <c r="C3" s="1776"/>
      <c r="D3" s="1777"/>
      <c r="E3" s="329"/>
      <c r="F3" s="329"/>
      <c r="G3" s="332" t="s">
        <v>10</v>
      </c>
      <c r="H3" s="112" t="s">
        <v>16</v>
      </c>
    </row>
    <row r="4" spans="1:23" ht="15.75" thickBot="1">
      <c r="A4" s="332" t="s">
        <v>3</v>
      </c>
      <c r="B4" s="1823" t="s">
        <v>785</v>
      </c>
      <c r="C4" s="1776"/>
      <c r="D4" s="1777"/>
      <c r="E4" s="333"/>
      <c r="F4" s="329"/>
      <c r="G4" s="334" t="s">
        <v>26</v>
      </c>
      <c r="H4" s="117">
        <v>10</v>
      </c>
    </row>
    <row r="5" spans="1:23" ht="15.75" thickBot="1">
      <c r="A5" s="329"/>
      <c r="B5" s="329"/>
      <c r="C5" s="329"/>
      <c r="D5" s="329"/>
      <c r="E5" s="329"/>
      <c r="F5" s="329"/>
      <c r="G5" s="329"/>
      <c r="H5" s="524"/>
    </row>
    <row r="6" spans="1:23" ht="60.75" thickBot="1">
      <c r="A6" s="328" t="s">
        <v>465</v>
      </c>
      <c r="B6" s="1823" t="s">
        <v>1573</v>
      </c>
      <c r="C6" s="2030"/>
      <c r="D6" s="2031"/>
      <c r="E6" s="329"/>
      <c r="F6" s="329"/>
      <c r="G6" s="335" t="s">
        <v>466</v>
      </c>
      <c r="H6" s="119" t="s">
        <v>786</v>
      </c>
    </row>
    <row r="7" spans="1:23" ht="15.75" thickBot="1">
      <c r="B7" s="329"/>
      <c r="C7" s="329"/>
      <c r="D7" s="329"/>
      <c r="E7" s="329"/>
      <c r="F7" s="329"/>
      <c r="G7" s="337"/>
      <c r="H7" s="524"/>
    </row>
    <row r="8" spans="1:23" ht="30.75" thickBot="1">
      <c r="A8" s="338" t="s">
        <v>7</v>
      </c>
      <c r="B8" s="2032" t="s">
        <v>787</v>
      </c>
      <c r="C8" s="1776"/>
      <c r="D8" s="1777"/>
      <c r="E8" s="333"/>
      <c r="F8" s="339"/>
      <c r="G8" s="338" t="s">
        <v>469</v>
      </c>
      <c r="H8" s="123" t="s">
        <v>508</v>
      </c>
    </row>
    <row r="9" spans="1:23">
      <c r="B9" s="329"/>
      <c r="C9" s="329"/>
      <c r="D9" s="329"/>
      <c r="E9" s="329"/>
      <c r="F9" s="329"/>
      <c r="G9" s="337"/>
      <c r="H9" s="329"/>
    </row>
    <row r="10" spans="1:23" ht="239.25" customHeight="1">
      <c r="A10" s="1813" t="s">
        <v>471</v>
      </c>
      <c r="B10" s="1772"/>
      <c r="C10" s="2028" t="s">
        <v>1231</v>
      </c>
      <c r="D10" s="2028"/>
      <c r="E10" s="2028"/>
      <c r="F10" s="2028"/>
      <c r="G10" s="2028"/>
      <c r="H10" s="2028"/>
    </row>
    <row r="11" spans="1:23">
      <c r="A11" s="343"/>
      <c r="B11" s="333"/>
      <c r="C11" s="333"/>
      <c r="D11" s="333"/>
      <c r="E11" s="333"/>
      <c r="F11" s="339"/>
      <c r="G11" s="342"/>
      <c r="H11" s="342"/>
    </row>
    <row r="12" spans="1:23">
      <c r="A12" s="343"/>
      <c r="B12" s="333"/>
      <c r="C12" s="333"/>
      <c r="D12" s="333"/>
      <c r="E12" s="1814" t="s">
        <v>473</v>
      </c>
      <c r="F12" s="1772"/>
      <c r="G12" s="1772"/>
      <c r="H12" s="1772"/>
    </row>
    <row r="13" spans="1:23">
      <c r="A13" s="329"/>
      <c r="B13" s="329"/>
      <c r="C13" s="329"/>
      <c r="D13" s="329"/>
      <c r="E13" s="1780"/>
      <c r="F13" s="1780"/>
      <c r="G13" s="1780"/>
      <c r="H13" s="1780"/>
      <c r="I13" s="1825">
        <v>2025</v>
      </c>
      <c r="J13" s="1826"/>
      <c r="K13" s="1826"/>
      <c r="L13" s="1826"/>
      <c r="M13" s="1827"/>
      <c r="N13" s="1825">
        <v>2026</v>
      </c>
      <c r="O13" s="1826"/>
      <c r="P13" s="1826"/>
      <c r="Q13" s="1826"/>
      <c r="R13" s="1827"/>
      <c r="S13" s="1825">
        <v>2027</v>
      </c>
      <c r="T13" s="1826"/>
      <c r="U13" s="1826"/>
      <c r="V13" s="1826"/>
      <c r="W13" s="1827"/>
    </row>
    <row r="14" spans="1:23" ht="45.75" thickBot="1">
      <c r="A14" s="1816" t="s">
        <v>5</v>
      </c>
      <c r="B14" s="1792"/>
      <c r="C14" s="344" t="s">
        <v>1</v>
      </c>
      <c r="D14" s="344" t="s">
        <v>260</v>
      </c>
      <c r="E14" s="345" t="s">
        <v>474</v>
      </c>
      <c r="F14" s="1815" t="s">
        <v>6</v>
      </c>
      <c r="G14" s="1762"/>
      <c r="H14" s="1764"/>
      <c r="I14" s="893" t="s">
        <v>474</v>
      </c>
      <c r="J14" s="894" t="s">
        <v>944</v>
      </c>
      <c r="K14" s="895" t="s">
        <v>945</v>
      </c>
      <c r="L14" s="894" t="s">
        <v>946</v>
      </c>
      <c r="M14" s="896" t="s">
        <v>947</v>
      </c>
      <c r="N14" s="893" t="s">
        <v>474</v>
      </c>
      <c r="O14" s="894" t="s">
        <v>944</v>
      </c>
      <c r="P14" s="895" t="s">
        <v>945</v>
      </c>
      <c r="Q14" s="894" t="s">
        <v>946</v>
      </c>
      <c r="R14" s="896" t="s">
        <v>947</v>
      </c>
      <c r="S14" s="893" t="s">
        <v>474</v>
      </c>
      <c r="T14" s="894" t="s">
        <v>944</v>
      </c>
      <c r="U14" s="895" t="s">
        <v>945</v>
      </c>
      <c r="V14" s="894" t="s">
        <v>946</v>
      </c>
      <c r="W14" s="896" t="s">
        <v>947</v>
      </c>
    </row>
    <row r="15" spans="1:23" ht="15.75" thickBot="1">
      <c r="A15" s="1804" t="s">
        <v>17</v>
      </c>
      <c r="B15" s="1771"/>
      <c r="C15" s="346" t="s">
        <v>59</v>
      </c>
      <c r="D15" s="347" t="s">
        <v>251</v>
      </c>
      <c r="E15" s="500" t="s">
        <v>554</v>
      </c>
      <c r="F15" s="1791" t="s">
        <v>788</v>
      </c>
      <c r="G15" s="1771"/>
      <c r="H15" s="1792"/>
      <c r="I15" s="1176" t="s">
        <v>554</v>
      </c>
      <c r="J15" s="1177">
        <v>0</v>
      </c>
      <c r="K15" s="1177">
        <v>0</v>
      </c>
      <c r="L15" s="1177">
        <v>0</v>
      </c>
      <c r="M15" s="1178">
        <v>0</v>
      </c>
      <c r="N15" s="1176" t="s">
        <v>554</v>
      </c>
      <c r="O15" s="1177">
        <v>0</v>
      </c>
      <c r="P15" s="1177">
        <v>0</v>
      </c>
      <c r="Q15" s="1177">
        <v>0</v>
      </c>
      <c r="R15" s="1178">
        <v>0</v>
      </c>
      <c r="S15" s="1176" t="s">
        <v>554</v>
      </c>
      <c r="T15" s="1177">
        <v>0</v>
      </c>
      <c r="U15" s="1177">
        <v>0</v>
      </c>
      <c r="V15" s="1177">
        <v>0</v>
      </c>
      <c r="W15" s="1179">
        <v>0</v>
      </c>
    </row>
    <row r="16" spans="1:23" ht="15.75" thickBot="1">
      <c r="A16" s="1772"/>
      <c r="B16" s="1772"/>
      <c r="C16" s="349" t="s">
        <v>18</v>
      </c>
      <c r="D16" s="350" t="s">
        <v>168</v>
      </c>
      <c r="E16" s="504" t="s">
        <v>554</v>
      </c>
      <c r="F16" s="1845"/>
      <c r="G16" s="1845"/>
      <c r="H16" s="1799"/>
      <c r="I16" s="1180" t="s">
        <v>554</v>
      </c>
      <c r="J16" s="1181">
        <v>0</v>
      </c>
      <c r="K16" s="1181">
        <v>0</v>
      </c>
      <c r="L16" s="1181">
        <v>0</v>
      </c>
      <c r="M16" s="1181">
        <v>0</v>
      </c>
      <c r="N16" s="1176" t="s">
        <v>554</v>
      </c>
      <c r="O16" s="1181">
        <v>0</v>
      </c>
      <c r="P16" s="1177">
        <v>0</v>
      </c>
      <c r="Q16" s="1181">
        <v>0</v>
      </c>
      <c r="R16" s="1181">
        <v>0</v>
      </c>
      <c r="S16" s="1180" t="s">
        <v>554</v>
      </c>
      <c r="T16" s="1181">
        <v>0</v>
      </c>
      <c r="U16" s="1181">
        <v>0</v>
      </c>
      <c r="V16" s="1181">
        <v>0</v>
      </c>
      <c r="W16" s="1182">
        <v>0</v>
      </c>
    </row>
    <row r="17" spans="1:23" ht="15.75" thickBot="1">
      <c r="A17" s="1780"/>
      <c r="B17" s="1780"/>
      <c r="C17" s="352" t="s">
        <v>19</v>
      </c>
      <c r="D17" s="353" t="s">
        <v>233</v>
      </c>
      <c r="E17" s="494" t="s">
        <v>554</v>
      </c>
      <c r="F17" s="1780"/>
      <c r="G17" s="1780"/>
      <c r="H17" s="1793"/>
      <c r="I17" s="1183" t="s">
        <v>554</v>
      </c>
      <c r="J17" s="1181">
        <v>2</v>
      </c>
      <c r="K17" s="1181">
        <v>1</v>
      </c>
      <c r="L17" s="1181" t="s">
        <v>1126</v>
      </c>
      <c r="M17" s="1181"/>
      <c r="N17" s="1176" t="s">
        <v>554</v>
      </c>
      <c r="O17" s="1181">
        <v>1</v>
      </c>
      <c r="P17" s="1177">
        <v>0</v>
      </c>
      <c r="Q17" s="1181" t="s">
        <v>1127</v>
      </c>
      <c r="R17" s="1181"/>
      <c r="S17" s="1183" t="s">
        <v>554</v>
      </c>
      <c r="T17" s="1181">
        <v>1</v>
      </c>
      <c r="U17" s="1181">
        <v>0</v>
      </c>
      <c r="V17" s="1181" t="s">
        <v>1127</v>
      </c>
      <c r="W17" s="1182"/>
    </row>
    <row r="18" spans="1:23" ht="15.75" thickBot="1">
      <c r="A18" s="1804" t="s">
        <v>20</v>
      </c>
      <c r="B18" s="1771"/>
      <c r="C18" s="346" t="s">
        <v>54</v>
      </c>
      <c r="D18" s="353" t="s">
        <v>261</v>
      </c>
      <c r="E18" s="494" t="s">
        <v>554</v>
      </c>
      <c r="F18" s="1791" t="s">
        <v>789</v>
      </c>
      <c r="G18" s="1771"/>
      <c r="H18" s="1792"/>
      <c r="I18" s="1183" t="s">
        <v>554</v>
      </c>
      <c r="J18" s="1181">
        <v>2</v>
      </c>
      <c r="K18" s="1181">
        <v>0</v>
      </c>
      <c r="L18" s="1181" t="s">
        <v>1126</v>
      </c>
      <c r="M18" s="1181"/>
      <c r="N18" s="1176" t="s">
        <v>554</v>
      </c>
      <c r="O18" s="1181">
        <v>0</v>
      </c>
      <c r="P18" s="1177">
        <v>0</v>
      </c>
      <c r="Q18" s="1181">
        <v>0</v>
      </c>
      <c r="R18" s="1181">
        <v>0</v>
      </c>
      <c r="S18" s="1183" t="s">
        <v>554</v>
      </c>
      <c r="T18" s="1181">
        <v>0</v>
      </c>
      <c r="U18" s="1181">
        <v>0</v>
      </c>
      <c r="V18" s="1181">
        <v>0</v>
      </c>
      <c r="W18" s="1182">
        <v>0</v>
      </c>
    </row>
    <row r="19" spans="1:23" ht="15.75" thickBot="1">
      <c r="A19" s="1772"/>
      <c r="B19" s="1772"/>
      <c r="C19" s="355" t="s">
        <v>21</v>
      </c>
      <c r="D19" s="353" t="s">
        <v>234</v>
      </c>
      <c r="E19" s="494" t="s">
        <v>554</v>
      </c>
      <c r="F19" s="1845"/>
      <c r="G19" s="1845"/>
      <c r="H19" s="1799"/>
      <c r="I19" s="1183" t="s">
        <v>554</v>
      </c>
      <c r="J19" s="1181">
        <v>0</v>
      </c>
      <c r="K19" s="1181">
        <v>0</v>
      </c>
      <c r="L19" s="1181">
        <v>0</v>
      </c>
      <c r="M19" s="1181">
        <v>0</v>
      </c>
      <c r="N19" s="1176" t="s">
        <v>554</v>
      </c>
      <c r="O19" s="1181">
        <v>0</v>
      </c>
      <c r="P19" s="1177">
        <v>0</v>
      </c>
      <c r="Q19" s="1181">
        <v>0</v>
      </c>
      <c r="R19" s="1181">
        <v>0</v>
      </c>
      <c r="S19" s="1184" t="s">
        <v>554</v>
      </c>
      <c r="T19" s="1181">
        <v>0</v>
      </c>
      <c r="U19" s="1181">
        <v>0</v>
      </c>
      <c r="V19" s="1181">
        <v>0</v>
      </c>
      <c r="W19" s="1182">
        <v>0</v>
      </c>
    </row>
    <row r="20" spans="1:23" ht="15.75" thickBot="1">
      <c r="A20" s="1772"/>
      <c r="B20" s="1772"/>
      <c r="C20" s="352" t="s">
        <v>22</v>
      </c>
      <c r="D20" s="353" t="s">
        <v>235</v>
      </c>
      <c r="E20" s="494" t="s">
        <v>554</v>
      </c>
      <c r="F20" s="1780"/>
      <c r="G20" s="1780"/>
      <c r="H20" s="1793"/>
      <c r="I20" s="1183" t="s">
        <v>554</v>
      </c>
      <c r="J20" s="1181">
        <v>2</v>
      </c>
      <c r="K20" s="1181">
        <v>1</v>
      </c>
      <c r="L20" s="1181" t="s">
        <v>1128</v>
      </c>
      <c r="M20" s="1181"/>
      <c r="N20" s="1183" t="s">
        <v>554</v>
      </c>
      <c r="O20" s="1181">
        <v>1</v>
      </c>
      <c r="P20" s="1177">
        <v>0</v>
      </c>
      <c r="Q20" s="1181" t="s">
        <v>1129</v>
      </c>
      <c r="R20" s="1181"/>
      <c r="S20" s="1183" t="s">
        <v>554</v>
      </c>
      <c r="T20" s="1181">
        <v>1</v>
      </c>
      <c r="U20" s="1181">
        <v>0</v>
      </c>
      <c r="V20" s="1181" t="s">
        <v>1130</v>
      </c>
      <c r="W20" s="1182"/>
    </row>
    <row r="21" spans="1:23">
      <c r="A21" s="1804" t="s">
        <v>23</v>
      </c>
      <c r="B21" s="1771"/>
      <c r="C21" s="356" t="s">
        <v>69</v>
      </c>
      <c r="D21" s="353" t="s">
        <v>267</v>
      </c>
      <c r="E21" s="354"/>
      <c r="F21" s="1791" t="s">
        <v>477</v>
      </c>
      <c r="G21" s="1771"/>
      <c r="H21" s="1792"/>
      <c r="I21" s="1183"/>
      <c r="J21" s="1181"/>
      <c r="K21" s="1181"/>
      <c r="L21" s="1181"/>
      <c r="M21" s="1181"/>
      <c r="N21" s="1183"/>
      <c r="O21" s="1181"/>
      <c r="P21" s="1181"/>
      <c r="Q21" s="1181"/>
      <c r="R21" s="1181"/>
      <c r="S21" s="1183"/>
      <c r="T21" s="1181"/>
      <c r="U21" s="1181"/>
      <c r="V21" s="1181"/>
      <c r="W21" s="1182"/>
    </row>
    <row r="22" spans="1:23" ht="15.75" thickBot="1">
      <c r="A22" s="1780"/>
      <c r="B22" s="1780"/>
      <c r="C22" s="357" t="s">
        <v>24</v>
      </c>
      <c r="D22" s="358" t="s">
        <v>236</v>
      </c>
      <c r="E22" s="354"/>
      <c r="F22" s="1780"/>
      <c r="G22" s="1780"/>
      <c r="H22" s="1793"/>
      <c r="I22" s="1183"/>
      <c r="J22" s="1181"/>
      <c r="K22" s="1181"/>
      <c r="L22" s="1181"/>
      <c r="M22" s="1181"/>
      <c r="N22" s="1183"/>
      <c r="O22" s="1181"/>
      <c r="P22" s="1181"/>
      <c r="Q22" s="1181"/>
      <c r="R22" s="1181"/>
      <c r="S22" s="1183"/>
      <c r="T22" s="1181"/>
      <c r="U22" s="1181"/>
      <c r="V22" s="1181"/>
      <c r="W22" s="1182"/>
    </row>
    <row r="23" spans="1:23" ht="15.75">
      <c r="A23" s="1801" t="s">
        <v>478</v>
      </c>
      <c r="B23" s="1792"/>
      <c r="C23" s="359" t="s">
        <v>360</v>
      </c>
      <c r="D23" s="358" t="s">
        <v>265</v>
      </c>
      <c r="E23" s="354"/>
      <c r="F23" s="1791" t="s">
        <v>477</v>
      </c>
      <c r="G23" s="1771"/>
      <c r="H23" s="1792"/>
      <c r="I23" s="1183"/>
      <c r="J23" s="1181"/>
      <c r="K23" s="1181"/>
      <c r="L23" s="1181"/>
      <c r="M23" s="1181"/>
      <c r="N23" s="1183"/>
      <c r="O23" s="1181"/>
      <c r="P23" s="1181"/>
      <c r="Q23" s="1181"/>
      <c r="R23" s="1181"/>
      <c r="S23" s="1183"/>
      <c r="T23" s="1181"/>
      <c r="U23" s="1181"/>
      <c r="V23" s="1181"/>
      <c r="W23" s="1182"/>
    </row>
    <row r="24" spans="1:23" ht="15.75">
      <c r="A24" s="1779"/>
      <c r="B24" s="1799"/>
      <c r="C24" s="360" t="s">
        <v>361</v>
      </c>
      <c r="D24" s="358" t="s">
        <v>362</v>
      </c>
      <c r="E24" s="354"/>
      <c r="F24" s="1845"/>
      <c r="G24" s="1845"/>
      <c r="H24" s="1799"/>
      <c r="I24" s="1183"/>
      <c r="J24" s="1181"/>
      <c r="K24" s="1181"/>
      <c r="L24" s="1181"/>
      <c r="M24" s="1181"/>
      <c r="N24" s="1183"/>
      <c r="O24" s="1181"/>
      <c r="P24" s="1181"/>
      <c r="Q24" s="1181"/>
      <c r="R24" s="1181"/>
      <c r="S24" s="1183"/>
      <c r="T24" s="1181"/>
      <c r="U24" s="1181"/>
      <c r="V24" s="1181"/>
      <c r="W24" s="1182"/>
    </row>
    <row r="25" spans="1:23" ht="16.5" thickBot="1">
      <c r="A25" s="1779"/>
      <c r="B25" s="1799"/>
      <c r="C25" s="361" t="s">
        <v>479</v>
      </c>
      <c r="D25" s="358" t="s">
        <v>480</v>
      </c>
      <c r="E25" s="354"/>
      <c r="F25" s="1780"/>
      <c r="G25" s="1780"/>
      <c r="H25" s="1793"/>
      <c r="I25" s="1183"/>
      <c r="J25" s="1181"/>
      <c r="K25" s="1181"/>
      <c r="L25" s="1181"/>
      <c r="M25" s="1181"/>
      <c r="N25" s="1183"/>
      <c r="O25" s="1181"/>
      <c r="P25" s="1181"/>
      <c r="Q25" s="1181"/>
      <c r="R25" s="1181"/>
      <c r="S25" s="1183"/>
      <c r="T25" s="1181"/>
      <c r="U25" s="1181"/>
      <c r="V25" s="1181"/>
      <c r="W25" s="1182"/>
    </row>
    <row r="26" spans="1:23" ht="15.75" thickBot="1">
      <c r="A26" s="1802" t="s">
        <v>25</v>
      </c>
      <c r="B26" s="1776"/>
      <c r="C26" s="1777"/>
      <c r="D26" s="362" t="s">
        <v>270</v>
      </c>
      <c r="E26" s="354"/>
      <c r="F26" s="1763" t="s">
        <v>481</v>
      </c>
      <c r="G26" s="1762"/>
      <c r="H26" s="1764"/>
      <c r="I26" s="1183"/>
      <c r="J26" s="1181"/>
      <c r="K26" s="1181"/>
      <c r="L26" s="1181"/>
      <c r="M26" s="1181"/>
      <c r="N26" s="1183"/>
      <c r="O26" s="1181"/>
      <c r="P26" s="1181"/>
      <c r="Q26" s="1181"/>
      <c r="R26" s="1181"/>
      <c r="S26" s="1183"/>
      <c r="T26" s="1181"/>
      <c r="U26" s="1181"/>
      <c r="V26" s="1181"/>
      <c r="W26" s="1182"/>
    </row>
    <row r="27" spans="1:23" ht="15.75">
      <c r="A27" s="1803" t="s">
        <v>153</v>
      </c>
      <c r="B27" s="1788"/>
      <c r="C27" s="363" t="s">
        <v>152</v>
      </c>
      <c r="D27" s="364" t="s">
        <v>268</v>
      </c>
      <c r="E27" s="354"/>
      <c r="F27" s="1791" t="s">
        <v>475</v>
      </c>
      <c r="G27" s="1771"/>
      <c r="H27" s="1792"/>
      <c r="I27" s="1183"/>
      <c r="J27" s="1181"/>
      <c r="K27" s="1181"/>
      <c r="L27" s="1181"/>
      <c r="M27" s="1181"/>
      <c r="N27" s="1183"/>
      <c r="O27" s="1181"/>
      <c r="P27" s="1181"/>
      <c r="Q27" s="1181"/>
      <c r="R27" s="1181"/>
      <c r="S27" s="1183"/>
      <c r="T27" s="1181"/>
      <c r="U27" s="1181"/>
      <c r="V27" s="1181"/>
      <c r="W27" s="1182"/>
    </row>
    <row r="28" spans="1:23" ht="15.75">
      <c r="A28" s="1779"/>
      <c r="B28" s="1788"/>
      <c r="C28" s="365" t="s">
        <v>154</v>
      </c>
      <c r="D28" s="364" t="s">
        <v>392</v>
      </c>
      <c r="E28" s="354"/>
      <c r="F28" s="1845"/>
      <c r="G28" s="1845"/>
      <c r="H28" s="1799"/>
      <c r="I28" s="1183"/>
      <c r="J28" s="1181"/>
      <c r="K28" s="1181"/>
      <c r="L28" s="1181"/>
      <c r="M28" s="1181"/>
      <c r="N28" s="1183"/>
      <c r="O28" s="1181"/>
      <c r="P28" s="1181"/>
      <c r="Q28" s="1181"/>
      <c r="R28" s="1181"/>
      <c r="S28" s="1183"/>
      <c r="T28" s="1181"/>
      <c r="U28" s="1181"/>
      <c r="V28" s="1181"/>
      <c r="W28" s="1182"/>
    </row>
    <row r="29" spans="1:23" ht="16.5" thickBot="1">
      <c r="A29" s="1767"/>
      <c r="B29" s="1768"/>
      <c r="C29" s="366" t="s">
        <v>400</v>
      </c>
      <c r="D29" s="364" t="s">
        <v>393</v>
      </c>
      <c r="E29" s="354"/>
      <c r="F29" s="1780"/>
      <c r="G29" s="1780"/>
      <c r="H29" s="1793"/>
      <c r="I29" s="1183"/>
      <c r="J29" s="1181"/>
      <c r="K29" s="1181"/>
      <c r="L29" s="1181"/>
      <c r="M29" s="1181"/>
      <c r="N29" s="1183"/>
      <c r="O29" s="1181"/>
      <c r="P29" s="1181"/>
      <c r="Q29" s="1181"/>
      <c r="R29" s="1181"/>
      <c r="S29" s="1183"/>
      <c r="T29" s="1181"/>
      <c r="U29" s="1181"/>
      <c r="V29" s="1181"/>
      <c r="W29" s="1182"/>
    </row>
    <row r="30" spans="1:23" ht="15.75">
      <c r="A30" s="1797" t="s">
        <v>153</v>
      </c>
      <c r="B30" s="1766"/>
      <c r="C30" s="367" t="s">
        <v>155</v>
      </c>
      <c r="D30" s="364" t="s">
        <v>266</v>
      </c>
      <c r="E30" s="354"/>
      <c r="F30" s="1791" t="s">
        <v>475</v>
      </c>
      <c r="G30" s="1771"/>
      <c r="H30" s="1792"/>
      <c r="I30" s="1183"/>
      <c r="J30" s="1181"/>
      <c r="K30" s="1181"/>
      <c r="L30" s="1181"/>
      <c r="M30" s="1181"/>
      <c r="N30" s="1183"/>
      <c r="O30" s="1181"/>
      <c r="P30" s="1181"/>
      <c r="Q30" s="1181"/>
      <c r="R30" s="1181"/>
      <c r="S30" s="1183"/>
      <c r="T30" s="1181"/>
      <c r="U30" s="1181"/>
      <c r="V30" s="1181"/>
      <c r="W30" s="1182"/>
    </row>
    <row r="31" spans="1:23" ht="15.75">
      <c r="A31" s="1779"/>
      <c r="B31" s="1788"/>
      <c r="C31" s="365" t="s">
        <v>156</v>
      </c>
      <c r="D31" s="364" t="s">
        <v>394</v>
      </c>
      <c r="E31" s="354"/>
      <c r="F31" s="1845"/>
      <c r="G31" s="1845"/>
      <c r="H31" s="1799"/>
      <c r="I31" s="1183"/>
      <c r="J31" s="1181"/>
      <c r="K31" s="1181"/>
      <c r="L31" s="1181"/>
      <c r="M31" s="1181"/>
      <c r="N31" s="1183"/>
      <c r="O31" s="1181"/>
      <c r="P31" s="1181"/>
      <c r="Q31" s="1181"/>
      <c r="R31" s="1181"/>
      <c r="S31" s="1183"/>
      <c r="T31" s="1181"/>
      <c r="U31" s="1181"/>
      <c r="V31" s="1181"/>
      <c r="W31" s="1182"/>
    </row>
    <row r="32" spans="1:23" ht="16.5" thickBot="1">
      <c r="A32" s="1767"/>
      <c r="B32" s="1768"/>
      <c r="C32" s="366" t="s">
        <v>399</v>
      </c>
      <c r="D32" s="364" t="s">
        <v>395</v>
      </c>
      <c r="E32" s="354"/>
      <c r="F32" s="1780"/>
      <c r="G32" s="1780"/>
      <c r="H32" s="1793"/>
      <c r="I32" s="1183"/>
      <c r="J32" s="1181"/>
      <c r="K32" s="1181"/>
      <c r="L32" s="1181"/>
      <c r="M32" s="1181"/>
      <c r="N32" s="1183"/>
      <c r="O32" s="1181"/>
      <c r="P32" s="1181"/>
      <c r="Q32" s="1181"/>
      <c r="R32" s="1181"/>
      <c r="S32" s="1183"/>
      <c r="T32" s="1181"/>
      <c r="U32" s="1181"/>
      <c r="V32" s="1181"/>
      <c r="W32" s="1182"/>
    </row>
    <row r="33" spans="1:23" ht="16.5" thickBot="1">
      <c r="A33" s="1797" t="s">
        <v>482</v>
      </c>
      <c r="B33" s="1766"/>
      <c r="C33" s="367" t="s">
        <v>365</v>
      </c>
      <c r="D33" s="364" t="s">
        <v>252</v>
      </c>
      <c r="E33" s="354"/>
      <c r="F33" s="1791" t="s">
        <v>483</v>
      </c>
      <c r="G33" s="1771"/>
      <c r="H33" s="1792"/>
      <c r="I33" s="1183"/>
      <c r="J33" s="1181"/>
      <c r="K33" s="1181"/>
      <c r="L33" s="1181"/>
      <c r="M33" s="1181"/>
      <c r="N33" s="1183"/>
      <c r="O33" s="1181"/>
      <c r="P33" s="1181"/>
      <c r="Q33" s="1181"/>
      <c r="R33" s="1181"/>
      <c r="S33" s="1183"/>
      <c r="T33" s="1181"/>
      <c r="U33" s="1181"/>
      <c r="V33" s="1181"/>
      <c r="W33" s="1182"/>
    </row>
    <row r="34" spans="1:23" ht="16.5" thickBot="1">
      <c r="A34" s="1797" t="s">
        <v>484</v>
      </c>
      <c r="B34" s="1766"/>
      <c r="C34" s="367" t="s">
        <v>485</v>
      </c>
      <c r="D34" s="364" t="s">
        <v>264</v>
      </c>
      <c r="E34" s="354"/>
      <c r="F34" s="1800"/>
      <c r="G34" s="1771"/>
      <c r="H34" s="1792"/>
      <c r="I34" s="1183"/>
      <c r="J34" s="1181"/>
      <c r="K34" s="1181"/>
      <c r="L34" s="1181"/>
      <c r="M34" s="1181"/>
      <c r="N34" s="1183"/>
      <c r="O34" s="1181"/>
      <c r="P34" s="1181"/>
      <c r="Q34" s="1181"/>
      <c r="R34" s="1181"/>
      <c r="S34" s="1183"/>
      <c r="T34" s="1181"/>
      <c r="U34" s="1181"/>
      <c r="V34" s="1181"/>
      <c r="W34" s="1182"/>
    </row>
    <row r="35" spans="1:23" ht="15.75">
      <c r="A35" s="1795" t="s">
        <v>486</v>
      </c>
      <c r="B35" s="1766"/>
      <c r="C35" s="368" t="s">
        <v>43</v>
      </c>
      <c r="D35" s="369" t="s">
        <v>256</v>
      </c>
      <c r="E35" s="354"/>
      <c r="F35" s="1791" t="s">
        <v>487</v>
      </c>
      <c r="G35" s="1771"/>
      <c r="H35" s="1792"/>
      <c r="I35" s="1183"/>
      <c r="J35" s="1181"/>
      <c r="K35" s="1181"/>
      <c r="L35" s="1181"/>
      <c r="M35" s="1181"/>
      <c r="N35" s="1183"/>
      <c r="O35" s="1181"/>
      <c r="P35" s="1181"/>
      <c r="Q35" s="1181"/>
      <c r="R35" s="1181"/>
      <c r="S35" s="1183"/>
      <c r="T35" s="1181"/>
      <c r="U35" s="1181"/>
      <c r="V35" s="1181"/>
      <c r="W35" s="1182"/>
    </row>
    <row r="36" spans="1:23" ht="16.5" thickBot="1">
      <c r="A36" s="1767"/>
      <c r="B36" s="1768"/>
      <c r="C36" s="370" t="s">
        <v>60</v>
      </c>
      <c r="D36" s="369" t="s">
        <v>257</v>
      </c>
      <c r="E36" s="354"/>
      <c r="F36" s="1780"/>
      <c r="G36" s="1780"/>
      <c r="H36" s="1793"/>
      <c r="I36" s="1183"/>
      <c r="J36" s="1181"/>
      <c r="K36" s="1181"/>
      <c r="L36" s="1181"/>
      <c r="M36" s="1181"/>
      <c r="N36" s="1183"/>
      <c r="O36" s="1181"/>
      <c r="P36" s="1181"/>
      <c r="Q36" s="1181"/>
      <c r="R36" s="1181"/>
      <c r="S36" s="1183"/>
      <c r="T36" s="1181"/>
      <c r="U36" s="1181"/>
      <c r="V36" s="1181"/>
      <c r="W36" s="1182"/>
    </row>
    <row r="37" spans="1:23" ht="30">
      <c r="A37" s="1796" t="s">
        <v>33</v>
      </c>
      <c r="B37" s="1771"/>
      <c r="C37" s="371" t="s">
        <v>30</v>
      </c>
      <c r="D37" s="372" t="s">
        <v>170</v>
      </c>
      <c r="E37" s="354"/>
      <c r="F37" s="1819" t="s">
        <v>510</v>
      </c>
      <c r="G37" s="1771"/>
      <c r="H37" s="1792"/>
      <c r="I37" s="1183"/>
      <c r="J37" s="1181"/>
      <c r="K37" s="1181"/>
      <c r="L37" s="1181"/>
      <c r="M37" s="1181"/>
      <c r="N37" s="1183"/>
      <c r="O37" s="1181"/>
      <c r="P37" s="1181"/>
      <c r="Q37" s="1181"/>
      <c r="R37" s="1181"/>
      <c r="S37" s="1183"/>
      <c r="T37" s="1181"/>
      <c r="U37" s="1181"/>
      <c r="V37" s="1181"/>
      <c r="W37" s="1182"/>
    </row>
    <row r="38" spans="1:23" ht="30">
      <c r="A38" s="1779"/>
      <c r="B38" s="1772"/>
      <c r="C38" s="373" t="s">
        <v>31</v>
      </c>
      <c r="D38" s="372" t="s">
        <v>169</v>
      </c>
      <c r="E38" s="354"/>
      <c r="F38" s="1819" t="s">
        <v>539</v>
      </c>
      <c r="G38" s="1771"/>
      <c r="H38" s="1792"/>
      <c r="I38" s="1183"/>
      <c r="J38" s="1181"/>
      <c r="K38" s="1181"/>
      <c r="L38" s="1181"/>
      <c r="M38" s="1181"/>
      <c r="N38" s="1183"/>
      <c r="O38" s="1181"/>
      <c r="P38" s="1181"/>
      <c r="Q38" s="1181"/>
      <c r="R38" s="1181"/>
      <c r="S38" s="1183"/>
      <c r="T38" s="1181"/>
      <c r="U38" s="1181"/>
      <c r="V38" s="1181"/>
      <c r="W38" s="1182"/>
    </row>
    <row r="39" spans="1:23" ht="30.75" thickBot="1">
      <c r="A39" s="1779"/>
      <c r="B39" s="1772"/>
      <c r="C39" s="374" t="s">
        <v>32</v>
      </c>
      <c r="D39" s="372" t="s">
        <v>250</v>
      </c>
      <c r="E39" s="354"/>
      <c r="F39" s="1780"/>
      <c r="G39" s="1780"/>
      <c r="H39" s="1793"/>
      <c r="I39" s="1183"/>
      <c r="J39" s="1181"/>
      <c r="K39" s="1181"/>
      <c r="L39" s="1181"/>
      <c r="M39" s="1181"/>
      <c r="N39" s="1183"/>
      <c r="O39" s="1181"/>
      <c r="P39" s="1181"/>
      <c r="Q39" s="1181"/>
      <c r="R39" s="1181"/>
      <c r="S39" s="1183"/>
      <c r="T39" s="1181"/>
      <c r="U39" s="1181"/>
      <c r="V39" s="1181"/>
      <c r="W39" s="1182"/>
    </row>
    <row r="40" spans="1:23" ht="15.75">
      <c r="A40" s="1786" t="s">
        <v>491</v>
      </c>
      <c r="B40" s="1787"/>
      <c r="C40" s="375" t="s">
        <v>144</v>
      </c>
      <c r="D40" s="376" t="s">
        <v>253</v>
      </c>
      <c r="E40" s="354"/>
      <c r="F40" s="1791" t="s">
        <v>492</v>
      </c>
      <c r="G40" s="1771"/>
      <c r="H40" s="1792"/>
      <c r="I40" s="1183"/>
      <c r="J40" s="1181"/>
      <c r="K40" s="1181"/>
      <c r="L40" s="1181"/>
      <c r="M40" s="1181"/>
      <c r="N40" s="1183"/>
      <c r="O40" s="1181"/>
      <c r="P40" s="1181"/>
      <c r="Q40" s="1181"/>
      <c r="R40" s="1181"/>
      <c r="S40" s="1183"/>
      <c r="T40" s="1181"/>
      <c r="U40" s="1181"/>
      <c r="V40" s="1181"/>
      <c r="W40" s="1182"/>
    </row>
    <row r="41" spans="1:23" ht="16.5" thickBot="1">
      <c r="A41" s="1772"/>
      <c r="B41" s="1788"/>
      <c r="C41" s="377" t="s">
        <v>145</v>
      </c>
      <c r="D41" s="376" t="s">
        <v>254</v>
      </c>
      <c r="E41" s="354"/>
      <c r="F41" s="1780"/>
      <c r="G41" s="1780"/>
      <c r="H41" s="1793"/>
      <c r="I41" s="1183"/>
      <c r="J41" s="1181"/>
      <c r="K41" s="1181"/>
      <c r="L41" s="1181"/>
      <c r="M41" s="1181"/>
      <c r="N41" s="1183"/>
      <c r="O41" s="1181"/>
      <c r="P41" s="1181"/>
      <c r="Q41" s="1181"/>
      <c r="R41" s="1181"/>
      <c r="S41" s="1183"/>
      <c r="T41" s="1181"/>
      <c r="U41" s="1181"/>
      <c r="V41" s="1181"/>
      <c r="W41" s="1182"/>
    </row>
    <row r="42" spans="1:23" ht="48" thickBot="1">
      <c r="A42" s="1789"/>
      <c r="B42" s="1790"/>
      <c r="C42" s="378" t="s">
        <v>128</v>
      </c>
      <c r="D42" s="376" t="s">
        <v>262</v>
      </c>
      <c r="E42" s="354"/>
      <c r="F42" s="1794"/>
      <c r="G42" s="1762"/>
      <c r="H42" s="1764"/>
      <c r="I42" s="1183"/>
      <c r="J42" s="1181"/>
      <c r="K42" s="1181"/>
      <c r="L42" s="1181"/>
      <c r="M42" s="1181"/>
      <c r="N42" s="1183"/>
      <c r="O42" s="1181"/>
      <c r="P42" s="1181"/>
      <c r="Q42" s="1181"/>
      <c r="R42" s="1181"/>
      <c r="S42" s="1183"/>
      <c r="T42" s="1181"/>
      <c r="U42" s="1181"/>
      <c r="V42" s="1181"/>
      <c r="W42" s="1182"/>
    </row>
    <row r="43" spans="1:23" ht="45" customHeight="1" thickBot="1">
      <c r="A43" s="1775" t="s">
        <v>493</v>
      </c>
      <c r="B43" s="1776"/>
      <c r="C43" s="1777"/>
      <c r="D43" s="379" t="s">
        <v>237</v>
      </c>
      <c r="E43" s="354" t="s">
        <v>554</v>
      </c>
      <c r="F43" s="1818" t="s">
        <v>790</v>
      </c>
      <c r="G43" s="1762"/>
      <c r="H43" s="1764"/>
      <c r="I43" s="1183" t="s">
        <v>554</v>
      </c>
      <c r="J43" s="1181">
        <v>1</v>
      </c>
      <c r="K43" s="1181">
        <v>0</v>
      </c>
      <c r="L43" s="1181" t="s">
        <v>1131</v>
      </c>
      <c r="M43" s="1181"/>
      <c r="N43" s="1183" t="s">
        <v>554</v>
      </c>
      <c r="O43" s="1181">
        <v>1</v>
      </c>
      <c r="P43" s="1181">
        <v>0</v>
      </c>
      <c r="Q43" s="1181" t="s">
        <v>1131</v>
      </c>
      <c r="R43" s="1181"/>
      <c r="S43" s="1183" t="s">
        <v>554</v>
      </c>
      <c r="T43" s="1181">
        <v>0</v>
      </c>
      <c r="U43" s="1181">
        <v>0</v>
      </c>
      <c r="V43" s="1181">
        <v>0</v>
      </c>
      <c r="W43" s="1182">
        <v>0</v>
      </c>
    </row>
    <row r="44" spans="1:23" ht="15.75" thickBot="1">
      <c r="A44" s="1775" t="s">
        <v>133</v>
      </c>
      <c r="B44" s="1776"/>
      <c r="C44" s="1777"/>
      <c r="D44" s="379" t="s">
        <v>238</v>
      </c>
      <c r="E44" s="354"/>
      <c r="F44" s="1763" t="s">
        <v>495</v>
      </c>
      <c r="G44" s="1762"/>
      <c r="H44" s="1764"/>
      <c r="I44" s="1183"/>
      <c r="J44" s="1181"/>
      <c r="K44" s="1181"/>
      <c r="L44" s="1181"/>
      <c r="M44" s="1181"/>
      <c r="N44" s="1183"/>
      <c r="O44" s="1181"/>
      <c r="P44" s="1181"/>
      <c r="Q44" s="1181"/>
      <c r="R44" s="1181"/>
      <c r="S44" s="1183"/>
      <c r="T44" s="1181"/>
      <c r="U44" s="1181"/>
      <c r="V44" s="1181"/>
      <c r="W44" s="1182"/>
    </row>
    <row r="45" spans="1:23">
      <c r="A45" s="1778" t="s">
        <v>41</v>
      </c>
      <c r="B45" s="1772"/>
      <c r="C45" s="380" t="s">
        <v>50</v>
      </c>
      <c r="D45" s="381" t="s">
        <v>246</v>
      </c>
      <c r="E45" s="354" t="s">
        <v>554</v>
      </c>
      <c r="F45" s="1785" t="s">
        <v>791</v>
      </c>
      <c r="G45" s="1762"/>
      <c r="H45" s="1764"/>
      <c r="I45" s="1183" t="s">
        <v>554</v>
      </c>
      <c r="J45" s="1181">
        <v>0</v>
      </c>
      <c r="K45" s="1181">
        <v>0</v>
      </c>
      <c r="L45" s="1181">
        <v>0</v>
      </c>
      <c r="M45" s="1181">
        <v>0</v>
      </c>
      <c r="N45" s="1183" t="s">
        <v>554</v>
      </c>
      <c r="O45" s="1181">
        <v>0</v>
      </c>
      <c r="P45" s="1181">
        <v>0</v>
      </c>
      <c r="Q45" s="1181">
        <v>0</v>
      </c>
      <c r="R45" s="1181">
        <v>0</v>
      </c>
      <c r="S45" s="1183" t="s">
        <v>554</v>
      </c>
      <c r="T45" s="1181">
        <v>0</v>
      </c>
      <c r="U45" s="1181">
        <v>0</v>
      </c>
      <c r="V45" s="1181">
        <v>0</v>
      </c>
      <c r="W45" s="1182">
        <v>0</v>
      </c>
    </row>
    <row r="46" spans="1:23" ht="69.75" customHeight="1">
      <c r="A46" s="1779"/>
      <c r="B46" s="1772"/>
      <c r="C46" s="382" t="s">
        <v>51</v>
      </c>
      <c r="D46" s="381" t="s">
        <v>247</v>
      </c>
      <c r="E46" s="354" t="s">
        <v>554</v>
      </c>
      <c r="F46" s="1785" t="s">
        <v>792</v>
      </c>
      <c r="G46" s="1762"/>
      <c r="H46" s="1764"/>
      <c r="I46" s="1183" t="s">
        <v>554</v>
      </c>
      <c r="J46" s="1181">
        <v>0</v>
      </c>
      <c r="K46" s="1181">
        <v>0</v>
      </c>
      <c r="L46" s="1181">
        <v>0</v>
      </c>
      <c r="M46" s="1181">
        <v>0</v>
      </c>
      <c r="N46" s="1183" t="s">
        <v>554</v>
      </c>
      <c r="O46" s="1181">
        <v>1</v>
      </c>
      <c r="P46" s="1181">
        <v>0</v>
      </c>
      <c r="Q46" s="1181" t="s">
        <v>1056</v>
      </c>
      <c r="R46" s="1181"/>
      <c r="S46" s="1183" t="s">
        <v>554</v>
      </c>
      <c r="T46" s="1181">
        <v>0</v>
      </c>
      <c r="U46" s="1181">
        <v>0</v>
      </c>
      <c r="V46" s="1181">
        <v>0</v>
      </c>
      <c r="W46" s="1182">
        <v>0</v>
      </c>
    </row>
    <row r="47" spans="1:23" ht="66" customHeight="1">
      <c r="A47" s="1779"/>
      <c r="B47" s="1772"/>
      <c r="C47" s="382" t="s">
        <v>39</v>
      </c>
      <c r="D47" s="381" t="s">
        <v>248</v>
      </c>
      <c r="E47" s="354" t="s">
        <v>554</v>
      </c>
      <c r="F47" s="1785" t="s">
        <v>606</v>
      </c>
      <c r="G47" s="1762"/>
      <c r="H47" s="1764"/>
      <c r="I47" s="1183" t="s">
        <v>554</v>
      </c>
      <c r="J47" s="1181">
        <v>1</v>
      </c>
      <c r="K47" s="1181">
        <v>0</v>
      </c>
      <c r="L47" s="1181" t="s">
        <v>1056</v>
      </c>
      <c r="M47" s="1181"/>
      <c r="N47" s="1183" t="s">
        <v>554</v>
      </c>
      <c r="O47" s="1181">
        <v>0</v>
      </c>
      <c r="P47" s="1181">
        <v>0</v>
      </c>
      <c r="Q47" s="1181">
        <v>0</v>
      </c>
      <c r="R47" s="1181">
        <v>0</v>
      </c>
      <c r="S47" s="1183" t="s">
        <v>554</v>
      </c>
      <c r="T47" s="1181">
        <v>1</v>
      </c>
      <c r="U47" s="1181">
        <v>0</v>
      </c>
      <c r="V47" s="1181" t="s">
        <v>1132</v>
      </c>
      <c r="W47" s="1182"/>
    </row>
    <row r="48" spans="1:23" ht="15.75" thickBot="1">
      <c r="A48" s="1767"/>
      <c r="B48" s="1780"/>
      <c r="C48" s="383" t="s">
        <v>40</v>
      </c>
      <c r="D48" s="381" t="s">
        <v>249</v>
      </c>
      <c r="E48" s="354"/>
      <c r="F48" s="1781" t="s">
        <v>498</v>
      </c>
      <c r="G48" s="1762"/>
      <c r="H48" s="1764"/>
      <c r="I48" s="1183"/>
      <c r="J48" s="1181"/>
      <c r="K48" s="1181"/>
      <c r="L48" s="1181"/>
      <c r="M48" s="1181"/>
      <c r="N48" s="1183"/>
      <c r="O48" s="1181"/>
      <c r="P48" s="1181"/>
      <c r="Q48" s="1181"/>
      <c r="R48" s="1181"/>
      <c r="S48" s="1183"/>
      <c r="T48" s="1181"/>
      <c r="U48" s="1181"/>
      <c r="V48" s="1181"/>
      <c r="W48" s="1182"/>
    </row>
    <row r="49" spans="1:23" ht="15.75">
      <c r="A49" s="1765" t="s">
        <v>130</v>
      </c>
      <c r="B49" s="1766"/>
      <c r="C49" s="375" t="s">
        <v>131</v>
      </c>
      <c r="D49" s="376" t="s">
        <v>255</v>
      </c>
      <c r="E49" s="354"/>
      <c r="F49" s="1769"/>
      <c r="G49" s="1762"/>
      <c r="H49" s="1764"/>
      <c r="I49" s="1183"/>
      <c r="J49" s="1181"/>
      <c r="K49" s="1181"/>
      <c r="L49" s="1181"/>
      <c r="M49" s="1181"/>
      <c r="N49" s="1183"/>
      <c r="O49" s="1181"/>
      <c r="P49" s="1181"/>
      <c r="Q49" s="1181"/>
      <c r="R49" s="1181"/>
      <c r="S49" s="1183"/>
      <c r="T49" s="1181"/>
      <c r="U49" s="1181"/>
      <c r="V49" s="1181"/>
      <c r="W49" s="1182"/>
    </row>
    <row r="50" spans="1:23" ht="48" thickBot="1">
      <c r="A50" s="1767"/>
      <c r="B50" s="1768"/>
      <c r="C50" s="384" t="s">
        <v>132</v>
      </c>
      <c r="D50" s="376" t="s">
        <v>263</v>
      </c>
      <c r="E50" s="354"/>
      <c r="F50" s="1769"/>
      <c r="G50" s="1762"/>
      <c r="H50" s="1764"/>
      <c r="I50" s="1183"/>
      <c r="J50" s="1181"/>
      <c r="K50" s="1181"/>
      <c r="L50" s="1181"/>
      <c r="M50" s="1181"/>
      <c r="N50" s="1183"/>
      <c r="O50" s="1181"/>
      <c r="P50" s="1181"/>
      <c r="Q50" s="1181"/>
      <c r="R50" s="1181"/>
      <c r="S50" s="1183"/>
      <c r="T50" s="1181"/>
      <c r="U50" s="1181"/>
      <c r="V50" s="1181"/>
      <c r="W50" s="1182"/>
    </row>
    <row r="51" spans="1:23">
      <c r="A51" s="1770" t="s">
        <v>42</v>
      </c>
      <c r="B51" s="1771"/>
      <c r="C51" s="385" t="s">
        <v>38</v>
      </c>
      <c r="D51" s="386" t="s">
        <v>239</v>
      </c>
      <c r="E51" s="354"/>
      <c r="F51" s="1763" t="s">
        <v>499</v>
      </c>
      <c r="G51" s="1762"/>
      <c r="H51" s="1764"/>
      <c r="I51" s="1183"/>
      <c r="J51" s="1181"/>
      <c r="K51" s="1181"/>
      <c r="L51" s="1181"/>
      <c r="M51" s="1181"/>
      <c r="N51" s="1183"/>
      <c r="O51" s="1181"/>
      <c r="P51" s="1181"/>
      <c r="Q51" s="1181"/>
      <c r="R51" s="1181"/>
      <c r="S51" s="1183"/>
      <c r="T51" s="1181"/>
      <c r="U51" s="1181"/>
      <c r="V51" s="1181"/>
      <c r="W51" s="1182"/>
    </row>
    <row r="52" spans="1:23">
      <c r="A52" s="1772"/>
      <c r="B52" s="1772"/>
      <c r="C52" s="387" t="s">
        <v>55</v>
      </c>
      <c r="D52" s="386" t="s">
        <v>240</v>
      </c>
      <c r="E52" s="354"/>
      <c r="F52" s="1773"/>
      <c r="G52" s="1762"/>
      <c r="H52" s="1764"/>
      <c r="I52" s="1185"/>
      <c r="J52" s="1186"/>
      <c r="K52" s="1186"/>
      <c r="L52" s="1186"/>
      <c r="M52" s="1186"/>
      <c r="N52" s="1185"/>
      <c r="O52" s="1186"/>
      <c r="P52" s="1186"/>
      <c r="Q52" s="1186"/>
      <c r="R52" s="1186"/>
      <c r="S52" s="1185"/>
      <c r="T52" s="1186"/>
      <c r="U52" s="1186"/>
      <c r="V52" s="1186"/>
      <c r="W52" s="1187"/>
    </row>
    <row r="53" spans="1:23" ht="16.5" thickBot="1">
      <c r="A53" s="1772"/>
      <c r="B53" s="1772"/>
      <c r="C53" s="377" t="s">
        <v>48</v>
      </c>
      <c r="D53" s="388" t="s">
        <v>241</v>
      </c>
      <c r="E53" s="354"/>
      <c r="F53" s="1774"/>
      <c r="G53" s="1762"/>
      <c r="H53" s="1764"/>
      <c r="I53" s="1185"/>
      <c r="J53" s="1186"/>
      <c r="K53" s="1186"/>
      <c r="L53" s="1186"/>
      <c r="M53" s="1186"/>
      <c r="N53" s="1185"/>
      <c r="O53" s="1186"/>
      <c r="P53" s="1186"/>
      <c r="Q53" s="1186"/>
      <c r="R53" s="1186"/>
      <c r="S53" s="1185"/>
      <c r="T53" s="1186"/>
      <c r="U53" s="1186"/>
      <c r="V53" s="1186"/>
      <c r="W53" s="1187"/>
    </row>
    <row r="54" spans="1:23" ht="16.5" thickBot="1">
      <c r="A54" s="1761" t="s">
        <v>500</v>
      </c>
      <c r="B54" s="1762"/>
      <c r="C54" s="389" t="s">
        <v>134</v>
      </c>
      <c r="D54" s="390" t="s">
        <v>269</v>
      </c>
      <c r="E54" s="391"/>
      <c r="F54" s="1763" t="s">
        <v>501</v>
      </c>
      <c r="G54" s="1762"/>
      <c r="H54" s="1764"/>
      <c r="I54" s="1188"/>
      <c r="J54" s="1189"/>
      <c r="K54" s="1189"/>
      <c r="L54" s="1189"/>
      <c r="M54" s="1189"/>
      <c r="N54" s="1188"/>
      <c r="O54" s="1189"/>
      <c r="P54" s="1189"/>
      <c r="Q54" s="1189"/>
      <c r="R54" s="1189"/>
      <c r="S54" s="1188"/>
      <c r="T54" s="1189"/>
      <c r="U54" s="1189"/>
      <c r="V54" s="1189"/>
      <c r="W54" s="1190"/>
    </row>
    <row r="55" spans="1:23" ht="15.75">
      <c r="A55" s="525"/>
      <c r="B55" s="526"/>
      <c r="F55" s="527"/>
      <c r="G55" s="527"/>
      <c r="H55" s="527"/>
    </row>
    <row r="56" spans="1:23">
      <c r="A56" s="528"/>
      <c r="B56" s="528"/>
    </row>
    <row r="58" spans="1:23" ht="60">
      <c r="A58" s="1191" t="s">
        <v>948</v>
      </c>
      <c r="B58" s="1191" t="s">
        <v>949</v>
      </c>
      <c r="C58" s="1191" t="s">
        <v>950</v>
      </c>
      <c r="D58" s="1191" t="s">
        <v>951</v>
      </c>
      <c r="E58" s="1191" t="s">
        <v>952</v>
      </c>
    </row>
    <row r="59" spans="1:23">
      <c r="A59" s="1192" t="s">
        <v>953</v>
      </c>
      <c r="B59" s="1186"/>
      <c r="C59" s="1181">
        <v>1</v>
      </c>
      <c r="D59" s="1181">
        <v>1</v>
      </c>
      <c r="E59" s="1193" t="s">
        <v>1232</v>
      </c>
    </row>
    <row r="60" spans="1:23" ht="45">
      <c r="A60" s="1192" t="s">
        <v>956</v>
      </c>
      <c r="B60" s="1186"/>
      <c r="C60" s="1194" t="s">
        <v>1233</v>
      </c>
      <c r="D60" s="1181">
        <v>1</v>
      </c>
      <c r="E60" s="1193" t="s">
        <v>955</v>
      </c>
    </row>
    <row r="61" spans="1:23">
      <c r="A61" s="1192" t="s">
        <v>957</v>
      </c>
      <c r="B61" s="1186"/>
      <c r="C61" s="1181">
        <v>2</v>
      </c>
      <c r="D61" s="1181">
        <v>0.5</v>
      </c>
      <c r="E61" s="1193" t="s">
        <v>968</v>
      </c>
    </row>
    <row r="62" spans="1:23">
      <c r="A62" s="1192" t="s">
        <v>959</v>
      </c>
      <c r="B62" s="1186"/>
      <c r="C62" s="1181">
        <v>10</v>
      </c>
      <c r="D62" s="1181">
        <v>1.5</v>
      </c>
      <c r="E62" s="1193" t="s">
        <v>968</v>
      </c>
    </row>
    <row r="63" spans="1:23">
      <c r="A63" s="1192" t="s">
        <v>961</v>
      </c>
      <c r="B63" s="1186"/>
      <c r="C63" s="1181">
        <v>6</v>
      </c>
      <c r="D63" s="1181">
        <v>4</v>
      </c>
      <c r="E63" s="1193" t="s">
        <v>962</v>
      </c>
    </row>
    <row r="64" spans="1:23">
      <c r="A64" s="1192" t="s">
        <v>963</v>
      </c>
      <c r="B64" s="1186"/>
      <c r="C64" s="1181"/>
      <c r="D64" s="1181"/>
      <c r="E64" s="1193"/>
    </row>
    <row r="65" spans="1:6">
      <c r="A65" s="1192" t="s">
        <v>965</v>
      </c>
      <c r="B65" s="1186"/>
      <c r="C65" s="1181"/>
      <c r="D65" s="1181"/>
      <c r="E65" s="1193"/>
    </row>
    <row r="66" spans="1:6">
      <c r="A66" s="1192" t="s">
        <v>967</v>
      </c>
      <c r="B66" s="1186"/>
      <c r="C66" s="1181"/>
      <c r="D66" s="1181"/>
      <c r="E66" s="1193"/>
    </row>
    <row r="67" spans="1:6">
      <c r="A67" s="1192" t="s">
        <v>969</v>
      </c>
      <c r="B67" s="1186"/>
      <c r="C67" s="1181">
        <v>4</v>
      </c>
      <c r="D67" s="1181">
        <v>0.5</v>
      </c>
      <c r="E67" s="1193" t="s">
        <v>1234</v>
      </c>
    </row>
    <row r="68" spans="1:6">
      <c r="A68" s="1192" t="s">
        <v>971</v>
      </c>
      <c r="B68" s="1186"/>
      <c r="C68" s="1181">
        <v>4</v>
      </c>
      <c r="D68" s="1181">
        <v>2</v>
      </c>
      <c r="E68" s="1193" t="s">
        <v>972</v>
      </c>
    </row>
    <row r="69" spans="1:6">
      <c r="A69" s="1192" t="s">
        <v>986</v>
      </c>
      <c r="B69" s="1186"/>
      <c r="C69" s="1181"/>
      <c r="D69" s="1181"/>
      <c r="E69" s="1193"/>
    </row>
    <row r="70" spans="1:6">
      <c r="A70" s="1192"/>
      <c r="B70" s="1186"/>
      <c r="C70" s="1181"/>
      <c r="D70" s="1181"/>
      <c r="E70" s="1193"/>
    </row>
    <row r="71" spans="1:6">
      <c r="A71" s="1192"/>
      <c r="B71" s="1186"/>
      <c r="C71" s="1181"/>
      <c r="D71" s="1181"/>
      <c r="E71" s="1193"/>
    </row>
    <row r="75" spans="1:6">
      <c r="A75" s="1829" t="s">
        <v>1270</v>
      </c>
      <c r="B75" s="1830"/>
      <c r="C75" s="1830"/>
      <c r="D75" s="1830"/>
      <c r="E75" s="1830"/>
      <c r="F75" s="1830"/>
    </row>
    <row r="76" spans="1:6" ht="105">
      <c r="A76" s="1460" t="s">
        <v>1271</v>
      </c>
      <c r="B76" s="1460" t="s">
        <v>1272</v>
      </c>
      <c r="C76" s="1460" t="s">
        <v>1273</v>
      </c>
      <c r="D76" s="1460" t="s">
        <v>1274</v>
      </c>
      <c r="E76" s="1460" t="s">
        <v>1275</v>
      </c>
      <c r="F76" s="1460" t="s">
        <v>1276</v>
      </c>
    </row>
    <row r="77" spans="1:6">
      <c r="A77" s="2033" t="s">
        <v>1277</v>
      </c>
      <c r="B77" s="2037" t="s">
        <v>1497</v>
      </c>
      <c r="C77" s="2035" t="s">
        <v>1498</v>
      </c>
      <c r="D77" s="2033" t="s">
        <v>16</v>
      </c>
      <c r="E77" s="1463" t="s">
        <v>237</v>
      </c>
      <c r="F77" s="1462"/>
    </row>
    <row r="78" spans="1:6">
      <c r="A78" s="2034"/>
      <c r="B78" s="2038"/>
      <c r="C78" s="2036"/>
      <c r="D78" s="2034"/>
      <c r="E78" s="1463" t="s">
        <v>1280</v>
      </c>
      <c r="F78" s="1462">
        <v>3</v>
      </c>
    </row>
    <row r="79" spans="1:6">
      <c r="A79" s="1462" t="s">
        <v>1386</v>
      </c>
      <c r="B79" s="1463" t="s">
        <v>1282</v>
      </c>
      <c r="C79" s="1463" t="s">
        <v>1283</v>
      </c>
      <c r="D79" s="1462" t="s">
        <v>16</v>
      </c>
      <c r="E79" s="1464" t="s">
        <v>237</v>
      </c>
      <c r="F79" s="1461"/>
    </row>
    <row r="80" spans="1:6">
      <c r="A80" s="2033" t="s">
        <v>1389</v>
      </c>
      <c r="B80" s="2035" t="s">
        <v>1287</v>
      </c>
      <c r="C80" s="2035" t="s">
        <v>1283</v>
      </c>
      <c r="D80" s="2033" t="s">
        <v>16</v>
      </c>
      <c r="E80" s="1464" t="s">
        <v>237</v>
      </c>
      <c r="F80" s="1461">
        <v>1</v>
      </c>
    </row>
    <row r="81" spans="1:6">
      <c r="A81" s="2034"/>
      <c r="B81" s="2036"/>
      <c r="C81" s="2036"/>
      <c r="D81" s="2034"/>
      <c r="E81" s="1464" t="s">
        <v>1280</v>
      </c>
      <c r="F81" s="1461">
        <v>3</v>
      </c>
    </row>
    <row r="82" spans="1:6">
      <c r="A82" s="1462" t="s">
        <v>1286</v>
      </c>
      <c r="B82" s="1463" t="s">
        <v>1287</v>
      </c>
      <c r="C82" s="1463" t="s">
        <v>1283</v>
      </c>
      <c r="D82" s="1462" t="s">
        <v>16</v>
      </c>
      <c r="E82" s="1464" t="s">
        <v>237</v>
      </c>
      <c r="F82" s="1461">
        <v>1</v>
      </c>
    </row>
    <row r="83" spans="1:6">
      <c r="A83" s="1462" t="s">
        <v>1288</v>
      </c>
      <c r="B83" s="1463" t="s">
        <v>1287</v>
      </c>
      <c r="C83" s="1463" t="s">
        <v>1289</v>
      </c>
      <c r="D83" s="1462" t="s">
        <v>16</v>
      </c>
      <c r="E83" s="1464" t="s">
        <v>237</v>
      </c>
      <c r="F83" s="1461"/>
    </row>
    <row r="84" spans="1:6">
      <c r="A84" s="1462" t="s">
        <v>1393</v>
      </c>
      <c r="B84" s="1463" t="s">
        <v>1282</v>
      </c>
      <c r="C84" s="1463" t="s">
        <v>1283</v>
      </c>
      <c r="D84" s="1462" t="s">
        <v>16</v>
      </c>
      <c r="E84" s="1464" t="s">
        <v>237</v>
      </c>
      <c r="F84" s="1461"/>
    </row>
    <row r="85" spans="1:6">
      <c r="A85" s="1462" t="s">
        <v>1290</v>
      </c>
      <c r="B85" s="1463" t="s">
        <v>1291</v>
      </c>
      <c r="C85" s="1463" t="s">
        <v>1289</v>
      </c>
      <c r="D85" s="1462" t="s">
        <v>16</v>
      </c>
      <c r="E85" s="1464" t="s">
        <v>1280</v>
      </c>
      <c r="F85" s="1461"/>
    </row>
    <row r="86" spans="1:6">
      <c r="A86" s="1462" t="s">
        <v>1499</v>
      </c>
      <c r="B86" s="1463" t="s">
        <v>1287</v>
      </c>
      <c r="C86" s="1463" t="s">
        <v>1283</v>
      </c>
      <c r="D86" s="1462" t="s">
        <v>16</v>
      </c>
      <c r="E86" s="1464" t="s">
        <v>237</v>
      </c>
      <c r="F86" s="1461"/>
    </row>
  </sheetData>
  <mergeCells count="66">
    <mergeCell ref="A80:A81"/>
    <mergeCell ref="B80:B81"/>
    <mergeCell ref="C80:C81"/>
    <mergeCell ref="D80:D81"/>
    <mergeCell ref="A75:F75"/>
    <mergeCell ref="B77:B78"/>
    <mergeCell ref="A77:A78"/>
    <mergeCell ref="C77:C78"/>
    <mergeCell ref="D77:D78"/>
    <mergeCell ref="I13:M13"/>
    <mergeCell ref="N13:R13"/>
    <mergeCell ref="S13:W13"/>
    <mergeCell ref="A18:B20"/>
    <mergeCell ref="F18:H20"/>
    <mergeCell ref="A15:B17"/>
    <mergeCell ref="F15:H17"/>
    <mergeCell ref="B2:D2"/>
    <mergeCell ref="B3:D3"/>
    <mergeCell ref="B4:D4"/>
    <mergeCell ref="B6:D6"/>
    <mergeCell ref="B8:D8"/>
    <mergeCell ref="A10:B10"/>
    <mergeCell ref="C10:H10"/>
    <mergeCell ref="E12:H13"/>
    <mergeCell ref="A14:B14"/>
    <mergeCell ref="F14:H14"/>
    <mergeCell ref="A21:B22"/>
    <mergeCell ref="F21:H22"/>
    <mergeCell ref="A23:B25"/>
    <mergeCell ref="F23:H25"/>
    <mergeCell ref="A26:C26"/>
    <mergeCell ref="F26:H26"/>
    <mergeCell ref="A27:B29"/>
    <mergeCell ref="F27:H29"/>
    <mergeCell ref="A30:B32"/>
    <mergeCell ref="F30:H32"/>
    <mergeCell ref="A33:B33"/>
    <mergeCell ref="F33:H33"/>
    <mergeCell ref="A34:B34"/>
    <mergeCell ref="F34:H34"/>
    <mergeCell ref="A35:B36"/>
    <mergeCell ref="F35:H36"/>
    <mergeCell ref="A37:B39"/>
    <mergeCell ref="F37:H37"/>
    <mergeCell ref="F38:H39"/>
    <mergeCell ref="A49:B50"/>
    <mergeCell ref="F49:H49"/>
    <mergeCell ref="F50:H50"/>
    <mergeCell ref="A40:B42"/>
    <mergeCell ref="F40:H41"/>
    <mergeCell ref="F42:H42"/>
    <mergeCell ref="A43:C43"/>
    <mergeCell ref="F43:H43"/>
    <mergeCell ref="A44:C44"/>
    <mergeCell ref="F44:H44"/>
    <mergeCell ref="A45:B48"/>
    <mergeCell ref="F45:H45"/>
    <mergeCell ref="F46:H46"/>
    <mergeCell ref="F47:H47"/>
    <mergeCell ref="F48:H48"/>
    <mergeCell ref="A51:B53"/>
    <mergeCell ref="F51:H51"/>
    <mergeCell ref="F52:H52"/>
    <mergeCell ref="F53:H53"/>
    <mergeCell ref="A54:B54"/>
    <mergeCell ref="F54:H54"/>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W98"/>
  <sheetViews>
    <sheetView topLeftCell="A37" workbookViewId="0">
      <selection activeCell="H58" sqref="H58"/>
    </sheetView>
  </sheetViews>
  <sheetFormatPr baseColWidth="10" defaultRowHeight="15"/>
  <cols>
    <col min="1" max="1" width="20.42578125" style="1" bestFit="1" customWidth="1"/>
    <col min="2" max="2" width="15.7109375" style="1" customWidth="1"/>
    <col min="3" max="3" width="40" style="1" customWidth="1"/>
    <col min="4" max="4" width="8" style="1" customWidth="1"/>
    <col min="5" max="5" width="7.5703125" style="1" customWidth="1"/>
    <col min="6" max="6" width="16.28515625" style="1" bestFit="1" customWidth="1"/>
    <col min="7" max="7" width="26" style="1" customWidth="1"/>
    <col min="8" max="8" width="40.5703125" style="2" customWidth="1"/>
    <col min="10" max="10" width="18.42578125" bestFit="1" customWidth="1"/>
  </cols>
  <sheetData>
    <row r="1" spans="1:23" ht="15.75" thickBot="1">
      <c r="A1"/>
      <c r="B1"/>
      <c r="C1"/>
      <c r="D1"/>
      <c r="E1" s="108"/>
      <c r="F1"/>
      <c r="G1"/>
      <c r="H1"/>
    </row>
    <row r="2" spans="1:23" ht="15.75" thickBot="1">
      <c r="A2" s="328" t="s">
        <v>0</v>
      </c>
      <c r="B2" s="1807" t="s">
        <v>609</v>
      </c>
      <c r="C2" s="1776"/>
      <c r="D2" s="1777"/>
      <c r="E2" s="407"/>
      <c r="F2" s="329"/>
      <c r="G2" s="330" t="s">
        <v>462</v>
      </c>
      <c r="H2" s="408" t="s">
        <v>53</v>
      </c>
      <c r="J2" s="13" t="s">
        <v>73</v>
      </c>
    </row>
    <row r="3" spans="1:23" ht="15.75" thickBot="1">
      <c r="A3" s="331" t="s">
        <v>344</v>
      </c>
      <c r="B3" s="1807" t="s">
        <v>610</v>
      </c>
      <c r="C3" s="1880"/>
      <c r="D3" s="1881"/>
      <c r="E3" s="407"/>
      <c r="F3" s="329"/>
      <c r="G3" s="332" t="s">
        <v>10</v>
      </c>
      <c r="H3" s="408" t="s">
        <v>16</v>
      </c>
    </row>
    <row r="4" spans="1:23" ht="15.75" thickBot="1">
      <c r="A4" s="332" t="s">
        <v>3</v>
      </c>
      <c r="B4" s="1809" t="s">
        <v>66</v>
      </c>
      <c r="C4" s="1776"/>
      <c r="D4" s="1777"/>
      <c r="E4" s="409"/>
      <c r="F4" s="329"/>
      <c r="G4" s="334" t="s">
        <v>26</v>
      </c>
      <c r="H4" s="392">
        <v>10</v>
      </c>
      <c r="J4" s="13" t="s">
        <v>381</v>
      </c>
    </row>
    <row r="5" spans="1:23" ht="15.75" customHeight="1" thickBot="1">
      <c r="A5" s="329"/>
      <c r="B5" s="329"/>
      <c r="C5" s="329"/>
      <c r="D5" s="329"/>
      <c r="E5" s="407"/>
      <c r="F5" s="329"/>
      <c r="G5" s="329"/>
      <c r="H5" s="329"/>
    </row>
    <row r="6" spans="1:23" ht="51.75" customHeight="1" thickBot="1">
      <c r="A6" s="328" t="s">
        <v>465</v>
      </c>
      <c r="B6" s="1909" t="s">
        <v>1574</v>
      </c>
      <c r="C6" s="1811"/>
      <c r="D6" s="1812"/>
      <c r="E6" s="407"/>
      <c r="F6" s="329"/>
      <c r="G6" s="335" t="s">
        <v>466</v>
      </c>
      <c r="H6" s="1048" t="s">
        <v>611</v>
      </c>
    </row>
    <row r="7" spans="1:23" ht="15.75" thickBot="1">
      <c r="A7"/>
      <c r="B7" s="329"/>
      <c r="C7" s="329"/>
      <c r="D7" s="329"/>
      <c r="E7" s="407"/>
      <c r="F7" s="329"/>
      <c r="G7" s="337"/>
      <c r="H7" s="329"/>
    </row>
    <row r="8" spans="1:23" ht="30.75" thickBot="1">
      <c r="A8" s="338" t="s">
        <v>7</v>
      </c>
      <c r="B8" s="1809" t="s">
        <v>612</v>
      </c>
      <c r="C8" s="1776"/>
      <c r="D8" s="1777"/>
      <c r="E8" s="409"/>
      <c r="F8" s="339"/>
      <c r="G8" s="338" t="s">
        <v>469</v>
      </c>
      <c r="H8" s="123" t="s">
        <v>470</v>
      </c>
    </row>
    <row r="9" spans="1:23">
      <c r="A9"/>
      <c r="B9" s="329"/>
      <c r="C9" s="329"/>
      <c r="D9" s="329"/>
      <c r="E9" s="407"/>
      <c r="F9" s="329"/>
      <c r="G9" s="337"/>
      <c r="H9" s="329"/>
    </row>
    <row r="10" spans="1:23" ht="409.5" customHeight="1">
      <c r="A10" s="1813" t="s">
        <v>471</v>
      </c>
      <c r="B10" s="1772"/>
      <c r="C10" s="2075" t="s">
        <v>613</v>
      </c>
      <c r="D10" s="2075"/>
      <c r="E10" s="2075"/>
      <c r="F10" s="2075"/>
      <c r="G10" s="2075"/>
      <c r="H10" s="2075"/>
      <c r="J10" s="2069" t="s">
        <v>412</v>
      </c>
    </row>
    <row r="11" spans="1:23">
      <c r="A11" s="343"/>
      <c r="B11" s="333"/>
      <c r="C11" s="333"/>
      <c r="D11" s="333"/>
      <c r="E11" s="409"/>
      <c r="F11" s="339"/>
      <c r="G11" s="342"/>
      <c r="H11" s="342"/>
      <c r="J11" s="2069"/>
    </row>
    <row r="12" spans="1:23">
      <c r="A12" s="343"/>
      <c r="B12" s="333"/>
      <c r="C12" s="333"/>
      <c r="D12" s="333"/>
      <c r="E12" s="1814" t="s">
        <v>473</v>
      </c>
      <c r="F12" s="1772"/>
      <c r="G12" s="1772"/>
      <c r="H12" s="1772"/>
      <c r="J12" t="s">
        <v>419</v>
      </c>
      <c r="K12" t="s">
        <v>421</v>
      </c>
    </row>
    <row r="13" spans="1:23" ht="30" customHeight="1">
      <c r="A13" s="329"/>
      <c r="B13" s="329"/>
      <c r="C13" s="329"/>
      <c r="D13" s="329"/>
      <c r="E13" s="1780"/>
      <c r="F13" s="1780"/>
      <c r="G13" s="1780"/>
      <c r="H13" s="1780"/>
      <c r="I13" s="1817">
        <v>2025</v>
      </c>
      <c r="J13" s="1762"/>
      <c r="K13" s="1762"/>
      <c r="L13" s="1762"/>
      <c r="M13" s="1764"/>
      <c r="N13" s="1817">
        <v>2026</v>
      </c>
      <c r="O13" s="1762"/>
      <c r="P13" s="1762"/>
      <c r="Q13" s="1762"/>
      <c r="R13" s="1764"/>
      <c r="S13" s="1817">
        <v>2027</v>
      </c>
      <c r="T13" s="1762"/>
      <c r="U13" s="1762"/>
      <c r="V13" s="1762"/>
      <c r="W13" s="1764"/>
    </row>
    <row r="14" spans="1:23" ht="30.75" customHeight="1" thickBot="1">
      <c r="A14" s="1816" t="s">
        <v>5</v>
      </c>
      <c r="B14" s="1792"/>
      <c r="C14" s="344" t="s">
        <v>1</v>
      </c>
      <c r="D14" s="344" t="s">
        <v>260</v>
      </c>
      <c r="E14" s="345" t="s">
        <v>474</v>
      </c>
      <c r="F14" s="1866" t="s">
        <v>6</v>
      </c>
      <c r="G14" s="1771"/>
      <c r="H14" s="1792"/>
      <c r="I14" s="643" t="s">
        <v>474</v>
      </c>
      <c r="J14" s="644" t="s">
        <v>944</v>
      </c>
      <c r="K14" s="645" t="s">
        <v>945</v>
      </c>
      <c r="L14" s="644" t="s">
        <v>946</v>
      </c>
      <c r="M14" s="646" t="s">
        <v>947</v>
      </c>
      <c r="N14" s="643" t="s">
        <v>474</v>
      </c>
      <c r="O14" s="644" t="s">
        <v>944</v>
      </c>
      <c r="P14" s="645" t="s">
        <v>945</v>
      </c>
      <c r="Q14" s="644" t="s">
        <v>946</v>
      </c>
      <c r="R14" s="646" t="s">
        <v>947</v>
      </c>
      <c r="S14" s="643" t="s">
        <v>474</v>
      </c>
      <c r="T14" s="644" t="s">
        <v>944</v>
      </c>
      <c r="U14" s="645" t="s">
        <v>945</v>
      </c>
      <c r="V14" s="644" t="s">
        <v>946</v>
      </c>
      <c r="W14" s="646" t="s">
        <v>947</v>
      </c>
    </row>
    <row r="15" spans="1:23" ht="30" customHeight="1">
      <c r="A15" s="1804" t="s">
        <v>17</v>
      </c>
      <c r="B15" s="1771"/>
      <c r="C15" s="346" t="s">
        <v>59</v>
      </c>
      <c r="D15" s="347" t="s">
        <v>251</v>
      </c>
      <c r="E15" s="411"/>
      <c r="F15" s="2070" t="s">
        <v>475</v>
      </c>
      <c r="G15" s="2071"/>
      <c r="H15" s="2072"/>
      <c r="I15" s="530"/>
      <c r="J15" s="648"/>
      <c r="K15" s="648"/>
      <c r="L15" s="648"/>
      <c r="M15" s="649"/>
      <c r="N15" s="650"/>
      <c r="O15" s="648"/>
      <c r="P15" s="648"/>
      <c r="Q15" s="648"/>
      <c r="R15" s="649"/>
      <c r="S15" s="650"/>
      <c r="T15" s="648"/>
      <c r="U15" s="648"/>
      <c r="V15" s="648"/>
      <c r="W15" s="651"/>
    </row>
    <row r="16" spans="1:23" ht="32.25" customHeight="1">
      <c r="A16" s="1772"/>
      <c r="B16" s="1772"/>
      <c r="C16" s="349" t="s">
        <v>18</v>
      </c>
      <c r="D16" s="350" t="s">
        <v>168</v>
      </c>
      <c r="E16" s="412"/>
      <c r="F16" s="2073"/>
      <c r="G16" s="2074"/>
      <c r="H16" s="2067"/>
      <c r="I16" s="696"/>
      <c r="J16" s="632"/>
      <c r="K16" s="632"/>
      <c r="L16" s="632"/>
      <c r="M16" s="632"/>
      <c r="N16" s="653"/>
      <c r="O16" s="632"/>
      <c r="P16" s="632"/>
      <c r="Q16" s="632"/>
      <c r="R16" s="632"/>
      <c r="S16" s="653"/>
      <c r="T16" s="632"/>
      <c r="U16" s="632"/>
      <c r="V16" s="632"/>
      <c r="W16" s="654"/>
    </row>
    <row r="17" spans="1:23" ht="54.75" customHeight="1" thickBot="1">
      <c r="A17" s="1780"/>
      <c r="B17" s="1780"/>
      <c r="C17" s="352" t="s">
        <v>19</v>
      </c>
      <c r="D17" s="353" t="s">
        <v>233</v>
      </c>
      <c r="E17" s="412"/>
      <c r="F17" s="2068"/>
      <c r="G17" s="2066"/>
      <c r="H17" s="2067"/>
      <c r="I17" s="697"/>
      <c r="J17" s="632"/>
      <c r="K17" s="632"/>
      <c r="L17" s="632"/>
      <c r="M17" s="632"/>
      <c r="N17" s="656"/>
      <c r="O17" s="632"/>
      <c r="P17" s="632"/>
      <c r="Q17" s="632"/>
      <c r="R17" s="632"/>
      <c r="S17" s="656"/>
      <c r="T17" s="632"/>
      <c r="U17" s="632"/>
      <c r="V17" s="632"/>
      <c r="W17" s="654"/>
    </row>
    <row r="18" spans="1:23" ht="25.5" customHeight="1">
      <c r="A18" s="1804" t="s">
        <v>20</v>
      </c>
      <c r="B18" s="1771"/>
      <c r="C18" s="346" t="s">
        <v>54</v>
      </c>
      <c r="D18" s="353" t="s">
        <v>261</v>
      </c>
      <c r="E18" s="412" t="s">
        <v>277</v>
      </c>
      <c r="F18" s="2065" t="s">
        <v>614</v>
      </c>
      <c r="G18" s="2066"/>
      <c r="H18" s="2067"/>
      <c r="I18" s="697" t="s">
        <v>277</v>
      </c>
      <c r="J18" s="632">
        <v>1</v>
      </c>
      <c r="K18" s="632"/>
      <c r="L18" s="632">
        <v>120</v>
      </c>
      <c r="M18" s="632">
        <f>(120*137)*5</f>
        <v>82200</v>
      </c>
      <c r="N18" s="697" t="s">
        <v>277</v>
      </c>
      <c r="O18" s="698">
        <v>1</v>
      </c>
      <c r="P18" s="698"/>
      <c r="Q18" s="698">
        <v>120</v>
      </c>
      <c r="R18" s="698">
        <f>(137*120)*5</f>
        <v>82200</v>
      </c>
      <c r="S18" s="697" t="s">
        <v>277</v>
      </c>
      <c r="T18" s="632"/>
      <c r="U18" s="632"/>
      <c r="V18" s="632"/>
      <c r="W18" s="654"/>
    </row>
    <row r="19" spans="1:23" ht="27" customHeight="1">
      <c r="A19" s="1772"/>
      <c r="B19" s="1772"/>
      <c r="C19" s="355" t="s">
        <v>21</v>
      </c>
      <c r="D19" s="353" t="s">
        <v>234</v>
      </c>
      <c r="E19" s="413"/>
      <c r="F19" s="2065"/>
      <c r="G19" s="2066"/>
      <c r="H19" s="2067"/>
      <c r="I19" s="697"/>
      <c r="J19" s="632"/>
      <c r="K19" s="632"/>
      <c r="L19" s="632"/>
      <c r="M19" s="632"/>
      <c r="N19" s="697"/>
      <c r="O19" s="698"/>
      <c r="P19" s="698"/>
      <c r="Q19" s="698"/>
      <c r="R19" s="698"/>
      <c r="S19" s="697"/>
      <c r="T19" s="632"/>
      <c r="U19" s="632"/>
      <c r="V19" s="632"/>
      <c r="W19" s="654"/>
    </row>
    <row r="20" spans="1:23" ht="27" customHeight="1" thickBot="1">
      <c r="A20" s="1772"/>
      <c r="B20" s="1772"/>
      <c r="C20" s="414" t="s">
        <v>22</v>
      </c>
      <c r="D20" s="362" t="s">
        <v>235</v>
      </c>
      <c r="E20" s="413" t="s">
        <v>277</v>
      </c>
      <c r="F20" s="2081" t="s">
        <v>615</v>
      </c>
      <c r="G20" s="2082"/>
      <c r="H20" s="2083"/>
      <c r="I20" s="697" t="s">
        <v>277</v>
      </c>
      <c r="J20" s="632">
        <v>1</v>
      </c>
      <c r="K20" s="632">
        <v>1</v>
      </c>
      <c r="L20" s="632">
        <v>300</v>
      </c>
      <c r="M20" s="632">
        <f>(300*306)*5</f>
        <v>459000</v>
      </c>
      <c r="N20" s="697" t="s">
        <v>277</v>
      </c>
      <c r="O20" s="698">
        <v>1</v>
      </c>
      <c r="P20" s="698">
        <v>1</v>
      </c>
      <c r="Q20" s="698">
        <v>100</v>
      </c>
      <c r="R20" s="698">
        <f>(100*306)*5</f>
        <v>153000</v>
      </c>
      <c r="S20" s="697" t="s">
        <v>277</v>
      </c>
      <c r="T20" s="632"/>
      <c r="U20" s="632"/>
      <c r="V20" s="632"/>
      <c r="W20" s="654"/>
    </row>
    <row r="21" spans="1:23" ht="15" customHeight="1">
      <c r="A21" s="1804" t="s">
        <v>23</v>
      </c>
      <c r="B21" s="1771"/>
      <c r="C21" s="356" t="s">
        <v>69</v>
      </c>
      <c r="D21" s="353" t="s">
        <v>267</v>
      </c>
      <c r="E21" s="412"/>
      <c r="F21" s="2065" t="s">
        <v>477</v>
      </c>
      <c r="G21" s="2066"/>
      <c r="H21" s="2067"/>
      <c r="I21" s="697"/>
      <c r="J21" s="632"/>
      <c r="K21" s="632"/>
      <c r="L21" s="632"/>
      <c r="M21" s="632"/>
      <c r="N21" s="697"/>
      <c r="O21" s="698"/>
      <c r="P21" s="698"/>
      <c r="Q21" s="698"/>
      <c r="R21" s="698"/>
      <c r="S21" s="697"/>
      <c r="T21" s="632"/>
      <c r="U21" s="632"/>
      <c r="V21" s="632"/>
      <c r="W21" s="654"/>
    </row>
    <row r="22" spans="1:23" ht="15" customHeight="1" thickBot="1">
      <c r="A22" s="1780"/>
      <c r="B22" s="1780"/>
      <c r="C22" s="357" t="s">
        <v>24</v>
      </c>
      <c r="D22" s="358" t="s">
        <v>236</v>
      </c>
      <c r="E22" s="412"/>
      <c r="F22" s="2068"/>
      <c r="G22" s="2066"/>
      <c r="H22" s="2067"/>
      <c r="I22" s="697"/>
      <c r="J22" s="632"/>
      <c r="K22" s="632"/>
      <c r="L22" s="632"/>
      <c r="M22" s="632"/>
      <c r="N22" s="697"/>
      <c r="O22" s="698"/>
      <c r="P22" s="698"/>
      <c r="Q22" s="698"/>
      <c r="R22" s="698"/>
      <c r="S22" s="697"/>
      <c r="T22" s="632"/>
      <c r="U22" s="632"/>
      <c r="V22" s="632"/>
      <c r="W22" s="654"/>
    </row>
    <row r="23" spans="1:23" ht="15" customHeight="1">
      <c r="A23" s="1801" t="s">
        <v>478</v>
      </c>
      <c r="B23" s="1792"/>
      <c r="C23" s="359" t="s">
        <v>360</v>
      </c>
      <c r="D23" s="358" t="s">
        <v>265</v>
      </c>
      <c r="E23" s="412"/>
      <c r="F23" s="2052" t="s">
        <v>477</v>
      </c>
      <c r="G23" s="1772"/>
      <c r="H23" s="1877"/>
      <c r="I23" s="697"/>
      <c r="J23" s="632"/>
      <c r="K23" s="632"/>
      <c r="L23" s="632"/>
      <c r="M23" s="632"/>
      <c r="N23" s="697"/>
      <c r="O23" s="698"/>
      <c r="P23" s="698"/>
      <c r="Q23" s="698"/>
      <c r="R23" s="698"/>
      <c r="S23" s="697"/>
      <c r="T23" s="632"/>
      <c r="U23" s="632"/>
      <c r="V23" s="632"/>
      <c r="W23" s="654"/>
    </row>
    <row r="24" spans="1:23" ht="30" customHeight="1">
      <c r="A24" s="1779"/>
      <c r="B24" s="1799"/>
      <c r="C24" s="360" t="s">
        <v>361</v>
      </c>
      <c r="D24" s="358" t="s">
        <v>362</v>
      </c>
      <c r="E24" s="412"/>
      <c r="F24" s="2064"/>
      <c r="G24" s="1876"/>
      <c r="H24" s="1877"/>
      <c r="I24" s="697"/>
      <c r="J24" s="632"/>
      <c r="K24" s="632"/>
      <c r="L24" s="632"/>
      <c r="M24" s="632"/>
      <c r="N24" s="697"/>
      <c r="O24" s="698"/>
      <c r="P24" s="698"/>
      <c r="Q24" s="698"/>
      <c r="R24" s="698"/>
      <c r="S24" s="697"/>
      <c r="T24" s="632"/>
      <c r="U24" s="632"/>
      <c r="V24" s="632"/>
      <c r="W24" s="654"/>
    </row>
    <row r="25" spans="1:23" ht="30" customHeight="1" thickBot="1">
      <c r="A25" s="1779"/>
      <c r="B25" s="1799"/>
      <c r="C25" s="361" t="s">
        <v>479</v>
      </c>
      <c r="D25" s="358" t="s">
        <v>480</v>
      </c>
      <c r="E25" s="412"/>
      <c r="F25" s="2053"/>
      <c r="G25" s="1780"/>
      <c r="H25" s="2054"/>
      <c r="I25" s="697"/>
      <c r="J25" s="632"/>
      <c r="K25" s="632"/>
      <c r="L25" s="632"/>
      <c r="M25" s="632"/>
      <c r="N25" s="697"/>
      <c r="O25" s="698"/>
      <c r="P25" s="698"/>
      <c r="Q25" s="698"/>
      <c r="R25" s="698"/>
      <c r="S25" s="697"/>
      <c r="T25" s="632"/>
      <c r="U25" s="632"/>
      <c r="V25" s="632"/>
      <c r="W25" s="654"/>
    </row>
    <row r="26" spans="1:23" ht="30" customHeight="1" thickBot="1">
      <c r="A26" s="1802" t="s">
        <v>25</v>
      </c>
      <c r="B26" s="1776"/>
      <c r="C26" s="1777"/>
      <c r="D26" s="362" t="s">
        <v>270</v>
      </c>
      <c r="E26" s="412"/>
      <c r="F26" s="2044" t="s">
        <v>481</v>
      </c>
      <c r="G26" s="1762"/>
      <c r="H26" s="2043"/>
      <c r="I26" s="697"/>
      <c r="J26" s="632"/>
      <c r="K26" s="632"/>
      <c r="L26" s="632"/>
      <c r="M26" s="632"/>
      <c r="N26" s="697"/>
      <c r="O26" s="698"/>
      <c r="P26" s="698"/>
      <c r="Q26" s="698"/>
      <c r="R26" s="698"/>
      <c r="S26" s="697"/>
      <c r="T26" s="632"/>
      <c r="U26" s="632"/>
      <c r="V26" s="632"/>
      <c r="W26" s="654"/>
    </row>
    <row r="27" spans="1:23" ht="15.75">
      <c r="A27" s="1803" t="s">
        <v>153</v>
      </c>
      <c r="B27" s="1788"/>
      <c r="C27" s="363" t="s">
        <v>152</v>
      </c>
      <c r="D27" s="364" t="s">
        <v>268</v>
      </c>
      <c r="E27" s="412"/>
      <c r="F27" s="2059" t="s">
        <v>475</v>
      </c>
      <c r="G27" s="1771"/>
      <c r="H27" s="2058"/>
      <c r="I27" s="697"/>
      <c r="J27" s="632"/>
      <c r="K27" s="632"/>
      <c r="L27" s="632"/>
      <c r="M27" s="632"/>
      <c r="N27" s="697"/>
      <c r="O27" s="698"/>
      <c r="P27" s="698"/>
      <c r="Q27" s="698"/>
      <c r="R27" s="698"/>
      <c r="S27" s="697"/>
      <c r="T27" s="632"/>
      <c r="U27" s="632"/>
      <c r="V27" s="632"/>
      <c r="W27" s="654"/>
    </row>
    <row r="28" spans="1:23" ht="15.75">
      <c r="A28" s="1779"/>
      <c r="B28" s="1788"/>
      <c r="C28" s="365" t="s">
        <v>154</v>
      </c>
      <c r="D28" s="364" t="s">
        <v>392</v>
      </c>
      <c r="E28" s="412"/>
      <c r="F28" s="2064"/>
      <c r="G28" s="1876"/>
      <c r="H28" s="1877"/>
      <c r="I28" s="697"/>
      <c r="J28" s="632"/>
      <c r="K28" s="632"/>
      <c r="L28" s="632"/>
      <c r="M28" s="632"/>
      <c r="N28" s="697"/>
      <c r="O28" s="698"/>
      <c r="P28" s="698"/>
      <c r="Q28" s="698"/>
      <c r="R28" s="698"/>
      <c r="S28" s="697"/>
      <c r="T28" s="632"/>
      <c r="U28" s="632"/>
      <c r="V28" s="632"/>
      <c r="W28" s="654"/>
    </row>
    <row r="29" spans="1:23" ht="16.5" thickBot="1">
      <c r="A29" s="1767"/>
      <c r="B29" s="1768"/>
      <c r="C29" s="366" t="s">
        <v>400</v>
      </c>
      <c r="D29" s="364" t="s">
        <v>393</v>
      </c>
      <c r="E29" s="412"/>
      <c r="F29" s="2053"/>
      <c r="G29" s="1780"/>
      <c r="H29" s="2054"/>
      <c r="I29" s="697"/>
      <c r="J29" s="632"/>
      <c r="K29" s="632"/>
      <c r="L29" s="632"/>
      <c r="M29" s="632"/>
      <c r="N29" s="697"/>
      <c r="O29" s="698"/>
      <c r="P29" s="698"/>
      <c r="Q29" s="698"/>
      <c r="R29" s="698"/>
      <c r="S29" s="697"/>
      <c r="T29" s="632"/>
      <c r="U29" s="632"/>
      <c r="V29" s="632"/>
      <c r="W29" s="654"/>
    </row>
    <row r="30" spans="1:23" ht="15.75">
      <c r="A30" s="1797" t="s">
        <v>153</v>
      </c>
      <c r="B30" s="1766"/>
      <c r="C30" s="367" t="s">
        <v>155</v>
      </c>
      <c r="D30" s="364" t="s">
        <v>266</v>
      </c>
      <c r="E30" s="412"/>
      <c r="F30" s="2059" t="s">
        <v>475</v>
      </c>
      <c r="G30" s="1771"/>
      <c r="H30" s="2058"/>
      <c r="I30" s="697"/>
      <c r="J30" s="632"/>
      <c r="K30" s="632"/>
      <c r="L30" s="632"/>
      <c r="M30" s="632"/>
      <c r="N30" s="697"/>
      <c r="O30" s="698"/>
      <c r="P30" s="698"/>
      <c r="Q30" s="698"/>
      <c r="R30" s="698"/>
      <c r="S30" s="697"/>
      <c r="T30" s="632"/>
      <c r="U30" s="632"/>
      <c r="V30" s="632"/>
      <c r="W30" s="654"/>
    </row>
    <row r="31" spans="1:23" ht="15.75">
      <c r="A31" s="1779"/>
      <c r="B31" s="1788"/>
      <c r="C31" s="365" t="s">
        <v>156</v>
      </c>
      <c r="D31" s="364" t="s">
        <v>394</v>
      </c>
      <c r="E31" s="412"/>
      <c r="F31" s="2064"/>
      <c r="G31" s="1876"/>
      <c r="H31" s="1877"/>
      <c r="I31" s="697"/>
      <c r="J31" s="632"/>
      <c r="K31" s="632"/>
      <c r="L31" s="632"/>
      <c r="M31" s="632"/>
      <c r="N31" s="697"/>
      <c r="O31" s="698"/>
      <c r="P31" s="698"/>
      <c r="Q31" s="698"/>
      <c r="R31" s="698"/>
      <c r="S31" s="697"/>
      <c r="T31" s="632"/>
      <c r="U31" s="632"/>
      <c r="V31" s="632"/>
      <c r="W31" s="654"/>
    </row>
    <row r="32" spans="1:23" ht="16.5" thickBot="1">
      <c r="A32" s="1767"/>
      <c r="B32" s="1768"/>
      <c r="C32" s="366" t="s">
        <v>399</v>
      </c>
      <c r="D32" s="364" t="s">
        <v>395</v>
      </c>
      <c r="E32" s="412"/>
      <c r="F32" s="2053"/>
      <c r="G32" s="1780"/>
      <c r="H32" s="2054"/>
      <c r="I32" s="697"/>
      <c r="J32" s="632"/>
      <c r="K32" s="632"/>
      <c r="L32" s="632"/>
      <c r="M32" s="632"/>
      <c r="N32" s="697"/>
      <c r="O32" s="698"/>
      <c r="P32" s="698"/>
      <c r="Q32" s="698"/>
      <c r="R32" s="698"/>
      <c r="S32" s="697"/>
      <c r="T32" s="632"/>
      <c r="U32" s="632"/>
      <c r="V32" s="632"/>
      <c r="W32" s="654"/>
    </row>
    <row r="33" spans="1:23" ht="16.5" thickBot="1">
      <c r="A33" s="1797" t="s">
        <v>482</v>
      </c>
      <c r="B33" s="1766"/>
      <c r="C33" s="367" t="s">
        <v>365</v>
      </c>
      <c r="D33" s="364" t="s">
        <v>252</v>
      </c>
      <c r="E33" s="412"/>
      <c r="F33" s="2059" t="s">
        <v>483</v>
      </c>
      <c r="G33" s="1771"/>
      <c r="H33" s="2058"/>
      <c r="I33" s="697"/>
      <c r="J33" s="632"/>
      <c r="K33" s="632"/>
      <c r="L33" s="632"/>
      <c r="M33" s="632"/>
      <c r="N33" s="697"/>
      <c r="O33" s="698"/>
      <c r="P33" s="698"/>
      <c r="Q33" s="698"/>
      <c r="R33" s="698"/>
      <c r="S33" s="697"/>
      <c r="T33" s="632"/>
      <c r="U33" s="632"/>
      <c r="V33" s="632"/>
      <c r="W33" s="654"/>
    </row>
    <row r="34" spans="1:23" ht="16.5" thickBot="1">
      <c r="A34" s="1797" t="s">
        <v>484</v>
      </c>
      <c r="B34" s="1766"/>
      <c r="C34" s="367" t="s">
        <v>485</v>
      </c>
      <c r="D34" s="364" t="s">
        <v>264</v>
      </c>
      <c r="E34" s="412"/>
      <c r="F34" s="2057"/>
      <c r="G34" s="1771"/>
      <c r="H34" s="2058"/>
      <c r="I34" s="697"/>
      <c r="J34" s="632"/>
      <c r="K34" s="632"/>
      <c r="L34" s="632"/>
      <c r="M34" s="632"/>
      <c r="N34" s="697"/>
      <c r="O34" s="698"/>
      <c r="P34" s="698"/>
      <c r="Q34" s="698"/>
      <c r="R34" s="698"/>
      <c r="S34" s="697"/>
      <c r="T34" s="632"/>
      <c r="U34" s="632"/>
      <c r="V34" s="632"/>
      <c r="W34" s="654"/>
    </row>
    <row r="35" spans="1:23" ht="15.75">
      <c r="A35" s="1795" t="s">
        <v>486</v>
      </c>
      <c r="B35" s="1766"/>
      <c r="C35" s="368" t="s">
        <v>43</v>
      </c>
      <c r="D35" s="369" t="s">
        <v>256</v>
      </c>
      <c r="E35" s="412"/>
      <c r="F35" s="2059" t="s">
        <v>487</v>
      </c>
      <c r="G35" s="1771"/>
      <c r="H35" s="2058"/>
      <c r="I35" s="697"/>
      <c r="J35" s="632"/>
      <c r="K35" s="632"/>
      <c r="L35" s="632"/>
      <c r="M35" s="632"/>
      <c r="N35" s="697"/>
      <c r="O35" s="698"/>
      <c r="P35" s="698"/>
      <c r="Q35" s="698"/>
      <c r="R35" s="698"/>
      <c r="S35" s="697"/>
      <c r="T35" s="632"/>
      <c r="U35" s="632"/>
      <c r="V35" s="632"/>
      <c r="W35" s="654"/>
    </row>
    <row r="36" spans="1:23" ht="16.5" thickBot="1">
      <c r="A36" s="1767"/>
      <c r="B36" s="1768"/>
      <c r="C36" s="370" t="s">
        <v>60</v>
      </c>
      <c r="D36" s="369" t="s">
        <v>257</v>
      </c>
      <c r="E36" s="412"/>
      <c r="F36" s="2053"/>
      <c r="G36" s="1780"/>
      <c r="H36" s="2054"/>
      <c r="I36" s="697"/>
      <c r="J36" s="632"/>
      <c r="K36" s="632"/>
      <c r="L36" s="632"/>
      <c r="M36" s="632"/>
      <c r="N36" s="697"/>
      <c r="O36" s="698"/>
      <c r="P36" s="698"/>
      <c r="Q36" s="698"/>
      <c r="R36" s="698"/>
      <c r="S36" s="697"/>
      <c r="T36" s="632"/>
      <c r="U36" s="632"/>
      <c r="V36" s="632"/>
      <c r="W36" s="654"/>
    </row>
    <row r="37" spans="1:23" ht="30">
      <c r="A37" s="1796" t="s">
        <v>33</v>
      </c>
      <c r="B37" s="1771"/>
      <c r="C37" s="371" t="s">
        <v>30</v>
      </c>
      <c r="D37" s="372" t="s">
        <v>170</v>
      </c>
      <c r="E37" s="412"/>
      <c r="F37" s="2060" t="s">
        <v>510</v>
      </c>
      <c r="G37" s="1771"/>
      <c r="H37" s="2058"/>
      <c r="I37" s="697"/>
      <c r="J37" s="632"/>
      <c r="K37" s="632"/>
      <c r="L37" s="632"/>
      <c r="M37" s="632"/>
      <c r="N37" s="697"/>
      <c r="O37" s="698"/>
      <c r="P37" s="698"/>
      <c r="Q37" s="698"/>
      <c r="R37" s="698"/>
      <c r="S37" s="697"/>
      <c r="T37" s="632"/>
      <c r="U37" s="632"/>
      <c r="V37" s="632"/>
      <c r="W37" s="654"/>
    </row>
    <row r="38" spans="1:23" ht="30">
      <c r="A38" s="1779"/>
      <c r="B38" s="1772"/>
      <c r="C38" s="373" t="s">
        <v>31</v>
      </c>
      <c r="D38" s="372" t="s">
        <v>169</v>
      </c>
      <c r="E38" s="412" t="s">
        <v>277</v>
      </c>
      <c r="F38" s="2061" t="s">
        <v>616</v>
      </c>
      <c r="G38" s="2062"/>
      <c r="H38" s="2063"/>
      <c r="I38" s="697" t="s">
        <v>277</v>
      </c>
      <c r="J38" s="632">
        <v>1</v>
      </c>
      <c r="K38" s="632"/>
      <c r="L38" s="632">
        <v>90</v>
      </c>
      <c r="M38" s="632">
        <f>(177*90)*5</f>
        <v>79650</v>
      </c>
      <c r="N38" s="697" t="s">
        <v>277</v>
      </c>
      <c r="O38" s="698">
        <v>1</v>
      </c>
      <c r="P38" s="698"/>
      <c r="Q38" s="698">
        <v>100</v>
      </c>
      <c r="R38" s="698">
        <f>(177*100)*5</f>
        <v>88500</v>
      </c>
      <c r="S38" s="697" t="s">
        <v>277</v>
      </c>
      <c r="T38" s="632">
        <v>1</v>
      </c>
      <c r="U38" s="632"/>
      <c r="V38" s="632">
        <v>100</v>
      </c>
      <c r="W38" s="654">
        <f>(100*177)*5</f>
        <v>88500</v>
      </c>
    </row>
    <row r="39" spans="1:23" ht="30.75" thickBot="1">
      <c r="A39" s="1779"/>
      <c r="B39" s="1772"/>
      <c r="C39" s="374" t="s">
        <v>32</v>
      </c>
      <c r="D39" s="372" t="s">
        <v>250</v>
      </c>
      <c r="E39" s="412" t="s">
        <v>277</v>
      </c>
      <c r="F39" s="2061" t="s">
        <v>617</v>
      </c>
      <c r="G39" s="2062"/>
      <c r="H39" s="2063"/>
      <c r="I39" s="697" t="s">
        <v>277</v>
      </c>
      <c r="J39" s="632">
        <v>1</v>
      </c>
      <c r="K39" s="632">
        <v>1</v>
      </c>
      <c r="L39" s="632">
        <v>100</v>
      </c>
      <c r="M39" s="632">
        <f>(100*233)*5</f>
        <v>116500</v>
      </c>
      <c r="N39" s="697" t="s">
        <v>277</v>
      </c>
      <c r="O39" s="698">
        <v>1</v>
      </c>
      <c r="P39" s="698"/>
      <c r="Q39" s="698">
        <v>100</v>
      </c>
      <c r="R39" s="632">
        <f>(100*233)*5</f>
        <v>116500</v>
      </c>
      <c r="S39" s="697" t="s">
        <v>277</v>
      </c>
      <c r="T39" s="632">
        <v>1</v>
      </c>
      <c r="U39" s="632"/>
      <c r="V39" s="632">
        <v>100</v>
      </c>
      <c r="W39" s="632">
        <f>(100*233)*5</f>
        <v>116500</v>
      </c>
    </row>
    <row r="40" spans="1:23" ht="15.75">
      <c r="A40" s="1786" t="s">
        <v>491</v>
      </c>
      <c r="B40" s="1787"/>
      <c r="C40" s="375" t="s">
        <v>144</v>
      </c>
      <c r="D40" s="376" t="s">
        <v>253</v>
      </c>
      <c r="E40" s="412"/>
      <c r="F40" s="2713" t="s">
        <v>492</v>
      </c>
      <c r="G40" s="1772"/>
      <c r="H40" s="1877"/>
      <c r="I40" s="697"/>
      <c r="J40" s="632"/>
      <c r="K40" s="632"/>
      <c r="L40" s="632"/>
      <c r="M40" s="632"/>
      <c r="N40" s="697"/>
      <c r="O40" s="698"/>
      <c r="P40" s="698"/>
      <c r="Q40" s="698"/>
      <c r="R40" s="698"/>
      <c r="S40" s="697"/>
      <c r="T40" s="632"/>
      <c r="U40" s="632"/>
      <c r="V40" s="632"/>
      <c r="W40" s="654"/>
    </row>
    <row r="41" spans="1:23" ht="16.5" thickBot="1">
      <c r="A41" s="1772"/>
      <c r="B41" s="1788"/>
      <c r="C41" s="377" t="s">
        <v>145</v>
      </c>
      <c r="D41" s="376" t="s">
        <v>254</v>
      </c>
      <c r="E41" s="412"/>
      <c r="F41" s="2053"/>
      <c r="G41" s="1780"/>
      <c r="H41" s="2054"/>
      <c r="I41" s="697"/>
      <c r="J41" s="632"/>
      <c r="K41" s="632"/>
      <c r="L41" s="632"/>
      <c r="M41" s="632"/>
      <c r="N41" s="697"/>
      <c r="O41" s="698"/>
      <c r="P41" s="698"/>
      <c r="Q41" s="698"/>
      <c r="R41" s="698"/>
      <c r="S41" s="697"/>
      <c r="T41" s="632"/>
      <c r="U41" s="632"/>
      <c r="V41" s="632"/>
      <c r="W41" s="654"/>
    </row>
    <row r="42" spans="1:23" ht="48" thickBot="1">
      <c r="A42" s="1789"/>
      <c r="B42" s="1790"/>
      <c r="C42" s="378" t="s">
        <v>128</v>
      </c>
      <c r="D42" s="376" t="s">
        <v>262</v>
      </c>
      <c r="E42" s="412" t="s">
        <v>277</v>
      </c>
      <c r="F42" s="2055"/>
      <c r="G42" s="1762"/>
      <c r="H42" s="2043"/>
      <c r="I42" s="697" t="s">
        <v>277</v>
      </c>
      <c r="J42" s="632">
        <v>1</v>
      </c>
      <c r="K42" s="632"/>
      <c r="L42" s="632">
        <v>50</v>
      </c>
      <c r="M42" s="632">
        <v>18000</v>
      </c>
      <c r="N42" s="697" t="s">
        <v>277</v>
      </c>
      <c r="O42" s="698">
        <v>3</v>
      </c>
      <c r="P42" s="698"/>
      <c r="Q42" s="698">
        <v>300</v>
      </c>
      <c r="R42" s="699">
        <f>(72*300)*5</f>
        <v>108000</v>
      </c>
      <c r="S42" s="697" t="s">
        <v>277</v>
      </c>
      <c r="T42" s="632">
        <v>2</v>
      </c>
      <c r="U42" s="632"/>
      <c r="V42" s="632">
        <v>200</v>
      </c>
      <c r="W42" s="654">
        <f>(72*200)*5</f>
        <v>72000</v>
      </c>
    </row>
    <row r="43" spans="1:23" ht="15.75" thickBot="1">
      <c r="A43" s="1775" t="s">
        <v>493</v>
      </c>
      <c r="B43" s="1776"/>
      <c r="C43" s="1777"/>
      <c r="D43" s="379" t="s">
        <v>237</v>
      </c>
      <c r="E43" s="413" t="s">
        <v>277</v>
      </c>
      <c r="F43" s="2056" t="s">
        <v>618</v>
      </c>
      <c r="G43" s="1762"/>
      <c r="H43" s="2043"/>
      <c r="I43" s="697" t="s">
        <v>277</v>
      </c>
      <c r="J43" s="632">
        <v>5</v>
      </c>
      <c r="K43" s="632"/>
      <c r="L43" s="632">
        <v>30</v>
      </c>
      <c r="M43" s="632">
        <f>(30*652)*5</f>
        <v>97800</v>
      </c>
      <c r="N43" s="697" t="s">
        <v>277</v>
      </c>
      <c r="O43" s="698">
        <v>5</v>
      </c>
      <c r="P43" s="698"/>
      <c r="Q43" s="698">
        <v>30</v>
      </c>
      <c r="R43" s="632">
        <f>(30*652)*5</f>
        <v>97800</v>
      </c>
      <c r="S43" s="697" t="s">
        <v>277</v>
      </c>
      <c r="T43" s="632">
        <v>2</v>
      </c>
      <c r="U43" s="632"/>
      <c r="V43" s="632">
        <v>6</v>
      </c>
      <c r="W43" s="632">
        <f>(6*652)*5</f>
        <v>19560</v>
      </c>
    </row>
    <row r="44" spans="1:23" ht="15.75" thickBot="1">
      <c r="A44" s="1775" t="s">
        <v>133</v>
      </c>
      <c r="B44" s="1776"/>
      <c r="C44" s="1777"/>
      <c r="D44" s="379" t="s">
        <v>238</v>
      </c>
      <c r="E44" s="412"/>
      <c r="F44" s="2044" t="s">
        <v>495</v>
      </c>
      <c r="G44" s="1762"/>
      <c r="H44" s="2043"/>
      <c r="I44" s="697"/>
      <c r="J44" s="632"/>
      <c r="K44" s="632"/>
      <c r="L44" s="632"/>
      <c r="M44" s="632"/>
      <c r="N44" s="697"/>
      <c r="O44" s="698"/>
      <c r="P44" s="698"/>
      <c r="Q44" s="698"/>
      <c r="R44" s="698"/>
      <c r="S44" s="697"/>
      <c r="T44" s="632"/>
      <c r="U44" s="632"/>
      <c r="V44" s="632"/>
      <c r="W44" s="654"/>
    </row>
    <row r="45" spans="1:23">
      <c r="A45" s="1778" t="s">
        <v>41</v>
      </c>
      <c r="B45" s="1772"/>
      <c r="C45" s="380" t="s">
        <v>50</v>
      </c>
      <c r="D45" s="381" t="s">
        <v>246</v>
      </c>
      <c r="E45" s="412"/>
      <c r="F45" s="2047" t="s">
        <v>560</v>
      </c>
      <c r="G45" s="1762"/>
      <c r="H45" s="2043"/>
      <c r="I45" s="697"/>
      <c r="J45" s="632"/>
      <c r="K45" s="632"/>
      <c r="L45" s="632"/>
      <c r="M45" s="632"/>
      <c r="N45" s="697"/>
      <c r="O45" s="698"/>
      <c r="P45" s="698"/>
      <c r="Q45" s="698"/>
      <c r="R45" s="698"/>
      <c r="S45" s="697"/>
      <c r="T45" s="632"/>
      <c r="U45" s="632"/>
      <c r="V45" s="632"/>
      <c r="W45" s="654"/>
    </row>
    <row r="46" spans="1:23">
      <c r="A46" s="1779"/>
      <c r="B46" s="1772"/>
      <c r="C46" s="382" t="s">
        <v>51</v>
      </c>
      <c r="D46" s="381" t="s">
        <v>247</v>
      </c>
      <c r="E46" s="413" t="s">
        <v>277</v>
      </c>
      <c r="F46" s="2048" t="s">
        <v>619</v>
      </c>
      <c r="G46" s="2049"/>
      <c r="H46" s="2050"/>
      <c r="I46" s="697" t="s">
        <v>277</v>
      </c>
      <c r="J46" s="632">
        <v>1</v>
      </c>
      <c r="K46" s="632"/>
      <c r="L46" s="632">
        <v>25</v>
      </c>
      <c r="M46" s="632">
        <f>(145*25)*5</f>
        <v>18125</v>
      </c>
      <c r="N46" s="697" t="s">
        <v>277</v>
      </c>
      <c r="O46" s="698">
        <v>1</v>
      </c>
      <c r="P46" s="698"/>
      <c r="Q46" s="698">
        <v>10</v>
      </c>
      <c r="R46" s="632">
        <f>(145*10)*5</f>
        <v>7250</v>
      </c>
      <c r="S46" s="697" t="s">
        <v>277</v>
      </c>
      <c r="T46" s="632"/>
      <c r="U46" s="632"/>
      <c r="V46" s="632"/>
      <c r="W46" s="654"/>
    </row>
    <row r="47" spans="1:23">
      <c r="A47" s="1779"/>
      <c r="B47" s="1772"/>
      <c r="C47" s="382" t="s">
        <v>39</v>
      </c>
      <c r="D47" s="381" t="s">
        <v>248</v>
      </c>
      <c r="E47" s="413" t="s">
        <v>277</v>
      </c>
      <c r="F47" s="2051" t="s">
        <v>620</v>
      </c>
      <c r="G47" s="2049"/>
      <c r="H47" s="2050"/>
      <c r="I47" s="697" t="s">
        <v>277</v>
      </c>
      <c r="J47" s="632">
        <v>1</v>
      </c>
      <c r="K47" s="632"/>
      <c r="L47" s="632">
        <v>4</v>
      </c>
      <c r="M47" s="632">
        <f>(200*4)*5</f>
        <v>4000</v>
      </c>
      <c r="N47" s="697" t="s">
        <v>277</v>
      </c>
      <c r="O47" s="698"/>
      <c r="P47" s="698"/>
      <c r="Q47" s="698"/>
      <c r="R47" s="698"/>
      <c r="S47" s="697" t="s">
        <v>277</v>
      </c>
      <c r="T47" s="632"/>
      <c r="U47" s="632"/>
      <c r="V47" s="632"/>
      <c r="W47" s="654"/>
    </row>
    <row r="48" spans="1:23" ht="15.75" thickBot="1">
      <c r="A48" s="1767"/>
      <c r="B48" s="1780"/>
      <c r="C48" s="383" t="s">
        <v>40</v>
      </c>
      <c r="D48" s="381" t="s">
        <v>249</v>
      </c>
      <c r="E48" s="412"/>
      <c r="F48" s="2047" t="s">
        <v>498</v>
      </c>
      <c r="G48" s="1762"/>
      <c r="H48" s="2043"/>
      <c r="I48" s="697"/>
      <c r="J48" s="632"/>
      <c r="K48" s="632"/>
      <c r="L48" s="632"/>
      <c r="M48" s="632"/>
      <c r="N48" s="697"/>
      <c r="O48" s="698"/>
      <c r="P48" s="698"/>
      <c r="Q48" s="698"/>
      <c r="R48" s="698"/>
      <c r="S48" s="697"/>
      <c r="T48" s="632"/>
      <c r="U48" s="632"/>
      <c r="V48" s="632"/>
      <c r="W48" s="654"/>
    </row>
    <row r="49" spans="1:23" ht="15.75">
      <c r="A49" s="1765" t="s">
        <v>130</v>
      </c>
      <c r="B49" s="1766"/>
      <c r="C49" s="375" t="s">
        <v>131</v>
      </c>
      <c r="D49" s="376" t="s">
        <v>255</v>
      </c>
      <c r="E49" s="412"/>
      <c r="F49" s="2042"/>
      <c r="G49" s="1762"/>
      <c r="H49" s="2043"/>
      <c r="I49" s="697"/>
      <c r="J49" s="632"/>
      <c r="K49" s="632"/>
      <c r="L49" s="632"/>
      <c r="M49" s="632"/>
      <c r="N49" s="697"/>
      <c r="O49" s="698"/>
      <c r="P49" s="698"/>
      <c r="Q49" s="698"/>
      <c r="R49" s="698"/>
      <c r="S49" s="697"/>
      <c r="T49" s="632"/>
      <c r="U49" s="632"/>
      <c r="V49" s="632"/>
      <c r="W49" s="654"/>
    </row>
    <row r="50" spans="1:23" ht="48" thickBot="1">
      <c r="A50" s="1767"/>
      <c r="B50" s="1768"/>
      <c r="C50" s="384" t="s">
        <v>132</v>
      </c>
      <c r="D50" s="376" t="s">
        <v>263</v>
      </c>
      <c r="E50" s="412"/>
      <c r="F50" s="2042"/>
      <c r="G50" s="1762"/>
      <c r="H50" s="2043"/>
      <c r="I50" s="697"/>
      <c r="J50" s="632"/>
      <c r="K50" s="632"/>
      <c r="L50" s="632"/>
      <c r="M50" s="632"/>
      <c r="N50" s="697"/>
      <c r="O50" s="698"/>
      <c r="P50" s="698"/>
      <c r="Q50" s="698"/>
      <c r="R50" s="698"/>
      <c r="S50" s="697"/>
      <c r="T50" s="632"/>
      <c r="U50" s="632"/>
      <c r="V50" s="632"/>
      <c r="W50" s="654"/>
    </row>
    <row r="51" spans="1:23">
      <c r="A51" s="1770" t="s">
        <v>42</v>
      </c>
      <c r="B51" s="1771"/>
      <c r="C51" s="385" t="s">
        <v>38</v>
      </c>
      <c r="D51" s="386" t="s">
        <v>239</v>
      </c>
      <c r="E51" s="412" t="s">
        <v>277</v>
      </c>
      <c r="F51" s="2044" t="s">
        <v>621</v>
      </c>
      <c r="G51" s="1762"/>
      <c r="H51" s="2043"/>
      <c r="I51" s="697" t="s">
        <v>277</v>
      </c>
      <c r="J51" s="632">
        <v>3</v>
      </c>
      <c r="K51" s="632"/>
      <c r="L51" s="632">
        <v>5</v>
      </c>
      <c r="M51" s="632">
        <f>(800*5)*5</f>
        <v>20000</v>
      </c>
      <c r="N51" s="697" t="s">
        <v>277</v>
      </c>
      <c r="O51" s="699">
        <v>4</v>
      </c>
      <c r="P51" s="698"/>
      <c r="Q51" s="698">
        <v>10</v>
      </c>
      <c r="R51" s="698">
        <f>(800*10)*5</f>
        <v>40000</v>
      </c>
      <c r="S51" s="697" t="s">
        <v>277</v>
      </c>
      <c r="T51" s="632">
        <v>5</v>
      </c>
      <c r="U51" s="632"/>
      <c r="V51" s="632">
        <v>15</v>
      </c>
      <c r="W51" s="654">
        <f>(15*800)*5</f>
        <v>60000</v>
      </c>
    </row>
    <row r="52" spans="1:23">
      <c r="A52" s="1772"/>
      <c r="B52" s="1772"/>
      <c r="C52" s="387" t="s">
        <v>55</v>
      </c>
      <c r="D52" s="386" t="s">
        <v>240</v>
      </c>
      <c r="E52" s="412" t="s">
        <v>277</v>
      </c>
      <c r="F52" s="2045"/>
      <c r="G52" s="1762"/>
      <c r="H52" s="2043"/>
      <c r="I52" s="697" t="s">
        <v>277</v>
      </c>
      <c r="J52" s="632">
        <v>3</v>
      </c>
      <c r="K52" s="632"/>
      <c r="L52" s="632">
        <v>0.5</v>
      </c>
      <c r="M52" s="632">
        <f>(0.5*62)*5</f>
        <v>155</v>
      </c>
      <c r="N52" s="697" t="s">
        <v>277</v>
      </c>
      <c r="O52" s="699">
        <v>2</v>
      </c>
      <c r="P52" s="698"/>
      <c r="Q52" s="698">
        <v>0.2</v>
      </c>
      <c r="R52" s="698">
        <f>(0.2*62)*5</f>
        <v>62</v>
      </c>
      <c r="S52" s="697" t="s">
        <v>277</v>
      </c>
      <c r="T52" s="632">
        <v>1</v>
      </c>
      <c r="U52" s="632"/>
      <c r="V52" s="632">
        <v>0.1</v>
      </c>
      <c r="W52" s="654">
        <f>(0.1*62)*5</f>
        <v>31</v>
      </c>
    </row>
    <row r="53" spans="1:23" ht="16.5" thickBot="1">
      <c r="A53" s="1772"/>
      <c r="B53" s="1772"/>
      <c r="C53" s="377" t="s">
        <v>48</v>
      </c>
      <c r="D53" s="388" t="s">
        <v>241</v>
      </c>
      <c r="E53" s="412"/>
      <c r="F53" s="2046"/>
      <c r="G53" s="1762"/>
      <c r="H53" s="2043"/>
      <c r="I53" s="697"/>
      <c r="J53" s="632"/>
      <c r="K53" s="632"/>
      <c r="L53" s="632"/>
      <c r="M53" s="632"/>
      <c r="N53" s="697"/>
      <c r="O53" s="698"/>
      <c r="P53" s="698"/>
      <c r="Q53" s="698"/>
      <c r="R53" s="698"/>
      <c r="S53" s="697"/>
      <c r="T53" s="632"/>
      <c r="U53" s="632"/>
      <c r="V53" s="632"/>
      <c r="W53" s="654"/>
    </row>
    <row r="54" spans="1:23" ht="32.25" thickBot="1">
      <c r="A54" s="1761" t="s">
        <v>500</v>
      </c>
      <c r="B54" s="1762"/>
      <c r="C54" s="389" t="s">
        <v>134</v>
      </c>
      <c r="D54" s="174" t="s">
        <v>269</v>
      </c>
      <c r="E54" s="415"/>
      <c r="F54" s="2039" t="s">
        <v>501</v>
      </c>
      <c r="G54" s="2040"/>
      <c r="H54" s="2041"/>
      <c r="I54" s="700"/>
      <c r="J54" s="658"/>
      <c r="K54" s="658"/>
      <c r="L54" s="658"/>
      <c r="M54" s="658"/>
      <c r="N54" s="700"/>
      <c r="O54" s="701"/>
      <c r="P54" s="701"/>
      <c r="Q54" s="701"/>
      <c r="R54" s="701"/>
      <c r="S54" s="700"/>
      <c r="T54" s="658"/>
      <c r="U54" s="658"/>
      <c r="V54" s="658"/>
      <c r="W54" s="660"/>
    </row>
    <row r="56" spans="1:23">
      <c r="M56">
        <f>SUM(M15:M54)</f>
        <v>895430</v>
      </c>
    </row>
    <row r="58" spans="1:23" ht="60">
      <c r="A58" s="661" t="s">
        <v>948</v>
      </c>
      <c r="B58" s="661" t="s">
        <v>949</v>
      </c>
      <c r="C58" s="661" t="s">
        <v>950</v>
      </c>
      <c r="D58" s="661" t="s">
        <v>951</v>
      </c>
    </row>
    <row r="59" spans="1:23" ht="30">
      <c r="A59" s="631" t="s">
        <v>953</v>
      </c>
      <c r="B59" s="632" t="s">
        <v>887</v>
      </c>
      <c r="C59" s="688" t="s">
        <v>1017</v>
      </c>
      <c r="D59" s="2076">
        <v>11</v>
      </c>
    </row>
    <row r="60" spans="1:23" ht="75">
      <c r="A60" s="631" t="s">
        <v>956</v>
      </c>
      <c r="B60" s="632" t="s">
        <v>887</v>
      </c>
      <c r="C60" s="688" t="s">
        <v>1018</v>
      </c>
      <c r="D60" s="2077"/>
    </row>
    <row r="61" spans="1:23">
      <c r="A61" s="631" t="s">
        <v>957</v>
      </c>
      <c r="B61" s="632" t="s">
        <v>887</v>
      </c>
      <c r="C61" s="632" t="s">
        <v>1019</v>
      </c>
      <c r="D61" s="2077"/>
    </row>
    <row r="62" spans="1:23" ht="30">
      <c r="A62" s="631" t="s">
        <v>959</v>
      </c>
      <c r="B62" s="632" t="s">
        <v>887</v>
      </c>
      <c r="C62" s="702" t="s">
        <v>1020</v>
      </c>
      <c r="D62" s="2078"/>
    </row>
    <row r="63" spans="1:23">
      <c r="A63" s="631" t="s">
        <v>961</v>
      </c>
      <c r="B63" s="632" t="s">
        <v>887</v>
      </c>
      <c r="C63" s="632" t="s">
        <v>1021</v>
      </c>
      <c r="D63" s="2079">
        <v>9.5</v>
      </c>
      <c r="G63" s="1">
        <f>36-9.5</f>
        <v>26.5</v>
      </c>
    </row>
    <row r="64" spans="1:23">
      <c r="A64" s="631" t="s">
        <v>963</v>
      </c>
      <c r="B64" s="632" t="s">
        <v>887</v>
      </c>
      <c r="C64" s="632" t="s">
        <v>1022</v>
      </c>
      <c r="D64" s="2080"/>
    </row>
    <row r="65" spans="1:6">
      <c r="A65" s="631" t="s">
        <v>965</v>
      </c>
      <c r="B65" s="632" t="s">
        <v>887</v>
      </c>
      <c r="C65" s="632" t="s">
        <v>1023</v>
      </c>
      <c r="D65" s="703"/>
    </row>
    <row r="66" spans="1:6">
      <c r="A66" s="631" t="s">
        <v>967</v>
      </c>
      <c r="B66" s="632" t="s">
        <v>887</v>
      </c>
      <c r="C66" s="632" t="s">
        <v>1024</v>
      </c>
      <c r="D66" s="703">
        <v>1</v>
      </c>
    </row>
    <row r="67" spans="1:6">
      <c r="A67" s="631" t="s">
        <v>969</v>
      </c>
      <c r="B67" s="632" t="s">
        <v>887</v>
      </c>
      <c r="C67" s="632" t="s">
        <v>1025</v>
      </c>
      <c r="D67" s="703">
        <v>4</v>
      </c>
    </row>
    <row r="68" spans="1:6">
      <c r="A68" s="631" t="s">
        <v>971</v>
      </c>
      <c r="B68" s="632" t="s">
        <v>887</v>
      </c>
      <c r="C68" s="632" t="s">
        <v>1026</v>
      </c>
      <c r="D68" s="703">
        <v>10.5</v>
      </c>
    </row>
    <row r="69" spans="1:6">
      <c r="A69" s="631"/>
      <c r="B69" s="632"/>
      <c r="C69" s="632"/>
      <c r="D69" s="703"/>
    </row>
    <row r="72" spans="1:6">
      <c r="A72" s="1912" t="s">
        <v>1270</v>
      </c>
      <c r="B72" s="1913"/>
      <c r="C72" s="1913"/>
      <c r="D72" s="1913"/>
      <c r="E72" s="1913"/>
      <c r="F72" s="1913"/>
    </row>
    <row r="73" spans="1:6" ht="90">
      <c r="A73" s="1312" t="s">
        <v>1271</v>
      </c>
      <c r="B73" s="1312" t="s">
        <v>1272</v>
      </c>
      <c r="C73" s="1316" t="s">
        <v>1273</v>
      </c>
      <c r="D73" s="1312" t="s">
        <v>1274</v>
      </c>
      <c r="E73" s="1312" t="s">
        <v>1275</v>
      </c>
      <c r="F73" s="1312" t="s">
        <v>1276</v>
      </c>
    </row>
    <row r="74" spans="1:6" ht="45">
      <c r="A74" s="1320" t="s">
        <v>1355</v>
      </c>
      <c r="B74" s="2093" t="s">
        <v>1356</v>
      </c>
      <c r="C74" s="2087" t="s">
        <v>1357</v>
      </c>
      <c r="D74" s="2088" t="s">
        <v>954</v>
      </c>
      <c r="E74" s="2084" t="s">
        <v>1358</v>
      </c>
      <c r="F74" s="2090">
        <v>4</v>
      </c>
    </row>
    <row r="75" spans="1:6">
      <c r="A75" s="1311" t="s">
        <v>1359</v>
      </c>
      <c r="B75" s="2094"/>
      <c r="C75" s="2087"/>
      <c r="D75" s="2089"/>
      <c r="E75" s="2085"/>
      <c r="F75" s="2091"/>
    </row>
    <row r="76" spans="1:6">
      <c r="A76" s="1311" t="s">
        <v>1360</v>
      </c>
      <c r="B76" s="2094"/>
      <c r="C76" s="2087"/>
      <c r="D76" s="2089"/>
      <c r="E76" s="2085"/>
      <c r="F76" s="2091"/>
    </row>
    <row r="77" spans="1:6">
      <c r="A77" s="1311" t="s">
        <v>1361</v>
      </c>
      <c r="B77" s="2094"/>
      <c r="C77" s="2087"/>
      <c r="D77" s="2089"/>
      <c r="E77" s="2085"/>
      <c r="F77" s="2091"/>
    </row>
    <row r="78" spans="1:6">
      <c r="A78" s="1311" t="s">
        <v>1362</v>
      </c>
      <c r="B78" s="2094"/>
      <c r="C78" s="2087"/>
      <c r="D78" s="2089"/>
      <c r="E78" s="2085"/>
      <c r="F78" s="2091"/>
    </row>
    <row r="79" spans="1:6">
      <c r="A79" s="1311" t="s">
        <v>1363</v>
      </c>
      <c r="B79" s="2094"/>
      <c r="C79" s="2087"/>
      <c r="D79" s="2089"/>
      <c r="E79" s="2085"/>
      <c r="F79" s="2091"/>
    </row>
    <row r="80" spans="1:6">
      <c r="A80" s="1311" t="s">
        <v>1364</v>
      </c>
      <c r="B80" s="2094"/>
      <c r="C80" s="2087"/>
      <c r="D80" s="2089"/>
      <c r="E80" s="2085"/>
      <c r="F80" s="2091"/>
    </row>
    <row r="81" spans="1:6">
      <c r="A81" s="1311" t="s">
        <v>1365</v>
      </c>
      <c r="B81" s="2094"/>
      <c r="C81" s="2087"/>
      <c r="D81" s="2089"/>
      <c r="E81" s="2085"/>
      <c r="F81" s="2091"/>
    </row>
    <row r="82" spans="1:6">
      <c r="A82" s="1311" t="s">
        <v>1366</v>
      </c>
      <c r="B82" s="2094"/>
      <c r="C82" s="2087"/>
      <c r="D82" s="2089"/>
      <c r="E82" s="2085"/>
      <c r="F82" s="2091"/>
    </row>
    <row r="83" spans="1:6">
      <c r="A83" s="1321" t="s">
        <v>1367</v>
      </c>
      <c r="B83" s="2094"/>
      <c r="C83" s="2087"/>
      <c r="D83" s="2089"/>
      <c r="E83" s="2086"/>
      <c r="F83" s="2092"/>
    </row>
    <row r="84" spans="1:6">
      <c r="A84" s="1311" t="s">
        <v>1368</v>
      </c>
      <c r="B84" s="2094"/>
      <c r="C84" s="2087"/>
      <c r="D84" s="2089"/>
      <c r="E84" s="2084" t="s">
        <v>1369</v>
      </c>
      <c r="F84" s="2090">
        <v>6</v>
      </c>
    </row>
    <row r="85" spans="1:6">
      <c r="A85" s="1311" t="s">
        <v>1370</v>
      </c>
      <c r="B85" s="2094"/>
      <c r="C85" s="2087"/>
      <c r="D85" s="2089"/>
      <c r="E85" s="2085"/>
      <c r="F85" s="2091"/>
    </row>
    <row r="86" spans="1:6">
      <c r="A86" s="1311" t="s">
        <v>1371</v>
      </c>
      <c r="B86" s="2094"/>
      <c r="C86" s="2087"/>
      <c r="D86" s="2089"/>
      <c r="E86" s="2085"/>
      <c r="F86" s="2091"/>
    </row>
    <row r="87" spans="1:6">
      <c r="A87" s="1311" t="s">
        <v>1372</v>
      </c>
      <c r="B87" s="2094"/>
      <c r="C87" s="2087"/>
      <c r="D87" s="2089"/>
      <c r="E87" s="2085"/>
      <c r="F87" s="2091"/>
    </row>
    <row r="88" spans="1:6">
      <c r="A88" s="1311" t="s">
        <v>1373</v>
      </c>
      <c r="B88" s="2094"/>
      <c r="C88" s="2087"/>
      <c r="D88" s="2089"/>
      <c r="E88" s="2086"/>
      <c r="F88" s="2092"/>
    </row>
    <row r="89" spans="1:6">
      <c r="A89" s="1311" t="s">
        <v>1374</v>
      </c>
      <c r="B89" s="2094"/>
      <c r="C89" s="2087"/>
      <c r="D89" s="2089"/>
      <c r="E89" s="2084" t="s">
        <v>1375</v>
      </c>
      <c r="F89" s="2090">
        <v>12</v>
      </c>
    </row>
    <row r="90" spans="1:6">
      <c r="A90" s="1311" t="s">
        <v>1361</v>
      </c>
      <c r="B90" s="2094"/>
      <c r="C90" s="2087"/>
      <c r="D90" s="2089"/>
      <c r="E90" s="2085"/>
      <c r="F90" s="2091"/>
    </row>
    <row r="91" spans="1:6">
      <c r="A91" s="1311" t="s">
        <v>1362</v>
      </c>
      <c r="B91" s="2094"/>
      <c r="C91" s="2087"/>
      <c r="D91" s="2089"/>
      <c r="E91" s="2085"/>
      <c r="F91" s="2091"/>
    </row>
    <row r="92" spans="1:6">
      <c r="A92" s="1311" t="s">
        <v>1373</v>
      </c>
      <c r="B92" s="2094"/>
      <c r="C92" s="2087"/>
      <c r="D92" s="2089"/>
      <c r="E92" s="2086"/>
      <c r="F92" s="2092"/>
    </row>
    <row r="93" spans="1:6">
      <c r="A93" s="1311" t="s">
        <v>1330</v>
      </c>
      <c r="B93" s="2094"/>
      <c r="C93" s="2087"/>
      <c r="D93" s="2089"/>
      <c r="E93" s="2084" t="s">
        <v>1376</v>
      </c>
      <c r="F93" s="2090">
        <v>18</v>
      </c>
    </row>
    <row r="94" spans="1:6">
      <c r="A94" s="1311" t="s">
        <v>1362</v>
      </c>
      <c r="B94" s="2094"/>
      <c r="C94" s="2087"/>
      <c r="D94" s="2089"/>
      <c r="E94" s="2085"/>
      <c r="F94" s="2091"/>
    </row>
    <row r="95" spans="1:6">
      <c r="A95" s="1311" t="s">
        <v>1367</v>
      </c>
      <c r="B95" s="2094"/>
      <c r="C95" s="2087"/>
      <c r="D95" s="2089"/>
      <c r="E95" s="2085"/>
      <c r="F95" s="2091"/>
    </row>
    <row r="96" spans="1:6">
      <c r="A96" s="1311" t="s">
        <v>1374</v>
      </c>
      <c r="B96" s="2094"/>
      <c r="C96" s="2087"/>
      <c r="D96" s="2089"/>
      <c r="E96" s="2085"/>
      <c r="F96" s="2091"/>
    </row>
    <row r="97" spans="1:6">
      <c r="A97" s="1311" t="s">
        <v>1373</v>
      </c>
      <c r="B97" s="2095"/>
      <c r="C97" s="2087"/>
      <c r="D97" s="2089"/>
      <c r="E97" s="2086"/>
      <c r="F97" s="2092"/>
    </row>
    <row r="98" spans="1:6" ht="120">
      <c r="A98" s="1313" t="s">
        <v>1377</v>
      </c>
      <c r="B98" s="1318" t="s">
        <v>1378</v>
      </c>
      <c r="C98" s="1317" t="s">
        <v>1314</v>
      </c>
      <c r="D98" s="1315" t="s">
        <v>52</v>
      </c>
      <c r="E98" s="1314" t="s">
        <v>1379</v>
      </c>
      <c r="F98" s="1319">
        <v>48</v>
      </c>
    </row>
  </sheetData>
  <mergeCells count="75">
    <mergeCell ref="E89:E92"/>
    <mergeCell ref="E93:E97"/>
    <mergeCell ref="C74:C97"/>
    <mergeCell ref="D74:D97"/>
    <mergeCell ref="A72:F72"/>
    <mergeCell ref="E74:E83"/>
    <mergeCell ref="F74:F83"/>
    <mergeCell ref="E84:E88"/>
    <mergeCell ref="B74:B97"/>
    <mergeCell ref="F84:F88"/>
    <mergeCell ref="F89:F92"/>
    <mergeCell ref="F93:F97"/>
    <mergeCell ref="I13:M13"/>
    <mergeCell ref="N13:R13"/>
    <mergeCell ref="S13:W13"/>
    <mergeCell ref="D59:D62"/>
    <mergeCell ref="D63:D64"/>
    <mergeCell ref="F20:H20"/>
    <mergeCell ref="J10:J11"/>
    <mergeCell ref="A18:B20"/>
    <mergeCell ref="B2:D2"/>
    <mergeCell ref="B3:D3"/>
    <mergeCell ref="B4:D4"/>
    <mergeCell ref="B6:D6"/>
    <mergeCell ref="B8:D8"/>
    <mergeCell ref="A10:B10"/>
    <mergeCell ref="E12:H13"/>
    <mergeCell ref="A14:B14"/>
    <mergeCell ref="F14:H14"/>
    <mergeCell ref="A15:B17"/>
    <mergeCell ref="F15:H17"/>
    <mergeCell ref="C10:H10"/>
    <mergeCell ref="F18:H18"/>
    <mergeCell ref="F19:H19"/>
    <mergeCell ref="A21:B22"/>
    <mergeCell ref="F21:H22"/>
    <mergeCell ref="A23:B25"/>
    <mergeCell ref="F23:H25"/>
    <mergeCell ref="A26:C26"/>
    <mergeCell ref="F26:H26"/>
    <mergeCell ref="A27:B29"/>
    <mergeCell ref="F27:H29"/>
    <mergeCell ref="A30:B32"/>
    <mergeCell ref="F30:H32"/>
    <mergeCell ref="A33:B33"/>
    <mergeCell ref="F33:H33"/>
    <mergeCell ref="A34:B34"/>
    <mergeCell ref="F34:H34"/>
    <mergeCell ref="A35:B36"/>
    <mergeCell ref="F35:H36"/>
    <mergeCell ref="A37:B39"/>
    <mergeCell ref="F37:H37"/>
    <mergeCell ref="F38:H38"/>
    <mergeCell ref="F39:H39"/>
    <mergeCell ref="A40:B42"/>
    <mergeCell ref="F40:H41"/>
    <mergeCell ref="F42:H42"/>
    <mergeCell ref="A43:C43"/>
    <mergeCell ref="F43:H43"/>
    <mergeCell ref="A44:C44"/>
    <mergeCell ref="F44:H44"/>
    <mergeCell ref="A45:B48"/>
    <mergeCell ref="F45:H45"/>
    <mergeCell ref="F46:H46"/>
    <mergeCell ref="F47:H47"/>
    <mergeCell ref="F48:H48"/>
    <mergeCell ref="A54:B54"/>
    <mergeCell ref="F54:H54"/>
    <mergeCell ref="A49:B50"/>
    <mergeCell ref="F49:H49"/>
    <mergeCell ref="F50:H50"/>
    <mergeCell ref="A51:B53"/>
    <mergeCell ref="F51:H51"/>
    <mergeCell ref="F52:H52"/>
    <mergeCell ref="F53:H53"/>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2" location="SOMMAIRE!A1" display="Retour sommaire"/>
    <hyperlink ref="J4" location="SYNTHESE!A1" display="Retour synthèse"/>
  </hyperlink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H84"/>
  <sheetViews>
    <sheetView topLeftCell="A43" workbookViewId="0">
      <selection activeCell="F47" sqref="F47:H47"/>
    </sheetView>
  </sheetViews>
  <sheetFormatPr baseColWidth="10" defaultRowHeight="15"/>
  <sheetData>
    <row r="1" spans="1:8" ht="15.75" thickBot="1">
      <c r="A1" s="1135"/>
      <c r="B1" s="1135"/>
      <c r="C1" s="1135"/>
      <c r="D1" s="1135"/>
      <c r="E1" s="1133"/>
      <c r="F1" s="1135"/>
      <c r="G1" s="1135"/>
      <c r="H1" s="1135"/>
    </row>
    <row r="2" spans="1:8" ht="15.75" thickBot="1">
      <c r="A2" s="328" t="s">
        <v>0</v>
      </c>
      <c r="B2" s="1807" t="s">
        <v>609</v>
      </c>
      <c r="C2" s="1776"/>
      <c r="D2" s="1777"/>
      <c r="E2" s="407"/>
      <c r="F2" s="329"/>
      <c r="G2" s="330" t="s">
        <v>462</v>
      </c>
      <c r="H2" s="408" t="s">
        <v>53</v>
      </c>
    </row>
    <row r="3" spans="1:8" ht="15.75" thickBot="1">
      <c r="A3" s="331" t="s">
        <v>344</v>
      </c>
      <c r="B3" s="1807" t="s">
        <v>610</v>
      </c>
      <c r="C3" s="1880"/>
      <c r="D3" s="1881"/>
      <c r="E3" s="407"/>
      <c r="F3" s="329"/>
      <c r="G3" s="332" t="s">
        <v>10</v>
      </c>
      <c r="H3" s="408" t="s">
        <v>16</v>
      </c>
    </row>
    <row r="4" spans="1:8" ht="15.75" thickBot="1">
      <c r="A4" s="332" t="s">
        <v>3</v>
      </c>
      <c r="B4" s="1809" t="s">
        <v>66</v>
      </c>
      <c r="C4" s="1776"/>
      <c r="D4" s="1777"/>
      <c r="E4" s="409"/>
      <c r="F4" s="329"/>
      <c r="G4" s="334" t="s">
        <v>26</v>
      </c>
      <c r="H4" s="392">
        <v>10</v>
      </c>
    </row>
    <row r="5" spans="1:8" ht="15.75" thickBot="1">
      <c r="A5" s="329"/>
      <c r="B5" s="329"/>
      <c r="C5" s="329"/>
      <c r="D5" s="329"/>
      <c r="E5" s="407"/>
      <c r="F5" s="329"/>
      <c r="G5" s="329"/>
      <c r="H5" s="329"/>
    </row>
    <row r="6" spans="1:8" ht="45.75" thickBot="1">
      <c r="A6" s="328" t="s">
        <v>465</v>
      </c>
      <c r="B6" s="1909" t="s">
        <v>1576</v>
      </c>
      <c r="C6" s="1811"/>
      <c r="D6" s="1812"/>
      <c r="E6" s="407"/>
      <c r="F6" s="329"/>
      <c r="G6" s="335" t="s">
        <v>466</v>
      </c>
      <c r="H6" s="1048" t="s">
        <v>611</v>
      </c>
    </row>
    <row r="7" spans="1:8" ht="15.75" thickBot="1">
      <c r="A7" s="1135"/>
      <c r="B7" s="329"/>
      <c r="C7" s="329"/>
      <c r="D7" s="329"/>
      <c r="E7" s="407"/>
      <c r="F7" s="329"/>
      <c r="G7" s="337"/>
      <c r="H7" s="329"/>
    </row>
    <row r="8" spans="1:8" ht="60.75" thickBot="1">
      <c r="A8" s="338" t="s">
        <v>7</v>
      </c>
      <c r="B8" s="1809" t="s">
        <v>612</v>
      </c>
      <c r="C8" s="1776"/>
      <c r="D8" s="1777"/>
      <c r="E8" s="409"/>
      <c r="F8" s="339"/>
      <c r="G8" s="338" t="s">
        <v>469</v>
      </c>
      <c r="H8" s="123" t="s">
        <v>508</v>
      </c>
    </row>
    <row r="9" spans="1:8">
      <c r="A9" s="1135"/>
      <c r="B9" s="329"/>
      <c r="C9" s="329"/>
      <c r="D9" s="329"/>
      <c r="E9" s="407"/>
      <c r="F9" s="329"/>
      <c r="G9" s="337"/>
      <c r="H9" s="329"/>
    </row>
    <row r="10" spans="1:8">
      <c r="A10" s="1813" t="s">
        <v>471</v>
      </c>
      <c r="B10" s="1772"/>
      <c r="C10" s="2075" t="s">
        <v>613</v>
      </c>
      <c r="D10" s="2075"/>
      <c r="E10" s="2075"/>
      <c r="F10" s="2075"/>
      <c r="G10" s="2075"/>
      <c r="H10" s="2075"/>
    </row>
    <row r="11" spans="1:8">
      <c r="A11" s="343"/>
      <c r="B11" s="333"/>
      <c r="C11" s="333"/>
      <c r="D11" s="333"/>
      <c r="E11" s="409"/>
      <c r="F11" s="339"/>
      <c r="G11" s="342"/>
      <c r="H11" s="342"/>
    </row>
    <row r="12" spans="1:8">
      <c r="A12" s="343"/>
      <c r="B12" s="333"/>
      <c r="C12" s="333"/>
      <c r="D12" s="333"/>
      <c r="E12" s="1814" t="s">
        <v>473</v>
      </c>
      <c r="F12" s="1772"/>
      <c r="G12" s="1772"/>
      <c r="H12" s="1772"/>
    </row>
    <row r="13" spans="1:8">
      <c r="A13" s="329"/>
      <c r="B13" s="329"/>
      <c r="C13" s="329"/>
      <c r="D13" s="329"/>
      <c r="E13" s="1780"/>
      <c r="F13" s="1780"/>
      <c r="G13" s="1780"/>
      <c r="H13" s="1780"/>
    </row>
    <row r="14" spans="1:8" ht="15.75" thickBot="1">
      <c r="A14" s="1816" t="s">
        <v>5</v>
      </c>
      <c r="B14" s="1792"/>
      <c r="C14" s="344" t="s">
        <v>1</v>
      </c>
      <c r="D14" s="344" t="s">
        <v>260</v>
      </c>
      <c r="E14" s="1136" t="s">
        <v>474</v>
      </c>
      <c r="F14" s="1866" t="s">
        <v>6</v>
      </c>
      <c r="G14" s="1771"/>
      <c r="H14" s="1792"/>
    </row>
    <row r="15" spans="1:8">
      <c r="A15" s="1804" t="s">
        <v>17</v>
      </c>
      <c r="B15" s="1771"/>
      <c r="C15" s="346" t="s">
        <v>59</v>
      </c>
      <c r="D15" s="347" t="s">
        <v>251</v>
      </c>
      <c r="E15" s="411"/>
      <c r="F15" s="2070" t="s">
        <v>475</v>
      </c>
      <c r="G15" s="2071"/>
      <c r="H15" s="2072"/>
    </row>
    <row r="16" spans="1:8">
      <c r="A16" s="1772"/>
      <c r="B16" s="1772"/>
      <c r="C16" s="349" t="s">
        <v>18</v>
      </c>
      <c r="D16" s="350" t="s">
        <v>168</v>
      </c>
      <c r="E16" s="412"/>
      <c r="F16" s="2073"/>
      <c r="G16" s="2074"/>
      <c r="H16" s="2067"/>
    </row>
    <row r="17" spans="1:8" ht="15.75" thickBot="1">
      <c r="A17" s="1780"/>
      <c r="B17" s="1780"/>
      <c r="C17" s="352" t="s">
        <v>19</v>
      </c>
      <c r="D17" s="353" t="s">
        <v>233</v>
      </c>
      <c r="E17" s="412"/>
      <c r="F17" s="2068"/>
      <c r="G17" s="2066"/>
      <c r="H17" s="2067"/>
    </row>
    <row r="18" spans="1:8">
      <c r="A18" s="1804" t="s">
        <v>20</v>
      </c>
      <c r="B18" s="1771"/>
      <c r="C18" s="346" t="s">
        <v>54</v>
      </c>
      <c r="D18" s="353" t="s">
        <v>261</v>
      </c>
      <c r="E18" s="412" t="s">
        <v>277</v>
      </c>
      <c r="F18" s="2065" t="s">
        <v>614</v>
      </c>
      <c r="G18" s="2066"/>
      <c r="H18" s="2067"/>
    </row>
    <row r="19" spans="1:8">
      <c r="A19" s="1772"/>
      <c r="B19" s="1772"/>
      <c r="C19" s="355" t="s">
        <v>21</v>
      </c>
      <c r="D19" s="353" t="s">
        <v>234</v>
      </c>
      <c r="E19" s="413"/>
      <c r="F19" s="2065"/>
      <c r="G19" s="2066"/>
      <c r="H19" s="2067"/>
    </row>
    <row r="20" spans="1:8" ht="15.75" thickBot="1">
      <c r="A20" s="1772"/>
      <c r="B20" s="1772"/>
      <c r="C20" s="414" t="s">
        <v>22</v>
      </c>
      <c r="D20" s="362" t="s">
        <v>235</v>
      </c>
      <c r="E20" s="413" t="s">
        <v>277</v>
      </c>
      <c r="F20" s="2081" t="s">
        <v>615</v>
      </c>
      <c r="G20" s="2082"/>
      <c r="H20" s="2083"/>
    </row>
    <row r="21" spans="1:8" ht="60">
      <c r="A21" s="1804" t="s">
        <v>23</v>
      </c>
      <c r="B21" s="1771"/>
      <c r="C21" s="356" t="s">
        <v>69</v>
      </c>
      <c r="D21" s="353" t="s">
        <v>267</v>
      </c>
      <c r="E21" s="412"/>
      <c r="F21" s="2065" t="s">
        <v>477</v>
      </c>
      <c r="G21" s="2066"/>
      <c r="H21" s="2067"/>
    </row>
    <row r="22" spans="1:8" ht="60.75" thickBot="1">
      <c r="A22" s="1780"/>
      <c r="B22" s="1780"/>
      <c r="C22" s="357" t="s">
        <v>24</v>
      </c>
      <c r="D22" s="358" t="s">
        <v>236</v>
      </c>
      <c r="E22" s="412"/>
      <c r="F22" s="2068"/>
      <c r="G22" s="2066"/>
      <c r="H22" s="2067"/>
    </row>
    <row r="23" spans="1:8" ht="15.75">
      <c r="A23" s="1801" t="s">
        <v>478</v>
      </c>
      <c r="B23" s="1792"/>
      <c r="C23" s="359" t="s">
        <v>360</v>
      </c>
      <c r="D23" s="358" t="s">
        <v>265</v>
      </c>
      <c r="E23" s="412"/>
      <c r="F23" s="2052" t="s">
        <v>477</v>
      </c>
      <c r="G23" s="1772"/>
      <c r="H23" s="1877"/>
    </row>
    <row r="24" spans="1:8" ht="15.75">
      <c r="A24" s="1779"/>
      <c r="B24" s="1799"/>
      <c r="C24" s="360" t="s">
        <v>361</v>
      </c>
      <c r="D24" s="358" t="s">
        <v>362</v>
      </c>
      <c r="E24" s="412"/>
      <c r="F24" s="2064"/>
      <c r="G24" s="1876"/>
      <c r="H24" s="1877"/>
    </row>
    <row r="25" spans="1:8" ht="16.5" thickBot="1">
      <c r="A25" s="1779"/>
      <c r="B25" s="1799"/>
      <c r="C25" s="361" t="s">
        <v>479</v>
      </c>
      <c r="D25" s="358" t="s">
        <v>480</v>
      </c>
      <c r="E25" s="412"/>
      <c r="F25" s="2053"/>
      <c r="G25" s="1780"/>
      <c r="H25" s="2054"/>
    </row>
    <row r="26" spans="1:8" ht="15.75" thickBot="1">
      <c r="A26" s="1802" t="s">
        <v>25</v>
      </c>
      <c r="B26" s="1776"/>
      <c r="C26" s="1777"/>
      <c r="D26" s="362" t="s">
        <v>270</v>
      </c>
      <c r="E26" s="412"/>
      <c r="F26" s="2044" t="s">
        <v>481</v>
      </c>
      <c r="G26" s="1762"/>
      <c r="H26" s="2043"/>
    </row>
    <row r="27" spans="1:8" ht="15.75">
      <c r="A27" s="1803" t="s">
        <v>153</v>
      </c>
      <c r="B27" s="1788"/>
      <c r="C27" s="363" t="s">
        <v>152</v>
      </c>
      <c r="D27" s="364" t="s">
        <v>268</v>
      </c>
      <c r="E27" s="412"/>
      <c r="F27" s="2059" t="s">
        <v>475</v>
      </c>
      <c r="G27" s="1771"/>
      <c r="H27" s="2058"/>
    </row>
    <row r="28" spans="1:8" ht="15.75">
      <c r="A28" s="1779"/>
      <c r="B28" s="1788"/>
      <c r="C28" s="365" t="s">
        <v>154</v>
      </c>
      <c r="D28" s="364" t="s">
        <v>392</v>
      </c>
      <c r="E28" s="412"/>
      <c r="F28" s="2064"/>
      <c r="G28" s="1876"/>
      <c r="H28" s="1877"/>
    </row>
    <row r="29" spans="1:8" ht="16.5" thickBot="1">
      <c r="A29" s="1767"/>
      <c r="B29" s="1768"/>
      <c r="C29" s="366" t="s">
        <v>400</v>
      </c>
      <c r="D29" s="364" t="s">
        <v>393</v>
      </c>
      <c r="E29" s="412"/>
      <c r="F29" s="2053"/>
      <c r="G29" s="1780"/>
      <c r="H29" s="2054"/>
    </row>
    <row r="30" spans="1:8" ht="15.75">
      <c r="A30" s="1797" t="s">
        <v>153</v>
      </c>
      <c r="B30" s="1766"/>
      <c r="C30" s="367" t="s">
        <v>155</v>
      </c>
      <c r="D30" s="364" t="s">
        <v>266</v>
      </c>
      <c r="E30" s="412"/>
      <c r="F30" s="2059" t="s">
        <v>475</v>
      </c>
      <c r="G30" s="1771"/>
      <c r="H30" s="2058"/>
    </row>
    <row r="31" spans="1:8" ht="15.75">
      <c r="A31" s="1779"/>
      <c r="B31" s="1788"/>
      <c r="C31" s="365" t="s">
        <v>156</v>
      </c>
      <c r="D31" s="364" t="s">
        <v>394</v>
      </c>
      <c r="E31" s="412"/>
      <c r="F31" s="2064"/>
      <c r="G31" s="1876"/>
      <c r="H31" s="1877"/>
    </row>
    <row r="32" spans="1:8" ht="16.5" thickBot="1">
      <c r="A32" s="1767"/>
      <c r="B32" s="1768"/>
      <c r="C32" s="366" t="s">
        <v>399</v>
      </c>
      <c r="D32" s="364" t="s">
        <v>395</v>
      </c>
      <c r="E32" s="412"/>
      <c r="F32" s="2053"/>
      <c r="G32" s="1780"/>
      <c r="H32" s="2054"/>
    </row>
    <row r="33" spans="1:8" ht="16.5" thickBot="1">
      <c r="A33" s="1797" t="s">
        <v>482</v>
      </c>
      <c r="B33" s="1766"/>
      <c r="C33" s="367" t="s">
        <v>365</v>
      </c>
      <c r="D33" s="364" t="s">
        <v>252</v>
      </c>
      <c r="E33" s="412"/>
      <c r="F33" s="2059" t="s">
        <v>483</v>
      </c>
      <c r="G33" s="1771"/>
      <c r="H33" s="2058"/>
    </row>
    <row r="34" spans="1:8" ht="16.5" thickBot="1">
      <c r="A34" s="1797" t="s">
        <v>484</v>
      </c>
      <c r="B34" s="1766"/>
      <c r="C34" s="367" t="s">
        <v>485</v>
      </c>
      <c r="D34" s="364" t="s">
        <v>264</v>
      </c>
      <c r="E34" s="412"/>
      <c r="F34" s="2057"/>
      <c r="G34" s="1771"/>
      <c r="H34" s="2058"/>
    </row>
    <row r="35" spans="1:8" ht="15.75">
      <c r="A35" s="1795" t="s">
        <v>486</v>
      </c>
      <c r="B35" s="1766"/>
      <c r="C35" s="368" t="s">
        <v>43</v>
      </c>
      <c r="D35" s="369" t="s">
        <v>256</v>
      </c>
      <c r="E35" s="412"/>
      <c r="F35" s="2059" t="s">
        <v>487</v>
      </c>
      <c r="G35" s="1771"/>
      <c r="H35" s="2058"/>
    </row>
    <row r="36" spans="1:8" ht="16.5" thickBot="1">
      <c r="A36" s="1767"/>
      <c r="B36" s="1768"/>
      <c r="C36" s="370" t="s">
        <v>60</v>
      </c>
      <c r="D36" s="369" t="s">
        <v>257</v>
      </c>
      <c r="E36" s="412"/>
      <c r="F36" s="2053"/>
      <c r="G36" s="1780"/>
      <c r="H36" s="2054"/>
    </row>
    <row r="37" spans="1:8" ht="135">
      <c r="A37" s="1796" t="s">
        <v>33</v>
      </c>
      <c r="B37" s="1771"/>
      <c r="C37" s="371" t="s">
        <v>30</v>
      </c>
      <c r="D37" s="372" t="s">
        <v>170</v>
      </c>
      <c r="E37" s="412"/>
      <c r="F37" s="2060" t="s">
        <v>510</v>
      </c>
      <c r="G37" s="1771"/>
      <c r="H37" s="2058"/>
    </row>
    <row r="38" spans="1:8" ht="135">
      <c r="A38" s="1779"/>
      <c r="B38" s="1772"/>
      <c r="C38" s="373" t="s">
        <v>31</v>
      </c>
      <c r="D38" s="372" t="s">
        <v>169</v>
      </c>
      <c r="E38" s="412" t="s">
        <v>277</v>
      </c>
      <c r="F38" s="2061" t="s">
        <v>616</v>
      </c>
      <c r="G38" s="2062"/>
      <c r="H38" s="2063"/>
    </row>
    <row r="39" spans="1:8" ht="135.75" thickBot="1">
      <c r="A39" s="1779"/>
      <c r="B39" s="1772"/>
      <c r="C39" s="374" t="s">
        <v>32</v>
      </c>
      <c r="D39" s="372" t="s">
        <v>250</v>
      </c>
      <c r="E39" s="412" t="s">
        <v>277</v>
      </c>
      <c r="F39" s="2061" t="s">
        <v>617</v>
      </c>
      <c r="G39" s="2062"/>
      <c r="H39" s="2063"/>
    </row>
    <row r="40" spans="1:8" ht="15.75">
      <c r="A40" s="1786" t="s">
        <v>491</v>
      </c>
      <c r="B40" s="1787"/>
      <c r="C40" s="375" t="s">
        <v>144</v>
      </c>
      <c r="D40" s="376" t="s">
        <v>253</v>
      </c>
      <c r="E40" s="412"/>
      <c r="F40" s="2052" t="s">
        <v>492</v>
      </c>
      <c r="G40" s="1772"/>
      <c r="H40" s="1877"/>
    </row>
    <row r="41" spans="1:8" ht="16.5" thickBot="1">
      <c r="A41" s="1772"/>
      <c r="B41" s="1788"/>
      <c r="C41" s="377" t="s">
        <v>145</v>
      </c>
      <c r="D41" s="376" t="s">
        <v>254</v>
      </c>
      <c r="E41" s="412"/>
      <c r="F41" s="2053"/>
      <c r="G41" s="1780"/>
      <c r="H41" s="2054"/>
    </row>
    <row r="42" spans="1:8" ht="205.5" thickBot="1">
      <c r="A42" s="1789"/>
      <c r="B42" s="1790"/>
      <c r="C42" s="378" t="s">
        <v>128</v>
      </c>
      <c r="D42" s="376" t="s">
        <v>262</v>
      </c>
      <c r="E42" s="412" t="s">
        <v>277</v>
      </c>
      <c r="F42" s="2055"/>
      <c r="G42" s="1762"/>
      <c r="H42" s="2043"/>
    </row>
    <row r="43" spans="1:8" ht="15.75" thickBot="1">
      <c r="A43" s="1775" t="s">
        <v>493</v>
      </c>
      <c r="B43" s="1776"/>
      <c r="C43" s="1777"/>
      <c r="D43" s="379" t="s">
        <v>237</v>
      </c>
      <c r="E43" s="413" t="s">
        <v>277</v>
      </c>
      <c r="F43" s="2044" t="s">
        <v>618</v>
      </c>
      <c r="G43" s="1762"/>
      <c r="H43" s="2043"/>
    </row>
    <row r="44" spans="1:8" ht="15.75" thickBot="1">
      <c r="A44" s="1775" t="s">
        <v>133</v>
      </c>
      <c r="B44" s="1776"/>
      <c r="C44" s="1777"/>
      <c r="D44" s="379" t="s">
        <v>238</v>
      </c>
      <c r="E44" s="412"/>
      <c r="F44" s="2044" t="s">
        <v>495</v>
      </c>
      <c r="G44" s="1762"/>
      <c r="H44" s="2043"/>
    </row>
    <row r="45" spans="1:8">
      <c r="A45" s="1778" t="s">
        <v>41</v>
      </c>
      <c r="B45" s="1772"/>
      <c r="C45" s="380" t="s">
        <v>50</v>
      </c>
      <c r="D45" s="381" t="s">
        <v>246</v>
      </c>
      <c r="E45" s="412"/>
      <c r="F45" s="2047" t="s">
        <v>560</v>
      </c>
      <c r="G45" s="1762"/>
      <c r="H45" s="2043"/>
    </row>
    <row r="46" spans="1:8">
      <c r="A46" s="1779"/>
      <c r="B46" s="1772"/>
      <c r="C46" s="382" t="s">
        <v>51</v>
      </c>
      <c r="D46" s="381" t="s">
        <v>247</v>
      </c>
      <c r="E46" s="413" t="s">
        <v>277</v>
      </c>
      <c r="F46" s="2048" t="s">
        <v>619</v>
      </c>
      <c r="G46" s="2049"/>
      <c r="H46" s="2050"/>
    </row>
    <row r="47" spans="1:8">
      <c r="A47" s="1779"/>
      <c r="B47" s="1772"/>
      <c r="C47" s="382" t="s">
        <v>39</v>
      </c>
      <c r="D47" s="381" t="s">
        <v>248</v>
      </c>
      <c r="E47" s="413" t="s">
        <v>277</v>
      </c>
      <c r="F47" s="2051" t="s">
        <v>620</v>
      </c>
      <c r="G47" s="2049"/>
      <c r="H47" s="2050"/>
    </row>
    <row r="48" spans="1:8" ht="15.75" thickBot="1">
      <c r="A48" s="1767"/>
      <c r="B48" s="1780"/>
      <c r="C48" s="383" t="s">
        <v>40</v>
      </c>
      <c r="D48" s="381" t="s">
        <v>249</v>
      </c>
      <c r="E48" s="412"/>
      <c r="F48" s="2047" t="s">
        <v>498</v>
      </c>
      <c r="G48" s="1762"/>
      <c r="H48" s="2043"/>
    </row>
    <row r="49" spans="1:8" ht="15.75">
      <c r="A49" s="1765" t="s">
        <v>130</v>
      </c>
      <c r="B49" s="1766"/>
      <c r="C49" s="375" t="s">
        <v>131</v>
      </c>
      <c r="D49" s="376" t="s">
        <v>255</v>
      </c>
      <c r="E49" s="412"/>
      <c r="F49" s="2042"/>
      <c r="G49" s="1762"/>
      <c r="H49" s="2043"/>
    </row>
    <row r="50" spans="1:8" ht="205.5" thickBot="1">
      <c r="A50" s="1767"/>
      <c r="B50" s="1768"/>
      <c r="C50" s="384" t="s">
        <v>132</v>
      </c>
      <c r="D50" s="376" t="s">
        <v>263</v>
      </c>
      <c r="E50" s="412"/>
      <c r="F50" s="2042"/>
      <c r="G50" s="1762"/>
      <c r="H50" s="2043"/>
    </row>
    <row r="51" spans="1:8" ht="45">
      <c r="A51" s="1770" t="s">
        <v>42</v>
      </c>
      <c r="B51" s="1771"/>
      <c r="C51" s="385" t="s">
        <v>38</v>
      </c>
      <c r="D51" s="386" t="s">
        <v>239</v>
      </c>
      <c r="E51" s="412" t="s">
        <v>277</v>
      </c>
      <c r="F51" s="2044" t="s">
        <v>621</v>
      </c>
      <c r="G51" s="1762"/>
      <c r="H51" s="2043"/>
    </row>
    <row r="52" spans="1:8" ht="45">
      <c r="A52" s="1772"/>
      <c r="B52" s="1772"/>
      <c r="C52" s="387" t="s">
        <v>55</v>
      </c>
      <c r="D52" s="386" t="s">
        <v>240</v>
      </c>
      <c r="E52" s="412" t="s">
        <v>277</v>
      </c>
      <c r="F52" s="2045"/>
      <c r="G52" s="1762"/>
      <c r="H52" s="2043"/>
    </row>
    <row r="53" spans="1:8" ht="16.5" thickBot="1">
      <c r="A53" s="1772"/>
      <c r="B53" s="1772"/>
      <c r="C53" s="377" t="s">
        <v>48</v>
      </c>
      <c r="D53" s="388" t="s">
        <v>241</v>
      </c>
      <c r="E53" s="412"/>
      <c r="F53" s="2046"/>
      <c r="G53" s="1762"/>
      <c r="H53" s="2043"/>
    </row>
    <row r="54" spans="1:8" ht="79.5" thickBot="1">
      <c r="A54" s="1761" t="s">
        <v>500</v>
      </c>
      <c r="B54" s="1762"/>
      <c r="C54" s="389" t="s">
        <v>134</v>
      </c>
      <c r="D54" s="174" t="s">
        <v>269</v>
      </c>
      <c r="E54" s="415"/>
      <c r="F54" s="2039" t="s">
        <v>501</v>
      </c>
      <c r="G54" s="2040"/>
      <c r="H54" s="2041"/>
    </row>
    <row r="58" spans="1:8">
      <c r="A58" s="1912" t="s">
        <v>1270</v>
      </c>
      <c r="B58" s="1913"/>
      <c r="C58" s="1913"/>
      <c r="D58" s="1913"/>
      <c r="E58" s="1913"/>
      <c r="F58" s="1913"/>
    </row>
    <row r="59" spans="1:8" ht="105">
      <c r="A59" s="1323" t="s">
        <v>1271</v>
      </c>
      <c r="B59" s="1323" t="s">
        <v>1272</v>
      </c>
      <c r="C59" s="1316" t="s">
        <v>1273</v>
      </c>
      <c r="D59" s="1323" t="s">
        <v>1274</v>
      </c>
      <c r="E59" s="1323" t="s">
        <v>1275</v>
      </c>
      <c r="F59" s="1323" t="s">
        <v>1276</v>
      </c>
    </row>
    <row r="60" spans="1:8" ht="90">
      <c r="A60" s="1320" t="s">
        <v>1355</v>
      </c>
      <c r="B60" s="2093" t="s">
        <v>1356</v>
      </c>
      <c r="C60" s="2087" t="s">
        <v>1357</v>
      </c>
      <c r="D60" s="2088" t="s">
        <v>954</v>
      </c>
      <c r="E60" s="2084" t="s">
        <v>1358</v>
      </c>
      <c r="F60" s="2090">
        <v>4</v>
      </c>
    </row>
    <row r="61" spans="1:8">
      <c r="A61" s="1322" t="s">
        <v>1359</v>
      </c>
      <c r="B61" s="2094"/>
      <c r="C61" s="2087"/>
      <c r="D61" s="2089"/>
      <c r="E61" s="2085"/>
      <c r="F61" s="2091"/>
    </row>
    <row r="62" spans="1:8">
      <c r="A62" s="1322" t="s">
        <v>1360</v>
      </c>
      <c r="B62" s="2094"/>
      <c r="C62" s="2087"/>
      <c r="D62" s="2089"/>
      <c r="E62" s="2085"/>
      <c r="F62" s="2091"/>
    </row>
    <row r="63" spans="1:8">
      <c r="A63" s="1322" t="s">
        <v>1361</v>
      </c>
      <c r="B63" s="2094"/>
      <c r="C63" s="2087"/>
      <c r="D63" s="2089"/>
      <c r="E63" s="2085"/>
      <c r="F63" s="2091"/>
    </row>
    <row r="64" spans="1:8">
      <c r="A64" s="1322" t="s">
        <v>1362</v>
      </c>
      <c r="B64" s="2094"/>
      <c r="C64" s="2087"/>
      <c r="D64" s="2089"/>
      <c r="E64" s="2085"/>
      <c r="F64" s="2091"/>
    </row>
    <row r="65" spans="1:6">
      <c r="A65" s="1322" t="s">
        <v>1363</v>
      </c>
      <c r="B65" s="2094"/>
      <c r="C65" s="2087"/>
      <c r="D65" s="2089"/>
      <c r="E65" s="2085"/>
      <c r="F65" s="2091"/>
    </row>
    <row r="66" spans="1:6">
      <c r="A66" s="1322" t="s">
        <v>1364</v>
      </c>
      <c r="B66" s="2094"/>
      <c r="C66" s="2087"/>
      <c r="D66" s="2089"/>
      <c r="E66" s="2085"/>
      <c r="F66" s="2091"/>
    </row>
    <row r="67" spans="1:6">
      <c r="A67" s="1322" t="s">
        <v>1365</v>
      </c>
      <c r="B67" s="2094"/>
      <c r="C67" s="2087"/>
      <c r="D67" s="2089"/>
      <c r="E67" s="2085"/>
      <c r="F67" s="2091"/>
    </row>
    <row r="68" spans="1:6">
      <c r="A68" s="1322" t="s">
        <v>1366</v>
      </c>
      <c r="B68" s="2094"/>
      <c r="C68" s="2087"/>
      <c r="D68" s="2089"/>
      <c r="E68" s="2085"/>
      <c r="F68" s="2091"/>
    </row>
    <row r="69" spans="1:6">
      <c r="A69" s="1324" t="s">
        <v>1367</v>
      </c>
      <c r="B69" s="2094"/>
      <c r="C69" s="2087"/>
      <c r="D69" s="2089"/>
      <c r="E69" s="2086"/>
      <c r="F69" s="2092"/>
    </row>
    <row r="70" spans="1:6">
      <c r="A70" s="1322" t="s">
        <v>1368</v>
      </c>
      <c r="B70" s="2094"/>
      <c r="C70" s="2087"/>
      <c r="D70" s="2089"/>
      <c r="E70" s="2084" t="s">
        <v>1369</v>
      </c>
      <c r="F70" s="2090">
        <v>6</v>
      </c>
    </row>
    <row r="71" spans="1:6">
      <c r="A71" s="1322" t="s">
        <v>1370</v>
      </c>
      <c r="B71" s="2094"/>
      <c r="C71" s="2087"/>
      <c r="D71" s="2089"/>
      <c r="E71" s="2085"/>
      <c r="F71" s="2091"/>
    </row>
    <row r="72" spans="1:6">
      <c r="A72" s="1322" t="s">
        <v>1371</v>
      </c>
      <c r="B72" s="2094"/>
      <c r="C72" s="2087"/>
      <c r="D72" s="2089"/>
      <c r="E72" s="2085"/>
      <c r="F72" s="2091"/>
    </row>
    <row r="73" spans="1:6">
      <c r="A73" s="1322" t="s">
        <v>1372</v>
      </c>
      <c r="B73" s="2094"/>
      <c r="C73" s="2087"/>
      <c r="D73" s="2089"/>
      <c r="E73" s="2085"/>
      <c r="F73" s="2091"/>
    </row>
    <row r="74" spans="1:6">
      <c r="A74" s="1322" t="s">
        <v>1373</v>
      </c>
      <c r="B74" s="2094"/>
      <c r="C74" s="2087"/>
      <c r="D74" s="2089"/>
      <c r="E74" s="2086"/>
      <c r="F74" s="2092"/>
    </row>
    <row r="75" spans="1:6">
      <c r="A75" s="1322" t="s">
        <v>1374</v>
      </c>
      <c r="B75" s="2094"/>
      <c r="C75" s="2087"/>
      <c r="D75" s="2089"/>
      <c r="E75" s="2084" t="s">
        <v>1375</v>
      </c>
      <c r="F75" s="2090">
        <v>12</v>
      </c>
    </row>
    <row r="76" spans="1:6">
      <c r="A76" s="1322" t="s">
        <v>1361</v>
      </c>
      <c r="B76" s="2094"/>
      <c r="C76" s="2087"/>
      <c r="D76" s="2089"/>
      <c r="E76" s="2085"/>
      <c r="F76" s="2091"/>
    </row>
    <row r="77" spans="1:6">
      <c r="A77" s="1322" t="s">
        <v>1362</v>
      </c>
      <c r="B77" s="2094"/>
      <c r="C77" s="2087"/>
      <c r="D77" s="2089"/>
      <c r="E77" s="2085"/>
      <c r="F77" s="2091"/>
    </row>
    <row r="78" spans="1:6">
      <c r="A78" s="1322" t="s">
        <v>1373</v>
      </c>
      <c r="B78" s="2094"/>
      <c r="C78" s="2087"/>
      <c r="D78" s="2089"/>
      <c r="E78" s="2086"/>
      <c r="F78" s="2092"/>
    </row>
    <row r="79" spans="1:6">
      <c r="A79" s="1322" t="s">
        <v>1330</v>
      </c>
      <c r="B79" s="2094"/>
      <c r="C79" s="2087"/>
      <c r="D79" s="2089"/>
      <c r="E79" s="2084" t="s">
        <v>1376</v>
      </c>
      <c r="F79" s="2090">
        <v>18</v>
      </c>
    </row>
    <row r="80" spans="1:6">
      <c r="A80" s="1322" t="s">
        <v>1362</v>
      </c>
      <c r="B80" s="2094"/>
      <c r="C80" s="2087"/>
      <c r="D80" s="2089"/>
      <c r="E80" s="2085"/>
      <c r="F80" s="2091"/>
    </row>
    <row r="81" spans="1:6">
      <c r="A81" s="1322" t="s">
        <v>1367</v>
      </c>
      <c r="B81" s="2094"/>
      <c r="C81" s="2087"/>
      <c r="D81" s="2089"/>
      <c r="E81" s="2085"/>
      <c r="F81" s="2091"/>
    </row>
    <row r="82" spans="1:6">
      <c r="A82" s="1322" t="s">
        <v>1374</v>
      </c>
      <c r="B82" s="2094"/>
      <c r="C82" s="2087"/>
      <c r="D82" s="2089"/>
      <c r="E82" s="2085"/>
      <c r="F82" s="2091"/>
    </row>
    <row r="83" spans="1:6">
      <c r="A83" s="1322" t="s">
        <v>1373</v>
      </c>
      <c r="B83" s="2095"/>
      <c r="C83" s="2087"/>
      <c r="D83" s="2089"/>
      <c r="E83" s="2086"/>
      <c r="F83" s="2092"/>
    </row>
    <row r="84" spans="1:6" ht="210">
      <c r="A84" s="1313" t="s">
        <v>1377</v>
      </c>
      <c r="B84" s="1318" t="s">
        <v>1378</v>
      </c>
      <c r="C84" s="1317" t="s">
        <v>1314</v>
      </c>
      <c r="D84" s="1315" t="s">
        <v>52</v>
      </c>
      <c r="E84" s="1314" t="s">
        <v>1379</v>
      </c>
      <c r="F84" s="1319">
        <v>48</v>
      </c>
    </row>
  </sheetData>
  <mergeCells count="69">
    <mergeCell ref="A58:F58"/>
    <mergeCell ref="B60:B83"/>
    <mergeCell ref="C60:C83"/>
    <mergeCell ref="D60:D83"/>
    <mergeCell ref="E60:E69"/>
    <mergeCell ref="F60:F69"/>
    <mergeCell ref="E70:E74"/>
    <mergeCell ref="F70:F74"/>
    <mergeCell ref="E75:E78"/>
    <mergeCell ref="F75:F78"/>
    <mergeCell ref="E79:E83"/>
    <mergeCell ref="F79:F83"/>
    <mergeCell ref="A18:B20"/>
    <mergeCell ref="F18:H18"/>
    <mergeCell ref="F19:H19"/>
    <mergeCell ref="F20:H20"/>
    <mergeCell ref="B2:D2"/>
    <mergeCell ref="B3:D3"/>
    <mergeCell ref="B4:D4"/>
    <mergeCell ref="B6:D6"/>
    <mergeCell ref="B8:D8"/>
    <mergeCell ref="A10:B10"/>
    <mergeCell ref="C10:H10"/>
    <mergeCell ref="E12:H13"/>
    <mergeCell ref="A14:B14"/>
    <mergeCell ref="F14:H14"/>
    <mergeCell ref="A15:B17"/>
    <mergeCell ref="F15:H17"/>
    <mergeCell ref="A21:B22"/>
    <mergeCell ref="F21:H22"/>
    <mergeCell ref="A23:B25"/>
    <mergeCell ref="F23:H25"/>
    <mergeCell ref="A26:C26"/>
    <mergeCell ref="F26:H26"/>
    <mergeCell ref="A27:B29"/>
    <mergeCell ref="F27:H29"/>
    <mergeCell ref="A30:B32"/>
    <mergeCell ref="F30:H32"/>
    <mergeCell ref="A33:B33"/>
    <mergeCell ref="F33:H33"/>
    <mergeCell ref="A34:B34"/>
    <mergeCell ref="F34:H34"/>
    <mergeCell ref="A35:B36"/>
    <mergeCell ref="F35:H36"/>
    <mergeCell ref="A37:B39"/>
    <mergeCell ref="F37:H37"/>
    <mergeCell ref="F38:H38"/>
    <mergeCell ref="F39:H39"/>
    <mergeCell ref="A49:B50"/>
    <mergeCell ref="F49:H49"/>
    <mergeCell ref="F50:H50"/>
    <mergeCell ref="A40:B42"/>
    <mergeCell ref="F40:H41"/>
    <mergeCell ref="F42:H42"/>
    <mergeCell ref="A43:C43"/>
    <mergeCell ref="F43:H43"/>
    <mergeCell ref="A44:C44"/>
    <mergeCell ref="F44:H44"/>
    <mergeCell ref="A45:B48"/>
    <mergeCell ref="F45:H45"/>
    <mergeCell ref="F46:H46"/>
    <mergeCell ref="F47:H47"/>
    <mergeCell ref="F48:H48"/>
    <mergeCell ref="A51:B53"/>
    <mergeCell ref="F51:H51"/>
    <mergeCell ref="F52:H52"/>
    <mergeCell ref="F53:H53"/>
    <mergeCell ref="A54:B54"/>
    <mergeCell ref="F54:H54"/>
  </mergeCells>
  <dataValidations count="3">
    <dataValidation type="list" allowBlank="1" showErrorMessage="1" sqref="H3">
      <formula1>$N$4:$N$5</formula1>
    </dataValidation>
    <dataValidation type="list" allowBlank="1" showErrorMessage="1" sqref="H2">
      <formula1>$N$2:$N$3</formula1>
    </dataValidation>
    <dataValidation type="list" allowBlank="1" showErrorMessage="1" sqref="H8">
      <formula1>"Enjeu EAU AESN,Enjeu EAU AEAP,Enjeu ZH et prairies AEAP,Enjeu Erosion AEAP,Enjeu Biodiversité MASA"</formula1>
    </dataValidation>
  </dataValidation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7E4FF"/>
  </sheetPr>
  <dimension ref="A1:W84"/>
  <sheetViews>
    <sheetView topLeftCell="A40" workbookViewId="0">
      <selection activeCell="F48" sqref="F48:H48"/>
    </sheetView>
  </sheetViews>
  <sheetFormatPr baseColWidth="10" defaultRowHeight="15"/>
  <cols>
    <col min="1" max="1" width="27.5703125" style="8" customWidth="1"/>
    <col min="2" max="2" width="15.7109375" style="8" customWidth="1"/>
    <col min="3" max="3" width="40" style="8" customWidth="1"/>
    <col min="4" max="5" width="8.42578125" style="8" customWidth="1"/>
    <col min="6" max="6" width="16.28515625" style="8" bestFit="1" customWidth="1"/>
    <col min="7" max="7" width="18.140625" style="8" customWidth="1"/>
    <col min="8" max="8" width="34.28515625" customWidth="1"/>
  </cols>
  <sheetData>
    <row r="1" spans="1:23" ht="15.75" thickBot="1">
      <c r="A1"/>
      <c r="B1"/>
      <c r="C1"/>
      <c r="D1"/>
      <c r="E1"/>
      <c r="F1"/>
      <c r="G1"/>
    </row>
    <row r="2" spans="1:23" ht="15.75" thickBot="1">
      <c r="A2" s="328" t="s">
        <v>0</v>
      </c>
      <c r="B2" s="1807" t="s">
        <v>622</v>
      </c>
      <c r="C2" s="1776"/>
      <c r="D2" s="1777"/>
      <c r="E2" s="329"/>
      <c r="F2" s="329"/>
      <c r="G2" s="330" t="s">
        <v>462</v>
      </c>
      <c r="H2" s="112" t="s">
        <v>14</v>
      </c>
    </row>
    <row r="3" spans="1:23" ht="15.75" customHeight="1" thickBot="1">
      <c r="A3" s="331" t="s">
        <v>344</v>
      </c>
      <c r="B3" s="1807" t="s">
        <v>623</v>
      </c>
      <c r="C3" s="1880"/>
      <c r="D3" s="1881"/>
      <c r="E3" s="329"/>
      <c r="F3" s="329"/>
      <c r="G3" s="332" t="s">
        <v>10</v>
      </c>
      <c r="H3" s="112" t="s">
        <v>16</v>
      </c>
      <c r="J3" s="13" t="s">
        <v>73</v>
      </c>
    </row>
    <row r="4" spans="1:23" ht="15.75" thickBot="1">
      <c r="A4" s="332" t="s">
        <v>3</v>
      </c>
      <c r="B4" s="1809" t="s">
        <v>624</v>
      </c>
      <c r="C4" s="1776"/>
      <c r="D4" s="1777"/>
      <c r="E4" s="333"/>
      <c r="F4" s="329"/>
      <c r="G4" s="334" t="s">
        <v>26</v>
      </c>
      <c r="H4" s="117">
        <v>9</v>
      </c>
      <c r="J4" s="70"/>
    </row>
    <row r="5" spans="1:23" ht="15.75" customHeight="1" thickBot="1">
      <c r="A5" s="329"/>
      <c r="B5" s="329"/>
      <c r="C5" s="329"/>
      <c r="D5" s="329"/>
      <c r="E5" s="329"/>
      <c r="F5" s="329"/>
      <c r="G5" s="329"/>
      <c r="H5" s="329"/>
      <c r="J5" s="13" t="s">
        <v>381</v>
      </c>
    </row>
    <row r="6" spans="1:23" ht="120.75" thickBot="1">
      <c r="A6" s="328" t="s">
        <v>465</v>
      </c>
      <c r="B6" s="2102" t="s">
        <v>1575</v>
      </c>
      <c r="C6" s="2103"/>
      <c r="D6" s="2104"/>
      <c r="E6" s="329"/>
      <c r="F6" s="329"/>
      <c r="G6" s="335" t="s">
        <v>466</v>
      </c>
      <c r="H6" s="178" t="s">
        <v>1648</v>
      </c>
    </row>
    <row r="7" spans="1:23" ht="15.75" thickBot="1">
      <c r="A7"/>
      <c r="B7" s="329"/>
      <c r="C7" s="329"/>
      <c r="D7" s="329"/>
      <c r="E7" s="329"/>
      <c r="F7" s="329"/>
      <c r="G7" s="337"/>
      <c r="H7" s="329"/>
      <c r="J7" s="13"/>
    </row>
    <row r="8" spans="1:23" ht="30.75" thickBot="1">
      <c r="A8" s="338" t="s">
        <v>7</v>
      </c>
      <c r="B8" s="1823" t="s">
        <v>625</v>
      </c>
      <c r="C8" s="1776"/>
      <c r="D8" s="1777"/>
      <c r="E8" s="333"/>
      <c r="F8" s="339"/>
      <c r="G8" s="338" t="s">
        <v>469</v>
      </c>
      <c r="H8" s="416" t="s">
        <v>537</v>
      </c>
    </row>
    <row r="9" spans="1:23">
      <c r="A9"/>
      <c r="B9" s="329"/>
      <c r="C9" s="329"/>
      <c r="D9" s="329"/>
      <c r="E9" s="329"/>
      <c r="F9" s="329"/>
      <c r="G9" s="337"/>
      <c r="H9" s="329"/>
    </row>
    <row r="10" spans="1:23" ht="93" customHeight="1">
      <c r="A10" s="1813" t="s">
        <v>471</v>
      </c>
      <c r="B10" s="1772"/>
      <c r="C10" s="1805" t="s">
        <v>626</v>
      </c>
      <c r="D10" s="1805"/>
      <c r="E10" s="1805"/>
      <c r="F10" s="1805"/>
      <c r="G10" s="1805"/>
      <c r="H10" s="1805"/>
      <c r="J10" s="1821"/>
    </row>
    <row r="11" spans="1:23">
      <c r="A11" s="343"/>
      <c r="B11" s="333"/>
      <c r="C11" s="333"/>
      <c r="D11" s="333"/>
      <c r="E11" s="333"/>
      <c r="F11" s="339"/>
      <c r="G11" s="342"/>
      <c r="H11" s="342"/>
      <c r="J11" s="1821"/>
    </row>
    <row r="12" spans="1:23">
      <c r="A12" s="343"/>
      <c r="B12" s="333"/>
      <c r="C12" s="333"/>
      <c r="D12" s="333"/>
      <c r="E12" s="1814" t="s">
        <v>473</v>
      </c>
      <c r="F12" s="1772"/>
      <c r="G12" s="1772"/>
      <c r="H12" s="1772"/>
    </row>
    <row r="13" spans="1:23" ht="15" customHeight="1">
      <c r="A13" s="329"/>
      <c r="B13" s="329"/>
      <c r="C13" s="329"/>
      <c r="D13" s="329"/>
      <c r="E13" s="1780"/>
      <c r="F13" s="1780"/>
      <c r="G13" s="1780"/>
      <c r="H13" s="1780"/>
      <c r="I13" s="1817">
        <v>2025</v>
      </c>
      <c r="J13" s="1762"/>
      <c r="K13" s="1762"/>
      <c r="L13" s="1762"/>
      <c r="M13" s="1764"/>
      <c r="N13" s="1817">
        <v>2026</v>
      </c>
      <c r="O13" s="1762"/>
      <c r="P13" s="1762"/>
      <c r="Q13" s="1762"/>
      <c r="R13" s="1764"/>
      <c r="S13" s="1817">
        <v>2027</v>
      </c>
      <c r="T13" s="1762"/>
      <c r="U13" s="1762"/>
      <c r="V13" s="1762"/>
      <c r="W13" s="1764"/>
    </row>
    <row r="14" spans="1:23" ht="45.75" thickBot="1">
      <c r="A14" s="1816" t="s">
        <v>5</v>
      </c>
      <c r="B14" s="1792"/>
      <c r="C14" s="344" t="s">
        <v>1</v>
      </c>
      <c r="D14" s="344" t="s">
        <v>260</v>
      </c>
      <c r="E14" s="345" t="s">
        <v>474</v>
      </c>
      <c r="F14" s="1815" t="s">
        <v>6</v>
      </c>
      <c r="G14" s="1762"/>
      <c r="H14" s="1764"/>
      <c r="I14" s="643" t="s">
        <v>474</v>
      </c>
      <c r="J14" s="644" t="s">
        <v>944</v>
      </c>
      <c r="K14" s="645" t="s">
        <v>945</v>
      </c>
      <c r="L14" s="644" t="s">
        <v>946</v>
      </c>
      <c r="M14" s="646" t="s">
        <v>947</v>
      </c>
      <c r="N14" s="643" t="s">
        <v>474</v>
      </c>
      <c r="O14" s="644" t="s">
        <v>944</v>
      </c>
      <c r="P14" s="645" t="s">
        <v>945</v>
      </c>
      <c r="Q14" s="644" t="s">
        <v>946</v>
      </c>
      <c r="R14" s="646" t="s">
        <v>947</v>
      </c>
      <c r="S14" s="643" t="s">
        <v>474</v>
      </c>
      <c r="T14" s="644" t="s">
        <v>944</v>
      </c>
      <c r="U14" s="645" t="s">
        <v>945</v>
      </c>
      <c r="V14" s="644" t="s">
        <v>946</v>
      </c>
      <c r="W14" s="646" t="s">
        <v>947</v>
      </c>
    </row>
    <row r="15" spans="1:23" ht="30" customHeight="1">
      <c r="A15" s="1804" t="s">
        <v>17</v>
      </c>
      <c r="B15" s="1771"/>
      <c r="C15" s="346" t="s">
        <v>59</v>
      </c>
      <c r="D15" s="347" t="s">
        <v>251</v>
      </c>
      <c r="E15" s="348"/>
      <c r="F15" s="1791" t="s">
        <v>475</v>
      </c>
      <c r="G15" s="1771"/>
      <c r="H15" s="1792"/>
      <c r="I15" s="650"/>
      <c r="J15" s="648"/>
      <c r="K15" s="648"/>
      <c r="L15" s="648"/>
      <c r="M15" s="649"/>
      <c r="N15" s="650"/>
      <c r="O15" s="648"/>
      <c r="P15" s="648"/>
      <c r="Q15" s="648"/>
      <c r="R15" s="649"/>
      <c r="S15" s="650"/>
      <c r="T15" s="648"/>
      <c r="U15" s="648"/>
      <c r="V15" s="648"/>
      <c r="W15" s="651"/>
    </row>
    <row r="16" spans="1:23" ht="25.5" customHeight="1">
      <c r="A16" s="1772"/>
      <c r="B16" s="1772"/>
      <c r="C16" s="349" t="s">
        <v>18</v>
      </c>
      <c r="D16" s="350" t="s">
        <v>168</v>
      </c>
      <c r="E16" s="351"/>
      <c r="F16" s="1845"/>
      <c r="G16" s="1845"/>
      <c r="H16" s="1799"/>
      <c r="I16" s="653"/>
      <c r="J16" s="632"/>
      <c r="K16" s="632"/>
      <c r="L16" s="632"/>
      <c r="M16" s="632"/>
      <c r="N16" s="653"/>
      <c r="O16" s="632"/>
      <c r="P16" s="632"/>
      <c r="Q16" s="632"/>
      <c r="R16" s="632"/>
      <c r="S16" s="653"/>
      <c r="T16" s="632"/>
      <c r="U16" s="632"/>
      <c r="V16" s="632"/>
      <c r="W16" s="654"/>
    </row>
    <row r="17" spans="1:23" ht="24" customHeight="1" thickBot="1">
      <c r="A17" s="1780"/>
      <c r="B17" s="1780"/>
      <c r="C17" s="352" t="s">
        <v>19</v>
      </c>
      <c r="D17" s="353" t="s">
        <v>233</v>
      </c>
      <c r="E17" s="354"/>
      <c r="F17" s="1780"/>
      <c r="G17" s="1780"/>
      <c r="H17" s="1793"/>
      <c r="I17" s="656"/>
      <c r="J17" s="632"/>
      <c r="K17" s="632"/>
      <c r="L17" s="632"/>
      <c r="M17" s="632"/>
      <c r="N17" s="656"/>
      <c r="O17" s="632"/>
      <c r="P17" s="632"/>
      <c r="Q17" s="632"/>
      <c r="R17" s="632"/>
      <c r="S17" s="656"/>
      <c r="T17" s="632"/>
      <c r="U17" s="632"/>
      <c r="V17" s="632"/>
      <c r="W17" s="654"/>
    </row>
    <row r="18" spans="1:23" ht="24.75" customHeight="1">
      <c r="A18" s="1804" t="s">
        <v>20</v>
      </c>
      <c r="B18" s="1771"/>
      <c r="C18" s="346" t="s">
        <v>54</v>
      </c>
      <c r="D18" s="353" t="s">
        <v>261</v>
      </c>
      <c r="E18" s="354"/>
      <c r="F18" s="1828" t="s">
        <v>627</v>
      </c>
      <c r="G18" s="1771"/>
      <c r="H18" s="1792"/>
      <c r="I18" s="656"/>
      <c r="J18" s="632"/>
      <c r="K18" s="632"/>
      <c r="L18" s="632"/>
      <c r="M18" s="632"/>
      <c r="N18" s="656"/>
      <c r="O18" s="632"/>
      <c r="P18" s="632"/>
      <c r="Q18" s="632"/>
      <c r="R18" s="632"/>
      <c r="S18" s="656"/>
      <c r="T18" s="632"/>
      <c r="U18" s="632"/>
      <c r="V18" s="632"/>
      <c r="W18" s="654"/>
    </row>
    <row r="19" spans="1:23" ht="30" customHeight="1">
      <c r="A19" s="1772"/>
      <c r="B19" s="1772"/>
      <c r="C19" s="355" t="s">
        <v>21</v>
      </c>
      <c r="D19" s="353" t="s">
        <v>234</v>
      </c>
      <c r="E19" s="417" t="s">
        <v>277</v>
      </c>
      <c r="F19" s="1845"/>
      <c r="G19" s="1845"/>
      <c r="H19" s="1799"/>
      <c r="I19" s="704" t="s">
        <v>277</v>
      </c>
      <c r="J19" s="698">
        <v>1</v>
      </c>
      <c r="K19" s="632"/>
      <c r="L19" s="698">
        <v>30</v>
      </c>
      <c r="M19" s="632">
        <f>201*L19*5</f>
        <v>30150</v>
      </c>
      <c r="N19" s="704" t="s">
        <v>277</v>
      </c>
      <c r="O19" s="632"/>
      <c r="P19" s="632"/>
      <c r="Q19" s="632"/>
      <c r="R19" s="632"/>
      <c r="S19" s="704" t="s">
        <v>277</v>
      </c>
      <c r="T19" s="698">
        <v>1</v>
      </c>
      <c r="U19" s="632"/>
      <c r="V19" s="698">
        <v>30</v>
      </c>
      <c r="W19" s="654">
        <f>201*V19*5</f>
        <v>30150</v>
      </c>
    </row>
    <row r="20" spans="1:23" ht="30.75" customHeight="1" thickBot="1">
      <c r="A20" s="1772"/>
      <c r="B20" s="1772"/>
      <c r="C20" s="352" t="s">
        <v>22</v>
      </c>
      <c r="D20" s="353" t="s">
        <v>235</v>
      </c>
      <c r="E20" s="417" t="s">
        <v>277</v>
      </c>
      <c r="F20" s="1780"/>
      <c r="G20" s="1780"/>
      <c r="H20" s="1793"/>
      <c r="I20" s="704" t="s">
        <v>277</v>
      </c>
      <c r="J20" s="698">
        <v>1</v>
      </c>
      <c r="K20" s="632"/>
      <c r="L20" s="698">
        <v>30</v>
      </c>
      <c r="M20" s="632">
        <f>306*L20*5</f>
        <v>45900</v>
      </c>
      <c r="N20" s="704" t="s">
        <v>277</v>
      </c>
      <c r="O20" s="698">
        <v>1</v>
      </c>
      <c r="P20" s="632"/>
      <c r="Q20" s="698">
        <v>30</v>
      </c>
      <c r="R20" s="632">
        <f>306*Q20*5</f>
        <v>45900</v>
      </c>
      <c r="S20" s="704" t="s">
        <v>277</v>
      </c>
      <c r="T20" s="698">
        <v>1</v>
      </c>
      <c r="U20" s="632"/>
      <c r="V20" s="698">
        <v>30</v>
      </c>
      <c r="W20" s="654">
        <f>306*V20*5</f>
        <v>45900</v>
      </c>
    </row>
    <row r="21" spans="1:23" ht="15" customHeight="1">
      <c r="A21" s="1804" t="s">
        <v>23</v>
      </c>
      <c r="B21" s="1771"/>
      <c r="C21" s="356" t="s">
        <v>69</v>
      </c>
      <c r="D21" s="353" t="s">
        <v>267</v>
      </c>
      <c r="E21" s="354"/>
      <c r="F21" s="1791" t="s">
        <v>477</v>
      </c>
      <c r="G21" s="1771"/>
      <c r="H21" s="1792"/>
      <c r="I21" s="697"/>
      <c r="J21" s="632"/>
      <c r="K21" s="632"/>
      <c r="L21" s="632"/>
      <c r="M21" s="632"/>
      <c r="N21" s="656"/>
      <c r="O21" s="698"/>
      <c r="P21" s="632"/>
      <c r="Q21" s="632"/>
      <c r="R21" s="632"/>
      <c r="S21" s="656"/>
      <c r="T21" s="698"/>
      <c r="U21" s="632"/>
      <c r="V21" s="632"/>
      <c r="W21" s="654"/>
    </row>
    <row r="22" spans="1:23" ht="15" customHeight="1" thickBot="1">
      <c r="A22" s="1780"/>
      <c r="B22" s="1780"/>
      <c r="C22" s="357" t="s">
        <v>24</v>
      </c>
      <c r="D22" s="358" t="s">
        <v>236</v>
      </c>
      <c r="E22" s="354"/>
      <c r="F22" s="1780"/>
      <c r="G22" s="1780"/>
      <c r="H22" s="1793"/>
      <c r="I22" s="697"/>
      <c r="J22" s="632"/>
      <c r="K22" s="632"/>
      <c r="L22" s="632"/>
      <c r="M22" s="632"/>
      <c r="N22" s="656"/>
      <c r="O22" s="698"/>
      <c r="P22" s="632"/>
      <c r="Q22" s="632"/>
      <c r="R22" s="632"/>
      <c r="S22" s="656"/>
      <c r="T22" s="698"/>
      <c r="U22" s="632"/>
      <c r="V22" s="632"/>
      <c r="W22" s="654"/>
    </row>
    <row r="23" spans="1:23" ht="15" customHeight="1">
      <c r="A23" s="1801" t="s">
        <v>478</v>
      </c>
      <c r="B23" s="1792"/>
      <c r="C23" s="359" t="s">
        <v>360</v>
      </c>
      <c r="D23" s="358" t="s">
        <v>265</v>
      </c>
      <c r="E23" s="354"/>
      <c r="F23" s="1791" t="s">
        <v>477</v>
      </c>
      <c r="G23" s="1771"/>
      <c r="H23" s="1792"/>
      <c r="I23" s="697"/>
      <c r="J23" s="632"/>
      <c r="K23" s="632"/>
      <c r="L23" s="632"/>
      <c r="M23" s="632"/>
      <c r="N23" s="656"/>
      <c r="O23" s="698"/>
      <c r="P23" s="632"/>
      <c r="Q23" s="632"/>
      <c r="R23" s="632"/>
      <c r="S23" s="656"/>
      <c r="T23" s="698"/>
      <c r="U23" s="632"/>
      <c r="V23" s="632"/>
      <c r="W23" s="654"/>
    </row>
    <row r="24" spans="1:23" ht="30" customHeight="1">
      <c r="A24" s="1779"/>
      <c r="B24" s="1799"/>
      <c r="C24" s="360" t="s">
        <v>361</v>
      </c>
      <c r="D24" s="358" t="s">
        <v>362</v>
      </c>
      <c r="E24" s="354"/>
      <c r="F24" s="1845"/>
      <c r="G24" s="1845"/>
      <c r="H24" s="1799"/>
      <c r="I24" s="697"/>
      <c r="J24" s="632"/>
      <c r="K24" s="632"/>
      <c r="L24" s="632"/>
      <c r="M24" s="632"/>
      <c r="N24" s="656"/>
      <c r="O24" s="698"/>
      <c r="P24" s="632"/>
      <c r="Q24" s="632"/>
      <c r="R24" s="632"/>
      <c r="S24" s="656"/>
      <c r="T24" s="698"/>
      <c r="U24" s="632"/>
      <c r="V24" s="632"/>
      <c r="W24" s="654"/>
    </row>
    <row r="25" spans="1:23" ht="30" customHeight="1" thickBot="1">
      <c r="A25" s="1779"/>
      <c r="B25" s="1799"/>
      <c r="C25" s="361" t="s">
        <v>479</v>
      </c>
      <c r="D25" s="358" t="s">
        <v>480</v>
      </c>
      <c r="E25" s="354"/>
      <c r="F25" s="1780"/>
      <c r="G25" s="1780"/>
      <c r="H25" s="1793"/>
      <c r="I25" s="697"/>
      <c r="J25" s="632"/>
      <c r="K25" s="632"/>
      <c r="L25" s="632"/>
      <c r="M25" s="632"/>
      <c r="N25" s="656"/>
      <c r="O25" s="698"/>
      <c r="P25" s="632"/>
      <c r="Q25" s="632"/>
      <c r="R25" s="632"/>
      <c r="S25" s="656"/>
      <c r="T25" s="698"/>
      <c r="U25" s="632"/>
      <c r="V25" s="632"/>
      <c r="W25" s="654"/>
    </row>
    <row r="26" spans="1:23" ht="30" customHeight="1" thickBot="1">
      <c r="A26" s="1802" t="s">
        <v>25</v>
      </c>
      <c r="B26" s="1776"/>
      <c r="C26" s="1777"/>
      <c r="D26" s="362" t="s">
        <v>270</v>
      </c>
      <c r="E26" s="354"/>
      <c r="F26" s="1763" t="s">
        <v>481</v>
      </c>
      <c r="G26" s="1762"/>
      <c r="H26" s="1764"/>
      <c r="I26" s="697"/>
      <c r="J26" s="632"/>
      <c r="K26" s="632"/>
      <c r="L26" s="632"/>
      <c r="M26" s="632"/>
      <c r="N26" s="656"/>
      <c r="O26" s="698"/>
      <c r="P26" s="632"/>
      <c r="Q26" s="632"/>
      <c r="R26" s="632"/>
      <c r="S26" s="656"/>
      <c r="T26" s="698"/>
      <c r="U26" s="632"/>
      <c r="V26" s="632"/>
      <c r="W26" s="654"/>
    </row>
    <row r="27" spans="1:23" ht="15.75">
      <c r="A27" s="1803" t="s">
        <v>153</v>
      </c>
      <c r="B27" s="1788"/>
      <c r="C27" s="363" t="s">
        <v>152</v>
      </c>
      <c r="D27" s="364" t="s">
        <v>268</v>
      </c>
      <c r="E27" s="354"/>
      <c r="F27" s="1791" t="s">
        <v>475</v>
      </c>
      <c r="G27" s="1771"/>
      <c r="H27" s="1792"/>
      <c r="I27" s="697"/>
      <c r="J27" s="632"/>
      <c r="K27" s="632"/>
      <c r="L27" s="632"/>
      <c r="M27" s="632"/>
      <c r="N27" s="656"/>
      <c r="O27" s="698"/>
      <c r="P27" s="632"/>
      <c r="Q27" s="632"/>
      <c r="R27" s="632"/>
      <c r="S27" s="656"/>
      <c r="T27" s="698"/>
      <c r="U27" s="632"/>
      <c r="V27" s="632"/>
      <c r="W27" s="654"/>
    </row>
    <row r="28" spans="1:23" ht="15.75">
      <c r="A28" s="1779"/>
      <c r="B28" s="1788"/>
      <c r="C28" s="365" t="s">
        <v>154</v>
      </c>
      <c r="D28" s="364" t="s">
        <v>392</v>
      </c>
      <c r="E28" s="354"/>
      <c r="F28" s="1845"/>
      <c r="G28" s="1845"/>
      <c r="H28" s="1799"/>
      <c r="I28" s="697"/>
      <c r="J28" s="632"/>
      <c r="K28" s="632"/>
      <c r="L28" s="632"/>
      <c r="M28" s="632"/>
      <c r="N28" s="656"/>
      <c r="O28" s="698"/>
      <c r="P28" s="632"/>
      <c r="Q28" s="632"/>
      <c r="R28" s="632"/>
      <c r="S28" s="656"/>
      <c r="T28" s="698"/>
      <c r="U28" s="632"/>
      <c r="V28" s="632"/>
      <c r="W28" s="654"/>
    </row>
    <row r="29" spans="1:23" ht="16.5" thickBot="1">
      <c r="A29" s="1767"/>
      <c r="B29" s="1768"/>
      <c r="C29" s="366" t="s">
        <v>400</v>
      </c>
      <c r="D29" s="364" t="s">
        <v>393</v>
      </c>
      <c r="E29" s="354"/>
      <c r="F29" s="1780"/>
      <c r="G29" s="1780"/>
      <c r="H29" s="1793"/>
      <c r="I29" s="697"/>
      <c r="J29" s="632"/>
      <c r="K29" s="632"/>
      <c r="L29" s="632"/>
      <c r="M29" s="632"/>
      <c r="N29" s="656"/>
      <c r="O29" s="698"/>
      <c r="P29" s="632"/>
      <c r="Q29" s="632"/>
      <c r="R29" s="632"/>
      <c r="S29" s="656"/>
      <c r="T29" s="698"/>
      <c r="U29" s="632"/>
      <c r="V29" s="632"/>
      <c r="W29" s="654"/>
    </row>
    <row r="30" spans="1:23" ht="15.75">
      <c r="A30" s="1797" t="s">
        <v>153</v>
      </c>
      <c r="B30" s="1766"/>
      <c r="C30" s="367" t="s">
        <v>155</v>
      </c>
      <c r="D30" s="364" t="s">
        <v>266</v>
      </c>
      <c r="E30" s="354"/>
      <c r="F30" s="1791" t="s">
        <v>475</v>
      </c>
      <c r="G30" s="1771"/>
      <c r="H30" s="1792"/>
      <c r="I30" s="697"/>
      <c r="J30" s="632"/>
      <c r="K30" s="632"/>
      <c r="L30" s="632"/>
      <c r="M30" s="632"/>
      <c r="N30" s="656"/>
      <c r="O30" s="698"/>
      <c r="P30" s="632"/>
      <c r="Q30" s="632"/>
      <c r="R30" s="632"/>
      <c r="S30" s="656"/>
      <c r="T30" s="698"/>
      <c r="U30" s="632"/>
      <c r="V30" s="632"/>
      <c r="W30" s="654"/>
    </row>
    <row r="31" spans="1:23" ht="15.75">
      <c r="A31" s="1779"/>
      <c r="B31" s="1788"/>
      <c r="C31" s="365" t="s">
        <v>156</v>
      </c>
      <c r="D31" s="364" t="s">
        <v>394</v>
      </c>
      <c r="E31" s="354"/>
      <c r="F31" s="1845"/>
      <c r="G31" s="1845"/>
      <c r="H31" s="1799"/>
      <c r="I31" s="697"/>
      <c r="J31" s="632"/>
      <c r="K31" s="632"/>
      <c r="L31" s="632"/>
      <c r="M31" s="632"/>
      <c r="N31" s="656"/>
      <c r="O31" s="698"/>
      <c r="P31" s="632"/>
      <c r="Q31" s="632"/>
      <c r="R31" s="632"/>
      <c r="S31" s="656"/>
      <c r="T31" s="698"/>
      <c r="U31" s="632"/>
      <c r="V31" s="632"/>
      <c r="W31" s="654"/>
    </row>
    <row r="32" spans="1:23" ht="16.5" thickBot="1">
      <c r="A32" s="1767"/>
      <c r="B32" s="1768"/>
      <c r="C32" s="366" t="s">
        <v>399</v>
      </c>
      <c r="D32" s="364" t="s">
        <v>395</v>
      </c>
      <c r="E32" s="354"/>
      <c r="F32" s="1780"/>
      <c r="G32" s="1780"/>
      <c r="H32" s="1793"/>
      <c r="I32" s="697"/>
      <c r="J32" s="632"/>
      <c r="K32" s="632"/>
      <c r="L32" s="632"/>
      <c r="M32" s="632"/>
      <c r="N32" s="656"/>
      <c r="O32" s="698"/>
      <c r="P32" s="632"/>
      <c r="Q32" s="632"/>
      <c r="R32" s="632"/>
      <c r="S32" s="656"/>
      <c r="T32" s="698"/>
      <c r="U32" s="632"/>
      <c r="V32" s="632"/>
      <c r="W32" s="654"/>
    </row>
    <row r="33" spans="1:23" ht="16.5" thickBot="1">
      <c r="A33" s="1797" t="s">
        <v>482</v>
      </c>
      <c r="B33" s="1766"/>
      <c r="C33" s="367" t="s">
        <v>365</v>
      </c>
      <c r="D33" s="364" t="s">
        <v>252</v>
      </c>
      <c r="E33" s="354"/>
      <c r="F33" s="1791" t="s">
        <v>483</v>
      </c>
      <c r="G33" s="1771"/>
      <c r="H33" s="1792"/>
      <c r="I33" s="697"/>
      <c r="J33" s="632"/>
      <c r="K33" s="632"/>
      <c r="L33" s="632"/>
      <c r="M33" s="632"/>
      <c r="N33" s="656"/>
      <c r="O33" s="698"/>
      <c r="P33" s="632"/>
      <c r="Q33" s="632"/>
      <c r="R33" s="632"/>
      <c r="S33" s="656"/>
      <c r="T33" s="698"/>
      <c r="U33" s="632"/>
      <c r="V33" s="632"/>
      <c r="W33" s="654"/>
    </row>
    <row r="34" spans="1:23" ht="16.5" thickBot="1">
      <c r="A34" s="1797" t="s">
        <v>484</v>
      </c>
      <c r="B34" s="1766"/>
      <c r="C34" s="367" t="s">
        <v>485</v>
      </c>
      <c r="D34" s="364" t="s">
        <v>264</v>
      </c>
      <c r="E34" s="354"/>
      <c r="F34" s="1800"/>
      <c r="G34" s="1771"/>
      <c r="H34" s="1792"/>
      <c r="I34" s="697"/>
      <c r="J34" s="632"/>
      <c r="K34" s="632"/>
      <c r="L34" s="632"/>
      <c r="M34" s="632"/>
      <c r="N34" s="656"/>
      <c r="O34" s="698"/>
      <c r="P34" s="632"/>
      <c r="Q34" s="632"/>
      <c r="R34" s="632"/>
      <c r="S34" s="656"/>
      <c r="T34" s="698"/>
      <c r="U34" s="632"/>
      <c r="V34" s="632"/>
      <c r="W34" s="654"/>
    </row>
    <row r="35" spans="1:23" ht="15.75">
      <c r="A35" s="1795" t="s">
        <v>486</v>
      </c>
      <c r="B35" s="1766"/>
      <c r="C35" s="368" t="s">
        <v>43</v>
      </c>
      <c r="D35" s="369" t="s">
        <v>256</v>
      </c>
      <c r="E35" s="354"/>
      <c r="F35" s="1791" t="s">
        <v>487</v>
      </c>
      <c r="G35" s="1771"/>
      <c r="H35" s="1792"/>
      <c r="I35" s="697"/>
      <c r="J35" s="632"/>
      <c r="K35" s="632"/>
      <c r="L35" s="632"/>
      <c r="M35" s="632"/>
      <c r="N35" s="656"/>
      <c r="O35" s="698"/>
      <c r="P35" s="632"/>
      <c r="Q35" s="632"/>
      <c r="R35" s="632"/>
      <c r="S35" s="656"/>
      <c r="T35" s="698"/>
      <c r="U35" s="632"/>
      <c r="V35" s="632"/>
      <c r="W35" s="654"/>
    </row>
    <row r="36" spans="1:23" ht="16.5" thickBot="1">
      <c r="A36" s="1767"/>
      <c r="B36" s="1768"/>
      <c r="C36" s="370" t="s">
        <v>60</v>
      </c>
      <c r="D36" s="369" t="s">
        <v>257</v>
      </c>
      <c r="E36" s="354"/>
      <c r="F36" s="1780"/>
      <c r="G36" s="1780"/>
      <c r="H36" s="1793"/>
      <c r="I36" s="697"/>
      <c r="J36" s="632"/>
      <c r="K36" s="632"/>
      <c r="L36" s="632"/>
      <c r="M36" s="632"/>
      <c r="N36" s="656"/>
      <c r="O36" s="698"/>
      <c r="P36" s="632"/>
      <c r="Q36" s="632"/>
      <c r="R36" s="632"/>
      <c r="S36" s="656"/>
      <c r="T36" s="698"/>
      <c r="U36" s="632"/>
      <c r="V36" s="632"/>
      <c r="W36" s="654"/>
    </row>
    <row r="37" spans="1:23" ht="30">
      <c r="A37" s="1796" t="s">
        <v>33</v>
      </c>
      <c r="B37" s="1771"/>
      <c r="C37" s="371" t="s">
        <v>30</v>
      </c>
      <c r="D37" s="372" t="s">
        <v>170</v>
      </c>
      <c r="E37" s="417" t="s">
        <v>277</v>
      </c>
      <c r="F37" s="1820" t="s">
        <v>628</v>
      </c>
      <c r="G37" s="1771"/>
      <c r="H37" s="1792"/>
      <c r="I37" s="704" t="s">
        <v>277</v>
      </c>
      <c r="J37" s="698">
        <v>1</v>
      </c>
      <c r="K37" s="632"/>
      <c r="L37" s="632">
        <v>30</v>
      </c>
      <c r="M37" s="632">
        <f>121*L37*5</f>
        <v>18150</v>
      </c>
      <c r="N37" s="704" t="s">
        <v>277</v>
      </c>
      <c r="O37" s="698">
        <v>1</v>
      </c>
      <c r="P37" s="632"/>
      <c r="Q37" s="632">
        <v>30</v>
      </c>
      <c r="R37" s="632">
        <f>121*Q37*5</f>
        <v>18150</v>
      </c>
      <c r="S37" s="704" t="s">
        <v>277</v>
      </c>
      <c r="T37" s="698"/>
      <c r="U37" s="632"/>
      <c r="V37" s="632"/>
      <c r="W37" s="654"/>
    </row>
    <row r="38" spans="1:23" ht="30">
      <c r="A38" s="1779"/>
      <c r="B38" s="1772"/>
      <c r="C38" s="373" t="s">
        <v>31</v>
      </c>
      <c r="D38" s="372" t="s">
        <v>169</v>
      </c>
      <c r="E38" s="417" t="s">
        <v>277</v>
      </c>
      <c r="F38" s="2099" t="s">
        <v>629</v>
      </c>
      <c r="G38" s="2100"/>
      <c r="H38" s="2101"/>
      <c r="I38" s="704" t="s">
        <v>277</v>
      </c>
      <c r="J38" s="632"/>
      <c r="K38" s="632"/>
      <c r="L38" s="632"/>
      <c r="M38" s="632"/>
      <c r="N38" s="704" t="s">
        <v>277</v>
      </c>
      <c r="O38" s="698">
        <v>1</v>
      </c>
      <c r="P38" s="632"/>
      <c r="Q38" s="632">
        <v>30</v>
      </c>
      <c r="R38" s="632">
        <f>177*Q38*5</f>
        <v>26550</v>
      </c>
      <c r="S38" s="704" t="s">
        <v>277</v>
      </c>
      <c r="T38" s="698">
        <v>1</v>
      </c>
      <c r="U38" s="632"/>
      <c r="V38" s="632">
        <v>30</v>
      </c>
      <c r="W38" s="654">
        <f>177*V38*5</f>
        <v>26550</v>
      </c>
    </row>
    <row r="39" spans="1:23" ht="30.75" thickBot="1">
      <c r="A39" s="1779"/>
      <c r="B39" s="1772"/>
      <c r="C39" s="374" t="s">
        <v>32</v>
      </c>
      <c r="D39" s="372" t="s">
        <v>250</v>
      </c>
      <c r="E39" s="417" t="s">
        <v>277</v>
      </c>
      <c r="F39" s="2099" t="s">
        <v>630</v>
      </c>
      <c r="G39" s="2100"/>
      <c r="H39" s="2101"/>
      <c r="I39" s="704" t="s">
        <v>277</v>
      </c>
      <c r="J39" s="632"/>
      <c r="K39" s="632"/>
      <c r="L39" s="632"/>
      <c r="M39" s="632"/>
      <c r="N39" s="704" t="s">
        <v>277</v>
      </c>
      <c r="O39" s="698"/>
      <c r="P39" s="632"/>
      <c r="Q39" s="632"/>
      <c r="R39" s="632"/>
      <c r="S39" s="704" t="s">
        <v>277</v>
      </c>
      <c r="T39" s="698">
        <v>1</v>
      </c>
      <c r="U39" s="632"/>
      <c r="V39" s="632">
        <v>30</v>
      </c>
      <c r="W39" s="654">
        <f>233*V39*5</f>
        <v>34950</v>
      </c>
    </row>
    <row r="40" spans="1:23" ht="15.75">
      <c r="A40" s="1786" t="s">
        <v>491</v>
      </c>
      <c r="B40" s="1787"/>
      <c r="C40" s="375" t="s">
        <v>144</v>
      </c>
      <c r="D40" s="376" t="s">
        <v>253</v>
      </c>
      <c r="E40" s="354"/>
      <c r="F40" s="1791" t="s">
        <v>492</v>
      </c>
      <c r="G40" s="1771"/>
      <c r="H40" s="1792"/>
      <c r="I40" s="697"/>
      <c r="J40" s="632"/>
      <c r="K40" s="632"/>
      <c r="L40" s="632"/>
      <c r="M40" s="632"/>
      <c r="N40" s="656"/>
      <c r="O40" s="698"/>
      <c r="P40" s="632"/>
      <c r="Q40" s="632"/>
      <c r="R40" s="632"/>
      <c r="S40" s="656"/>
      <c r="T40" s="698"/>
      <c r="U40" s="632"/>
      <c r="V40" s="632"/>
      <c r="W40" s="654"/>
    </row>
    <row r="41" spans="1:23" ht="16.5" thickBot="1">
      <c r="A41" s="1772"/>
      <c r="B41" s="1788"/>
      <c r="C41" s="377" t="s">
        <v>145</v>
      </c>
      <c r="D41" s="376" t="s">
        <v>254</v>
      </c>
      <c r="E41" s="354"/>
      <c r="F41" s="1780"/>
      <c r="G41" s="1780"/>
      <c r="H41" s="1793"/>
      <c r="I41" s="697"/>
      <c r="J41" s="632"/>
      <c r="K41" s="632"/>
      <c r="L41" s="632"/>
      <c r="M41" s="632"/>
      <c r="N41" s="656"/>
      <c r="O41" s="698"/>
      <c r="P41" s="632"/>
      <c r="Q41" s="632"/>
      <c r="R41" s="632"/>
      <c r="S41" s="656"/>
      <c r="T41" s="698"/>
      <c r="U41" s="632"/>
      <c r="V41" s="632"/>
      <c r="W41" s="654"/>
    </row>
    <row r="42" spans="1:23" ht="48" thickBot="1">
      <c r="A42" s="1789"/>
      <c r="B42" s="1790"/>
      <c r="C42" s="378" t="s">
        <v>128</v>
      </c>
      <c r="D42" s="376" t="s">
        <v>262</v>
      </c>
      <c r="E42" s="354"/>
      <c r="F42" s="1794"/>
      <c r="G42" s="1762"/>
      <c r="H42" s="1764"/>
      <c r="I42" s="697"/>
      <c r="J42" s="632"/>
      <c r="K42" s="632"/>
      <c r="L42" s="632"/>
      <c r="M42" s="632"/>
      <c r="N42" s="656"/>
      <c r="O42" s="698"/>
      <c r="P42" s="632"/>
      <c r="Q42" s="632"/>
      <c r="R42" s="632"/>
      <c r="S42" s="656"/>
      <c r="T42" s="698"/>
      <c r="U42" s="632"/>
      <c r="V42" s="632"/>
      <c r="W42" s="654"/>
    </row>
    <row r="43" spans="1:23" ht="15.75" thickBot="1">
      <c r="A43" s="1775" t="s">
        <v>493</v>
      </c>
      <c r="B43" s="1776"/>
      <c r="C43" s="1777"/>
      <c r="D43" s="379" t="s">
        <v>237</v>
      </c>
      <c r="E43" s="418"/>
      <c r="F43" s="2096" t="s">
        <v>631</v>
      </c>
      <c r="G43" s="2097"/>
      <c r="H43" s="2098"/>
      <c r="I43" s="704"/>
      <c r="J43" s="698"/>
      <c r="K43" s="632"/>
      <c r="L43" s="632"/>
      <c r="M43" s="632"/>
      <c r="N43" s="704"/>
      <c r="O43" s="698"/>
      <c r="P43" s="632"/>
      <c r="Q43" s="632"/>
      <c r="R43" s="632"/>
      <c r="S43" s="704"/>
      <c r="T43" s="698"/>
      <c r="U43" s="632"/>
      <c r="V43" s="632"/>
      <c r="W43" s="654"/>
    </row>
    <row r="44" spans="1:23" ht="15.75" thickBot="1">
      <c r="A44" s="1775" t="s">
        <v>133</v>
      </c>
      <c r="B44" s="1776"/>
      <c r="C44" s="1777"/>
      <c r="D44" s="379" t="s">
        <v>238</v>
      </c>
      <c r="E44" s="418" t="s">
        <v>277</v>
      </c>
      <c r="F44" s="1818" t="s">
        <v>632</v>
      </c>
      <c r="G44" s="1762"/>
      <c r="H44" s="1764"/>
      <c r="I44" s="704" t="s">
        <v>277</v>
      </c>
      <c r="J44" s="698">
        <v>1</v>
      </c>
      <c r="K44" s="632"/>
      <c r="L44" s="632">
        <v>1</v>
      </c>
      <c r="M44" s="632">
        <f>358*L44*5</f>
        <v>1790</v>
      </c>
      <c r="N44" s="704" t="s">
        <v>277</v>
      </c>
      <c r="O44" s="698">
        <v>1</v>
      </c>
      <c r="P44" s="632"/>
      <c r="Q44" s="632">
        <v>1</v>
      </c>
      <c r="R44" s="632">
        <f>358*Q44*5</f>
        <v>1790</v>
      </c>
      <c r="S44" s="704" t="s">
        <v>277</v>
      </c>
      <c r="T44" s="698"/>
      <c r="U44" s="632"/>
      <c r="V44" s="632"/>
      <c r="W44" s="654"/>
    </row>
    <row r="45" spans="1:23">
      <c r="A45" s="1778" t="s">
        <v>41</v>
      </c>
      <c r="B45" s="1772"/>
      <c r="C45" s="380" t="s">
        <v>50</v>
      </c>
      <c r="D45" s="381" t="s">
        <v>246</v>
      </c>
      <c r="E45" s="418"/>
      <c r="F45" s="1781" t="s">
        <v>560</v>
      </c>
      <c r="G45" s="1762"/>
      <c r="H45" s="1764"/>
      <c r="I45" s="697"/>
      <c r="J45" s="632"/>
      <c r="K45" s="632"/>
      <c r="L45" s="632"/>
      <c r="M45" s="632"/>
      <c r="N45" s="656"/>
      <c r="O45" s="698"/>
      <c r="P45" s="632"/>
      <c r="Q45" s="632"/>
      <c r="R45" s="632"/>
      <c r="S45" s="656"/>
      <c r="T45" s="698"/>
      <c r="U45" s="632"/>
      <c r="V45" s="632"/>
      <c r="W45" s="654"/>
    </row>
    <row r="46" spans="1:23" ht="50.25" customHeight="1">
      <c r="A46" s="1779"/>
      <c r="B46" s="1772"/>
      <c r="C46" s="382" t="s">
        <v>51</v>
      </c>
      <c r="D46" s="381" t="s">
        <v>247</v>
      </c>
      <c r="E46" s="418" t="s">
        <v>277</v>
      </c>
      <c r="F46" s="2116" t="s">
        <v>633</v>
      </c>
      <c r="G46" s="2117"/>
      <c r="H46" s="2118"/>
      <c r="I46" s="704" t="s">
        <v>277</v>
      </c>
      <c r="J46" s="698">
        <v>1</v>
      </c>
      <c r="K46" s="632"/>
      <c r="L46" s="632">
        <v>2</v>
      </c>
      <c r="M46" s="632">
        <f>145*L46*5</f>
        <v>1450</v>
      </c>
      <c r="N46" s="704" t="s">
        <v>277</v>
      </c>
      <c r="O46" s="698"/>
      <c r="P46" s="632"/>
      <c r="Q46" s="632"/>
      <c r="R46" s="632"/>
      <c r="S46" s="704" t="s">
        <v>277</v>
      </c>
      <c r="T46" s="698"/>
      <c r="U46" s="632"/>
      <c r="V46" s="632"/>
      <c r="W46" s="654"/>
    </row>
    <row r="47" spans="1:23">
      <c r="A47" s="1779"/>
      <c r="B47" s="1772"/>
      <c r="C47" s="382" t="s">
        <v>39</v>
      </c>
      <c r="D47" s="381" t="s">
        <v>248</v>
      </c>
      <c r="E47" s="418" t="s">
        <v>277</v>
      </c>
      <c r="F47" s="1785" t="s">
        <v>634</v>
      </c>
      <c r="G47" s="1762"/>
      <c r="H47" s="1764"/>
      <c r="I47" s="704" t="s">
        <v>277</v>
      </c>
      <c r="J47" s="632"/>
      <c r="K47" s="632"/>
      <c r="L47" s="632"/>
      <c r="M47" s="632"/>
      <c r="N47" s="704" t="s">
        <v>277</v>
      </c>
      <c r="O47" s="698">
        <v>1</v>
      </c>
      <c r="P47" s="632"/>
      <c r="Q47" s="632">
        <v>2</v>
      </c>
      <c r="R47" s="632">
        <f>200*Q47*5</f>
        <v>2000</v>
      </c>
      <c r="S47" s="704" t="s">
        <v>277</v>
      </c>
      <c r="T47" s="698"/>
      <c r="U47" s="632"/>
      <c r="V47" s="632"/>
      <c r="W47" s="654"/>
    </row>
    <row r="48" spans="1:23" ht="15.75" thickBot="1">
      <c r="A48" s="1767"/>
      <c r="B48" s="1780"/>
      <c r="C48" s="383" t="s">
        <v>40</v>
      </c>
      <c r="D48" s="381" t="s">
        <v>249</v>
      </c>
      <c r="E48" s="418" t="s">
        <v>277</v>
      </c>
      <c r="F48" s="1785" t="s">
        <v>635</v>
      </c>
      <c r="G48" s="1762"/>
      <c r="H48" s="1764"/>
      <c r="I48" s="704" t="s">
        <v>277</v>
      </c>
      <c r="J48" s="632"/>
      <c r="K48" s="632"/>
      <c r="L48" s="632"/>
      <c r="M48" s="632"/>
      <c r="N48" s="704" t="s">
        <v>277</v>
      </c>
      <c r="O48" s="698"/>
      <c r="P48" s="632"/>
      <c r="Q48" s="632"/>
      <c r="R48" s="632"/>
      <c r="S48" s="704" t="s">
        <v>277</v>
      </c>
      <c r="T48" s="698">
        <v>1</v>
      </c>
      <c r="U48" s="632"/>
      <c r="V48" s="632">
        <v>5</v>
      </c>
      <c r="W48" s="654">
        <f>254*V48*5</f>
        <v>6350</v>
      </c>
    </row>
    <row r="49" spans="1:23" ht="15.75">
      <c r="A49" s="1765" t="s">
        <v>130</v>
      </c>
      <c r="B49" s="1766"/>
      <c r="C49" s="375" t="s">
        <v>131</v>
      </c>
      <c r="D49" s="376" t="s">
        <v>255</v>
      </c>
      <c r="E49" s="354"/>
      <c r="F49" s="1769"/>
      <c r="G49" s="1762"/>
      <c r="H49" s="1764"/>
      <c r="I49" s="697"/>
      <c r="J49" s="632"/>
      <c r="K49" s="632"/>
      <c r="L49" s="632"/>
      <c r="M49" s="632"/>
      <c r="N49" s="656"/>
      <c r="O49" s="698"/>
      <c r="P49" s="632"/>
      <c r="Q49" s="632"/>
      <c r="R49" s="632"/>
      <c r="S49" s="656"/>
      <c r="T49" s="632"/>
      <c r="U49" s="632"/>
      <c r="V49" s="632"/>
      <c r="W49" s="654"/>
    </row>
    <row r="50" spans="1:23" ht="48" thickBot="1">
      <c r="A50" s="1767"/>
      <c r="B50" s="1768"/>
      <c r="C50" s="384" t="s">
        <v>132</v>
      </c>
      <c r="D50" s="376" t="s">
        <v>263</v>
      </c>
      <c r="E50" s="354"/>
      <c r="F50" s="1769"/>
      <c r="G50" s="1762"/>
      <c r="H50" s="1764"/>
      <c r="I50" s="697"/>
      <c r="J50" s="632"/>
      <c r="K50" s="632"/>
      <c r="L50" s="632"/>
      <c r="M50" s="632"/>
      <c r="N50" s="656"/>
      <c r="O50" s="698"/>
      <c r="P50" s="632"/>
      <c r="Q50" s="632"/>
      <c r="R50" s="632"/>
      <c r="S50" s="656"/>
      <c r="T50" s="632"/>
      <c r="U50" s="632"/>
      <c r="V50" s="632"/>
      <c r="W50" s="654"/>
    </row>
    <row r="51" spans="1:23">
      <c r="A51" s="1770" t="s">
        <v>42</v>
      </c>
      <c r="B51" s="1771"/>
      <c r="C51" s="385" t="s">
        <v>38</v>
      </c>
      <c r="D51" s="386" t="s">
        <v>239</v>
      </c>
      <c r="E51" s="354"/>
      <c r="F51" s="1763" t="s">
        <v>499</v>
      </c>
      <c r="G51" s="1762"/>
      <c r="H51" s="1764"/>
      <c r="I51" s="656"/>
      <c r="J51" s="632"/>
      <c r="K51" s="632"/>
      <c r="L51" s="632"/>
      <c r="M51" s="632"/>
      <c r="N51" s="656"/>
      <c r="O51" s="632"/>
      <c r="P51" s="632"/>
      <c r="Q51" s="632"/>
      <c r="R51" s="632"/>
      <c r="S51" s="656"/>
      <c r="T51" s="632"/>
      <c r="U51" s="632"/>
      <c r="V51" s="632"/>
      <c r="W51" s="654"/>
    </row>
    <row r="52" spans="1:23">
      <c r="A52" s="1772"/>
      <c r="B52" s="1772"/>
      <c r="C52" s="387" t="s">
        <v>55</v>
      </c>
      <c r="D52" s="386" t="s">
        <v>240</v>
      </c>
      <c r="E52" s="354"/>
      <c r="F52" s="1773"/>
      <c r="G52" s="1762"/>
      <c r="H52" s="1764"/>
      <c r="I52" s="656"/>
      <c r="J52" s="632"/>
      <c r="K52" s="632"/>
      <c r="L52" s="632"/>
      <c r="M52" s="632"/>
      <c r="N52" s="656"/>
      <c r="O52" s="632"/>
      <c r="P52" s="632"/>
      <c r="Q52" s="632"/>
      <c r="R52" s="632"/>
      <c r="S52" s="656"/>
      <c r="T52" s="632"/>
      <c r="U52" s="632"/>
      <c r="V52" s="632"/>
      <c r="W52" s="654"/>
    </row>
    <row r="53" spans="1:23" ht="16.5" thickBot="1">
      <c r="A53" s="1772"/>
      <c r="B53" s="1772"/>
      <c r="C53" s="377" t="s">
        <v>48</v>
      </c>
      <c r="D53" s="388" t="s">
        <v>241</v>
      </c>
      <c r="E53" s="354"/>
      <c r="F53" s="1774"/>
      <c r="G53" s="1762"/>
      <c r="H53" s="1764"/>
      <c r="I53" s="656"/>
      <c r="J53" s="632"/>
      <c r="K53" s="632"/>
      <c r="L53" s="632"/>
      <c r="M53" s="632"/>
      <c r="N53" s="656"/>
      <c r="O53" s="632"/>
      <c r="P53" s="632"/>
      <c r="Q53" s="632"/>
      <c r="R53" s="632"/>
      <c r="S53" s="656"/>
      <c r="T53" s="632"/>
      <c r="U53" s="632"/>
      <c r="V53" s="632"/>
      <c r="W53" s="654"/>
    </row>
    <row r="54" spans="1:23" ht="32.25" thickBot="1">
      <c r="A54" s="1761" t="s">
        <v>500</v>
      </c>
      <c r="B54" s="1762"/>
      <c r="C54" s="389" t="s">
        <v>134</v>
      </c>
      <c r="D54" s="390" t="s">
        <v>269</v>
      </c>
      <c r="E54" s="391"/>
      <c r="F54" s="1763" t="s">
        <v>501</v>
      </c>
      <c r="G54" s="1762"/>
      <c r="H54" s="1764"/>
      <c r="I54" s="659"/>
      <c r="J54" s="658"/>
      <c r="K54" s="658"/>
      <c r="L54" s="658"/>
      <c r="M54" s="658"/>
      <c r="N54" s="659"/>
      <c r="O54" s="658"/>
      <c r="P54" s="658"/>
      <c r="Q54" s="658"/>
      <c r="R54" s="658"/>
      <c r="S54" s="659"/>
      <c r="T54" s="658"/>
      <c r="U54" s="658"/>
      <c r="V54" s="658"/>
      <c r="W54" s="660"/>
    </row>
    <row r="56" spans="1:23">
      <c r="M56">
        <f>SUM(M15:M54)</f>
        <v>97440</v>
      </c>
    </row>
    <row r="58" spans="1:23" ht="60">
      <c r="A58" s="661" t="s">
        <v>948</v>
      </c>
      <c r="B58" s="661" t="s">
        <v>949</v>
      </c>
      <c r="C58" s="661" t="s">
        <v>950</v>
      </c>
      <c r="D58" s="661" t="s">
        <v>951</v>
      </c>
      <c r="E58" s="661" t="s">
        <v>952</v>
      </c>
    </row>
    <row r="59" spans="1:23">
      <c r="A59" s="631" t="s">
        <v>953</v>
      </c>
      <c r="B59" s="695" t="s">
        <v>887</v>
      </c>
      <c r="C59" s="698">
        <v>1</v>
      </c>
      <c r="D59" s="698">
        <v>1</v>
      </c>
      <c r="E59" s="635" t="s">
        <v>1027</v>
      </c>
    </row>
    <row r="60" spans="1:23">
      <c r="A60" s="631" t="s">
        <v>956</v>
      </c>
      <c r="B60" s="698"/>
      <c r="C60" s="632"/>
      <c r="D60" s="632"/>
      <c r="E60" s="633"/>
    </row>
    <row r="61" spans="1:23">
      <c r="A61" s="631" t="s">
        <v>957</v>
      </c>
      <c r="B61" s="698"/>
      <c r="C61" s="632"/>
      <c r="D61" s="632"/>
      <c r="E61" s="633"/>
    </row>
    <row r="62" spans="1:23">
      <c r="A62" s="631" t="s">
        <v>959</v>
      </c>
      <c r="B62" s="695" t="s">
        <v>887</v>
      </c>
      <c r="C62" s="632"/>
      <c r="D62" s="698">
        <v>1</v>
      </c>
      <c r="E62" s="635" t="s">
        <v>1028</v>
      </c>
    </row>
    <row r="63" spans="1:23">
      <c r="A63" s="631" t="s">
        <v>961</v>
      </c>
      <c r="B63" s="695" t="s">
        <v>887</v>
      </c>
      <c r="C63" s="2114">
        <v>5</v>
      </c>
      <c r="D63" s="2114">
        <v>5</v>
      </c>
      <c r="E63" s="633"/>
    </row>
    <row r="64" spans="1:23">
      <c r="A64" s="631" t="s">
        <v>963</v>
      </c>
      <c r="B64" s="695" t="s">
        <v>887</v>
      </c>
      <c r="C64" s="2115"/>
      <c r="D64" s="2115"/>
      <c r="E64" s="633"/>
    </row>
    <row r="65" spans="1:6">
      <c r="A65" s="631" t="s">
        <v>965</v>
      </c>
      <c r="B65" s="695" t="s">
        <v>887</v>
      </c>
      <c r="C65" s="632"/>
      <c r="D65" s="698">
        <v>0.5</v>
      </c>
      <c r="E65" s="635" t="s">
        <v>1029</v>
      </c>
    </row>
    <row r="66" spans="1:6">
      <c r="A66" s="631" t="s">
        <v>967</v>
      </c>
      <c r="B66" s="698"/>
      <c r="C66" s="632"/>
      <c r="D66" s="632"/>
      <c r="E66" s="633"/>
    </row>
    <row r="67" spans="1:6">
      <c r="A67" s="631" t="s">
        <v>969</v>
      </c>
      <c r="B67" s="698"/>
      <c r="C67" s="632"/>
      <c r="D67" s="632"/>
      <c r="E67" s="633"/>
    </row>
    <row r="68" spans="1:6">
      <c r="A68" s="631" t="s">
        <v>971</v>
      </c>
      <c r="B68" s="695" t="s">
        <v>887</v>
      </c>
      <c r="C68" s="698">
        <v>5</v>
      </c>
      <c r="D68" s="698">
        <v>5</v>
      </c>
      <c r="E68" s="633"/>
    </row>
    <row r="69" spans="1:6">
      <c r="A69" s="631" t="s">
        <v>986</v>
      </c>
      <c r="B69" s="698"/>
      <c r="C69" s="632"/>
      <c r="D69" s="632"/>
      <c r="E69" s="633"/>
    </row>
    <row r="70" spans="1:6">
      <c r="A70" s="631"/>
      <c r="B70" s="698"/>
      <c r="C70" s="632"/>
      <c r="D70" s="632"/>
      <c r="E70" s="633"/>
    </row>
    <row r="71" spans="1:6">
      <c r="A71" s="631"/>
      <c r="B71" s="632"/>
      <c r="C71" s="632"/>
      <c r="D71" s="632"/>
      <c r="E71" s="633"/>
    </row>
    <row r="74" spans="1:6">
      <c r="A74" s="1912" t="s">
        <v>1270</v>
      </c>
      <c r="B74" s="1913"/>
      <c r="C74" s="1913"/>
      <c r="D74" s="1913"/>
      <c r="E74" s="1913"/>
      <c r="F74" s="1913"/>
    </row>
    <row r="75" spans="1:6" ht="75">
      <c r="A75" s="1323" t="s">
        <v>1271</v>
      </c>
      <c r="B75" s="1323" t="s">
        <v>1272</v>
      </c>
      <c r="C75" s="1323" t="s">
        <v>1273</v>
      </c>
      <c r="D75" s="1323" t="s">
        <v>1274</v>
      </c>
      <c r="E75" s="1323" t="s">
        <v>1275</v>
      </c>
      <c r="F75" s="1323" t="s">
        <v>1276</v>
      </c>
    </row>
    <row r="76" spans="1:6">
      <c r="A76" s="1322"/>
      <c r="B76" s="1322"/>
      <c r="C76" s="1322"/>
      <c r="D76" s="1322"/>
      <c r="E76" s="1322"/>
      <c r="F76" s="1322"/>
    </row>
    <row r="77" spans="1:6">
      <c r="A77" s="1322"/>
      <c r="B77" s="1322"/>
      <c r="C77" s="1322"/>
      <c r="D77" s="1322"/>
      <c r="E77" s="1322"/>
      <c r="F77" s="1322"/>
    </row>
    <row r="78" spans="1:6">
      <c r="A78" s="1322"/>
      <c r="B78" s="1322"/>
      <c r="C78" s="1322"/>
      <c r="D78" s="1322"/>
      <c r="E78" s="1322"/>
      <c r="F78" s="1322"/>
    </row>
    <row r="79" spans="1:6">
      <c r="A79" s="1322"/>
      <c r="B79" s="1322"/>
      <c r="C79" s="1322"/>
      <c r="D79" s="1322"/>
      <c r="E79" s="1322"/>
      <c r="F79" s="1322"/>
    </row>
    <row r="80" spans="1:6">
      <c r="A80" s="2105" t="s">
        <v>1380</v>
      </c>
      <c r="B80" s="2106"/>
      <c r="C80" s="2106"/>
      <c r="D80" s="2106"/>
      <c r="E80" s="2106"/>
      <c r="F80" s="2107"/>
    </row>
    <row r="81" spans="1:6">
      <c r="A81" s="2108"/>
      <c r="B81" s="2109"/>
      <c r="C81" s="2109"/>
      <c r="D81" s="2109"/>
      <c r="E81" s="2109"/>
      <c r="F81" s="2110"/>
    </row>
    <row r="82" spans="1:6">
      <c r="A82" s="2108"/>
      <c r="B82" s="2109"/>
      <c r="C82" s="2109"/>
      <c r="D82" s="2109"/>
      <c r="E82" s="2109"/>
      <c r="F82" s="2110"/>
    </row>
    <row r="83" spans="1:6">
      <c r="A83" s="2108"/>
      <c r="B83" s="2109"/>
      <c r="C83" s="2109"/>
      <c r="D83" s="2109"/>
      <c r="E83" s="2109"/>
      <c r="F83" s="2110"/>
    </row>
    <row r="84" spans="1:6">
      <c r="A84" s="2111"/>
      <c r="B84" s="2112"/>
      <c r="C84" s="2112"/>
      <c r="D84" s="2112"/>
      <c r="E84" s="2112"/>
      <c r="F84" s="2113"/>
    </row>
  </sheetData>
  <mergeCells count="63">
    <mergeCell ref="A74:F74"/>
    <mergeCell ref="A80:F84"/>
    <mergeCell ref="I13:M13"/>
    <mergeCell ref="N13:R13"/>
    <mergeCell ref="S13:W13"/>
    <mergeCell ref="C63:C64"/>
    <mergeCell ref="D63:D64"/>
    <mergeCell ref="E12:H13"/>
    <mergeCell ref="A44:C44"/>
    <mergeCell ref="F44:H44"/>
    <mergeCell ref="A45:B48"/>
    <mergeCell ref="F45:H45"/>
    <mergeCell ref="F46:H46"/>
    <mergeCell ref="F47:H47"/>
    <mergeCell ref="F48:H48"/>
    <mergeCell ref="A54:B54"/>
    <mergeCell ref="F54:H54"/>
    <mergeCell ref="A49:B50"/>
    <mergeCell ref="J10:J11"/>
    <mergeCell ref="B2:D2"/>
    <mergeCell ref="B3:D3"/>
    <mergeCell ref="B8:D8"/>
    <mergeCell ref="B4:D4"/>
    <mergeCell ref="B6:D6"/>
    <mergeCell ref="A10:B10"/>
    <mergeCell ref="C10:H10"/>
    <mergeCell ref="A14:B14"/>
    <mergeCell ref="F14:H14"/>
    <mergeCell ref="A15:B17"/>
    <mergeCell ref="F15:H17"/>
    <mergeCell ref="A18:B20"/>
    <mergeCell ref="F18:H20"/>
    <mergeCell ref="A21:B22"/>
    <mergeCell ref="F21:H22"/>
    <mergeCell ref="A23:B25"/>
    <mergeCell ref="F23:H25"/>
    <mergeCell ref="A26:C26"/>
    <mergeCell ref="F26:H26"/>
    <mergeCell ref="A27:B29"/>
    <mergeCell ref="F27:H29"/>
    <mergeCell ref="A30:B32"/>
    <mergeCell ref="F30:H32"/>
    <mergeCell ref="A33:B33"/>
    <mergeCell ref="F33:H33"/>
    <mergeCell ref="A34:B34"/>
    <mergeCell ref="F34:H34"/>
    <mergeCell ref="A35:B36"/>
    <mergeCell ref="F35:H36"/>
    <mergeCell ref="A37:B39"/>
    <mergeCell ref="F37:H37"/>
    <mergeCell ref="F38:H38"/>
    <mergeCell ref="F39:H39"/>
    <mergeCell ref="A40:B42"/>
    <mergeCell ref="F40:H41"/>
    <mergeCell ref="F42:H42"/>
    <mergeCell ref="A43:C43"/>
    <mergeCell ref="F43:H43"/>
    <mergeCell ref="F49:H49"/>
    <mergeCell ref="F50:H50"/>
    <mergeCell ref="A51:B53"/>
    <mergeCell ref="F51:H51"/>
    <mergeCell ref="F52:H52"/>
    <mergeCell ref="F53:H53"/>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3" location="SOMMAIRE!A1" display="Retour sommaire"/>
    <hyperlink ref="J5" location="SYNTHESE!A1" display="Retour synthèse"/>
  </hyperlink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W128"/>
  <sheetViews>
    <sheetView topLeftCell="A40" zoomScale="110" zoomScaleNormal="110" workbookViewId="0">
      <selection activeCell="F58" sqref="F58"/>
    </sheetView>
  </sheetViews>
  <sheetFormatPr baseColWidth="10" defaultRowHeight="15"/>
  <cols>
    <col min="1" max="1" width="20.42578125" style="1" bestFit="1" customWidth="1"/>
    <col min="2" max="2" width="16.5703125" style="1" customWidth="1"/>
    <col min="3" max="3" width="40" style="1" customWidth="1"/>
    <col min="4" max="4" width="8" style="1" customWidth="1"/>
    <col min="5" max="5" width="14.7109375" style="1" customWidth="1"/>
    <col min="6" max="6" width="16.28515625" style="1" bestFit="1" customWidth="1"/>
    <col min="7" max="7" width="17.5703125" style="1" customWidth="1"/>
    <col min="8" max="8" width="23.140625" style="2" bestFit="1" customWidth="1"/>
    <col min="10" max="10" width="18.140625" bestFit="1" customWidth="1"/>
  </cols>
  <sheetData>
    <row r="1" spans="1:23" ht="15.75" thickBot="1">
      <c r="A1"/>
      <c r="B1"/>
      <c r="C1"/>
      <c r="D1"/>
      <c r="E1"/>
      <c r="F1"/>
      <c r="G1"/>
      <c r="H1"/>
    </row>
    <row r="2" spans="1:23" ht="15.75" thickBot="1">
      <c r="A2" s="328" t="s">
        <v>0</v>
      </c>
      <c r="B2" s="2029" t="s">
        <v>636</v>
      </c>
      <c r="C2" s="1880"/>
      <c r="D2" s="1881"/>
      <c r="E2" s="329"/>
      <c r="F2" s="329"/>
      <c r="G2" s="330" t="s">
        <v>462</v>
      </c>
      <c r="H2" s="112" t="s">
        <v>53</v>
      </c>
    </row>
    <row r="3" spans="1:23" ht="15.75" thickBot="1">
      <c r="A3" s="331" t="s">
        <v>344</v>
      </c>
      <c r="B3" s="2029" t="s">
        <v>637</v>
      </c>
      <c r="C3" s="1880"/>
      <c r="D3" s="1881"/>
      <c r="E3" s="329"/>
      <c r="F3" s="329"/>
      <c r="G3" s="332" t="s">
        <v>10</v>
      </c>
      <c r="H3" s="112" t="s">
        <v>16</v>
      </c>
      <c r="J3" s="13" t="s">
        <v>73</v>
      </c>
    </row>
    <row r="4" spans="1:23" ht="15.75" thickBot="1">
      <c r="A4" s="332" t="s">
        <v>3</v>
      </c>
      <c r="B4" s="1823" t="s">
        <v>638</v>
      </c>
      <c r="C4" s="1776"/>
      <c r="D4" s="1777"/>
      <c r="E4" s="333"/>
      <c r="F4" s="329"/>
      <c r="G4" s="334" t="s">
        <v>26</v>
      </c>
      <c r="H4" s="112">
        <v>10</v>
      </c>
      <c r="J4" s="70"/>
    </row>
    <row r="5" spans="1:23" ht="15.75" customHeight="1" thickBot="1">
      <c r="A5" s="329"/>
      <c r="B5" s="329"/>
      <c r="C5" s="329"/>
      <c r="D5" s="329"/>
      <c r="E5" s="329"/>
      <c r="F5" s="329"/>
      <c r="G5" s="329"/>
      <c r="H5" s="329"/>
      <c r="J5" s="13" t="s">
        <v>381</v>
      </c>
    </row>
    <row r="6" spans="1:23" ht="199.5" customHeight="1" thickBot="1">
      <c r="A6" s="328" t="s">
        <v>465</v>
      </c>
      <c r="B6" s="2124" t="s">
        <v>1577</v>
      </c>
      <c r="C6" s="1805"/>
      <c r="D6" s="1805"/>
      <c r="E6" s="1805"/>
      <c r="F6" s="329"/>
      <c r="G6" s="335" t="s">
        <v>466</v>
      </c>
      <c r="H6" s="419" t="s">
        <v>639</v>
      </c>
    </row>
    <row r="7" spans="1:23" ht="15.75" thickBot="1">
      <c r="A7"/>
      <c r="B7" s="329"/>
      <c r="C7" s="329"/>
      <c r="D7" s="329"/>
      <c r="E7" s="329"/>
      <c r="F7" s="329"/>
      <c r="G7" s="337"/>
      <c r="H7" s="329"/>
    </row>
    <row r="8" spans="1:23" ht="30.75" thickBot="1">
      <c r="A8" s="338" t="s">
        <v>7</v>
      </c>
      <c r="B8" s="1823" t="s">
        <v>640</v>
      </c>
      <c r="C8" s="1776"/>
      <c r="D8" s="1777"/>
      <c r="E8" s="333"/>
      <c r="F8" s="339"/>
      <c r="G8" s="338" t="s">
        <v>469</v>
      </c>
      <c r="H8" s="123" t="s">
        <v>470</v>
      </c>
    </row>
    <row r="9" spans="1:23">
      <c r="A9"/>
      <c r="B9" s="329"/>
      <c r="C9" s="329"/>
      <c r="D9" s="329"/>
      <c r="E9" s="329"/>
      <c r="F9" s="329"/>
      <c r="G9" s="337"/>
      <c r="H9" s="329"/>
    </row>
    <row r="10" spans="1:23" ht="66" customHeight="1">
      <c r="A10" s="1813" t="s">
        <v>471</v>
      </c>
      <c r="B10" s="1772"/>
      <c r="C10" s="1805" t="s">
        <v>641</v>
      </c>
      <c r="D10" s="1805"/>
      <c r="E10" s="1805"/>
      <c r="F10" s="1805"/>
      <c r="G10" s="1805"/>
      <c r="H10" s="1805"/>
      <c r="J10" s="1821"/>
    </row>
    <row r="11" spans="1:23">
      <c r="A11" s="343"/>
      <c r="B11" s="333"/>
      <c r="C11" s="333"/>
      <c r="D11" s="333"/>
      <c r="E11" s="333"/>
      <c r="F11" s="339"/>
      <c r="G11" s="342"/>
      <c r="H11" s="342"/>
      <c r="J11" s="1821"/>
    </row>
    <row r="12" spans="1:23">
      <c r="A12" s="343"/>
      <c r="B12" s="333"/>
      <c r="C12" s="333"/>
      <c r="D12" s="333"/>
      <c r="E12" s="1814" t="s">
        <v>473</v>
      </c>
      <c r="F12" s="1772"/>
      <c r="G12" s="1772"/>
      <c r="H12" s="1772"/>
    </row>
    <row r="13" spans="1:23" ht="15" customHeight="1">
      <c r="A13" s="329"/>
      <c r="B13" s="329"/>
      <c r="C13" s="329"/>
      <c r="D13" s="329"/>
      <c r="E13" s="1780"/>
      <c r="F13" s="1780"/>
      <c r="G13" s="1780"/>
      <c r="H13" s="1780"/>
      <c r="I13" s="1817">
        <v>2025</v>
      </c>
      <c r="J13" s="1762"/>
      <c r="K13" s="1762"/>
      <c r="L13" s="1762"/>
      <c r="M13" s="1764"/>
      <c r="N13" s="1817">
        <v>2026</v>
      </c>
      <c r="O13" s="1762"/>
      <c r="P13" s="1762"/>
      <c r="Q13" s="1762"/>
      <c r="R13" s="1764"/>
      <c r="S13" s="1817">
        <v>2027</v>
      </c>
      <c r="T13" s="1762"/>
      <c r="U13" s="1762"/>
      <c r="V13" s="1762"/>
      <c r="W13" s="1764"/>
    </row>
    <row r="14" spans="1:23" ht="15" customHeight="1" thickBot="1">
      <c r="A14" s="1816" t="s">
        <v>5</v>
      </c>
      <c r="B14" s="1792"/>
      <c r="C14" s="344" t="s">
        <v>1</v>
      </c>
      <c r="D14" s="344" t="s">
        <v>260</v>
      </c>
      <c r="E14" s="345" t="s">
        <v>474</v>
      </c>
      <c r="F14" s="1815" t="s">
        <v>6</v>
      </c>
      <c r="G14" s="1762"/>
      <c r="H14" s="1764"/>
      <c r="I14" s="643" t="s">
        <v>474</v>
      </c>
      <c r="J14" s="644" t="s">
        <v>944</v>
      </c>
      <c r="K14" s="645" t="s">
        <v>945</v>
      </c>
      <c r="L14" s="644" t="s">
        <v>946</v>
      </c>
      <c r="M14" s="646" t="s">
        <v>947</v>
      </c>
      <c r="N14" s="643" t="s">
        <v>474</v>
      </c>
      <c r="O14" s="644" t="s">
        <v>944</v>
      </c>
      <c r="P14" s="645" t="s">
        <v>945</v>
      </c>
      <c r="Q14" s="644" t="s">
        <v>946</v>
      </c>
      <c r="R14" s="646" t="s">
        <v>947</v>
      </c>
      <c r="S14" s="643" t="s">
        <v>474</v>
      </c>
      <c r="T14" s="644" t="s">
        <v>944</v>
      </c>
      <c r="U14" s="645" t="s">
        <v>945</v>
      </c>
      <c r="V14" s="644" t="s">
        <v>946</v>
      </c>
      <c r="W14" s="646" t="s">
        <v>947</v>
      </c>
    </row>
    <row r="15" spans="1:23">
      <c r="A15" s="1804" t="s">
        <v>17</v>
      </c>
      <c r="B15" s="1771"/>
      <c r="C15" s="346" t="s">
        <v>59</v>
      </c>
      <c r="D15" s="347" t="s">
        <v>251</v>
      </c>
      <c r="E15" s="348"/>
      <c r="F15" s="1791" t="s">
        <v>642</v>
      </c>
      <c r="G15" s="1771"/>
      <c r="H15" s="1792"/>
      <c r="I15" s="650"/>
      <c r="J15" s="705"/>
      <c r="K15" s="648"/>
      <c r="L15" s="648"/>
      <c r="M15" s="649"/>
      <c r="N15" s="650"/>
      <c r="O15" s="648"/>
      <c r="P15" s="648"/>
      <c r="Q15" s="648"/>
      <c r="R15" s="649"/>
      <c r="S15" s="650"/>
      <c r="T15" s="648"/>
      <c r="U15" s="648"/>
      <c r="V15" s="648"/>
      <c r="W15" s="651"/>
    </row>
    <row r="16" spans="1:23" ht="30" customHeight="1">
      <c r="A16" s="1772"/>
      <c r="B16" s="1772"/>
      <c r="C16" s="349" t="s">
        <v>18</v>
      </c>
      <c r="D16" s="350" t="s">
        <v>168</v>
      </c>
      <c r="E16" s="351"/>
      <c r="F16" s="1845"/>
      <c r="G16" s="1845"/>
      <c r="H16" s="1799"/>
      <c r="I16" s="653"/>
      <c r="J16" s="706"/>
      <c r="K16" s="632"/>
      <c r="L16" s="632"/>
      <c r="M16" s="632"/>
      <c r="N16" s="653"/>
      <c r="O16" s="632"/>
      <c r="P16" s="632"/>
      <c r="Q16" s="632"/>
      <c r="R16" s="632"/>
      <c r="S16" s="653"/>
      <c r="T16" s="632"/>
      <c r="U16" s="632"/>
      <c r="V16" s="632"/>
      <c r="W16" s="654"/>
    </row>
    <row r="17" spans="1:23" ht="15" customHeight="1" thickBot="1">
      <c r="A17" s="1780"/>
      <c r="B17" s="1780"/>
      <c r="C17" s="352" t="s">
        <v>19</v>
      </c>
      <c r="D17" s="353" t="s">
        <v>233</v>
      </c>
      <c r="E17" s="354"/>
      <c r="F17" s="1780"/>
      <c r="G17" s="1780"/>
      <c r="H17" s="1793"/>
      <c r="I17" s="656"/>
      <c r="J17" s="706"/>
      <c r="K17" s="632"/>
      <c r="L17" s="632"/>
      <c r="M17" s="632"/>
      <c r="N17" s="656"/>
      <c r="O17" s="632"/>
      <c r="P17" s="632"/>
      <c r="Q17" s="632"/>
      <c r="R17" s="632"/>
      <c r="S17" s="656"/>
      <c r="T17" s="632"/>
      <c r="U17" s="632"/>
      <c r="V17" s="632"/>
      <c r="W17" s="654"/>
    </row>
    <row r="18" spans="1:23" ht="30" customHeight="1">
      <c r="A18" s="1804" t="s">
        <v>20</v>
      </c>
      <c r="B18" s="1771"/>
      <c r="C18" s="346" t="s">
        <v>54</v>
      </c>
      <c r="D18" s="353" t="s">
        <v>261</v>
      </c>
      <c r="E18" s="420"/>
      <c r="F18" s="1828" t="s">
        <v>643</v>
      </c>
      <c r="G18" s="1771"/>
      <c r="H18" s="1792"/>
      <c r="I18" s="656"/>
      <c r="J18" s="706"/>
      <c r="K18" s="632"/>
      <c r="L18" s="632"/>
      <c r="M18" s="632"/>
      <c r="N18" s="656"/>
      <c r="O18" s="632"/>
      <c r="P18" s="632"/>
      <c r="Q18" s="632"/>
      <c r="R18" s="632"/>
      <c r="S18" s="656"/>
      <c r="T18" s="632"/>
      <c r="U18" s="632"/>
      <c r="V18" s="632"/>
      <c r="W18" s="654"/>
    </row>
    <row r="19" spans="1:23" ht="30" customHeight="1">
      <c r="A19" s="1772"/>
      <c r="B19" s="1772"/>
      <c r="C19" s="355" t="s">
        <v>21</v>
      </c>
      <c r="D19" s="353" t="s">
        <v>234</v>
      </c>
      <c r="E19" s="421" t="s">
        <v>277</v>
      </c>
      <c r="F19" s="1845"/>
      <c r="G19" s="1845"/>
      <c r="H19" s="1799"/>
      <c r="I19" s="704" t="s">
        <v>277</v>
      </c>
      <c r="J19" s="706">
        <v>1</v>
      </c>
      <c r="K19" s="632">
        <v>0</v>
      </c>
      <c r="L19" s="632">
        <v>30</v>
      </c>
      <c r="M19" s="632">
        <v>50000</v>
      </c>
      <c r="N19" s="704" t="s">
        <v>277</v>
      </c>
      <c r="O19" s="706">
        <v>1</v>
      </c>
      <c r="P19" s="632">
        <v>0</v>
      </c>
      <c r="Q19" s="632">
        <v>30</v>
      </c>
      <c r="R19" s="632">
        <v>50000</v>
      </c>
      <c r="S19" s="704" t="s">
        <v>277</v>
      </c>
      <c r="T19" s="706">
        <v>1</v>
      </c>
      <c r="U19" s="632">
        <v>0</v>
      </c>
      <c r="V19" s="632">
        <v>30</v>
      </c>
      <c r="W19" s="632">
        <v>50000</v>
      </c>
    </row>
    <row r="20" spans="1:23" ht="30" customHeight="1" thickBot="1">
      <c r="A20" s="1772"/>
      <c r="B20" s="1772"/>
      <c r="C20" s="352" t="s">
        <v>22</v>
      </c>
      <c r="D20" s="353" t="s">
        <v>235</v>
      </c>
      <c r="E20" s="421" t="s">
        <v>277</v>
      </c>
      <c r="F20" s="1780"/>
      <c r="G20" s="1780"/>
      <c r="H20" s="1793"/>
      <c r="I20" s="704" t="s">
        <v>277</v>
      </c>
      <c r="J20" s="706">
        <v>3</v>
      </c>
      <c r="K20" s="632">
        <v>2</v>
      </c>
      <c r="L20" s="632">
        <v>262</v>
      </c>
      <c r="M20" s="632">
        <v>400000</v>
      </c>
      <c r="N20" s="704" t="s">
        <v>277</v>
      </c>
      <c r="O20" s="706">
        <v>3</v>
      </c>
      <c r="P20" s="632">
        <v>2</v>
      </c>
      <c r="Q20" s="632">
        <v>262</v>
      </c>
      <c r="R20" s="632">
        <v>400000</v>
      </c>
      <c r="S20" s="704" t="s">
        <v>277</v>
      </c>
      <c r="T20" s="706">
        <v>3</v>
      </c>
      <c r="U20" s="632">
        <v>2</v>
      </c>
      <c r="V20" s="632">
        <v>262</v>
      </c>
      <c r="W20" s="632">
        <v>400000</v>
      </c>
    </row>
    <row r="21" spans="1:23" ht="66.75" customHeight="1">
      <c r="A21" s="1804" t="s">
        <v>23</v>
      </c>
      <c r="B21" s="1771"/>
      <c r="C21" s="356" t="s">
        <v>69</v>
      </c>
      <c r="D21" s="353" t="s">
        <v>267</v>
      </c>
      <c r="E21" s="420"/>
      <c r="F21" s="1828" t="s">
        <v>477</v>
      </c>
      <c r="G21" s="1771"/>
      <c r="H21" s="1792"/>
      <c r="I21" s="656"/>
      <c r="J21" s="706"/>
      <c r="K21" s="632"/>
      <c r="L21" s="632"/>
      <c r="M21" s="632"/>
      <c r="N21" s="656"/>
      <c r="O21" s="706"/>
      <c r="P21" s="632"/>
      <c r="Q21" s="632"/>
      <c r="R21" s="632"/>
      <c r="S21" s="656"/>
      <c r="T21" s="706"/>
      <c r="U21" s="632"/>
      <c r="V21" s="632"/>
      <c r="W21" s="632"/>
    </row>
    <row r="22" spans="1:23" ht="15" customHeight="1" thickBot="1">
      <c r="A22" s="1780"/>
      <c r="B22" s="1780"/>
      <c r="C22" s="357" t="s">
        <v>24</v>
      </c>
      <c r="D22" s="358" t="s">
        <v>236</v>
      </c>
      <c r="E22" s="420"/>
      <c r="F22" s="1780"/>
      <c r="G22" s="1780"/>
      <c r="H22" s="1793"/>
      <c r="I22" s="656"/>
      <c r="J22" s="706"/>
      <c r="K22" s="632"/>
      <c r="L22" s="632"/>
      <c r="M22" s="632"/>
      <c r="N22" s="656"/>
      <c r="O22" s="706"/>
      <c r="P22" s="632"/>
      <c r="Q22" s="632"/>
      <c r="R22" s="632"/>
      <c r="S22" s="656"/>
      <c r="T22" s="706"/>
      <c r="U22" s="632"/>
      <c r="V22" s="632"/>
      <c r="W22" s="632"/>
    </row>
    <row r="23" spans="1:23" ht="22.5" customHeight="1">
      <c r="A23" s="1801" t="s">
        <v>478</v>
      </c>
      <c r="B23" s="1792"/>
      <c r="C23" s="359" t="s">
        <v>360</v>
      </c>
      <c r="D23" s="358" t="s">
        <v>265</v>
      </c>
      <c r="E23" s="420"/>
      <c r="F23" s="1791" t="s">
        <v>477</v>
      </c>
      <c r="G23" s="1771"/>
      <c r="H23" s="1792"/>
      <c r="I23" s="656"/>
      <c r="J23" s="706"/>
      <c r="K23" s="632"/>
      <c r="L23" s="632"/>
      <c r="M23" s="632"/>
      <c r="N23" s="656"/>
      <c r="O23" s="706"/>
      <c r="P23" s="632"/>
      <c r="Q23" s="632"/>
      <c r="R23" s="632"/>
      <c r="S23" s="656"/>
      <c r="T23" s="706"/>
      <c r="U23" s="632"/>
      <c r="V23" s="632"/>
      <c r="W23" s="632"/>
    </row>
    <row r="24" spans="1:23" ht="15" customHeight="1">
      <c r="A24" s="1779"/>
      <c r="B24" s="1799"/>
      <c r="C24" s="360" t="s">
        <v>361</v>
      </c>
      <c r="D24" s="358" t="s">
        <v>362</v>
      </c>
      <c r="E24" s="420"/>
      <c r="F24" s="1845"/>
      <c r="G24" s="1845"/>
      <c r="H24" s="1799"/>
      <c r="I24" s="656"/>
      <c r="J24" s="706"/>
      <c r="K24" s="632"/>
      <c r="L24" s="632"/>
      <c r="M24" s="632"/>
      <c r="N24" s="656"/>
      <c r="O24" s="706"/>
      <c r="P24" s="632"/>
      <c r="Q24" s="632"/>
      <c r="R24" s="632"/>
      <c r="S24" s="656"/>
      <c r="T24" s="706"/>
      <c r="U24" s="632"/>
      <c r="V24" s="632"/>
      <c r="W24" s="632"/>
    </row>
    <row r="25" spans="1:23" ht="15" customHeight="1" thickBot="1">
      <c r="A25" s="1779"/>
      <c r="B25" s="1799"/>
      <c r="C25" s="361" t="s">
        <v>479</v>
      </c>
      <c r="D25" s="358" t="s">
        <v>480</v>
      </c>
      <c r="E25" s="420"/>
      <c r="F25" s="1780"/>
      <c r="G25" s="1780"/>
      <c r="H25" s="1793"/>
      <c r="I25" s="656"/>
      <c r="J25" s="706"/>
      <c r="K25" s="632"/>
      <c r="L25" s="632"/>
      <c r="M25" s="632"/>
      <c r="N25" s="656"/>
      <c r="O25" s="706"/>
      <c r="P25" s="632"/>
      <c r="Q25" s="632"/>
      <c r="R25" s="632"/>
      <c r="S25" s="656"/>
      <c r="T25" s="706"/>
      <c r="U25" s="632"/>
      <c r="V25" s="632"/>
      <c r="W25" s="632"/>
    </row>
    <row r="26" spans="1:23" ht="15" customHeight="1" thickBot="1">
      <c r="A26" s="1802" t="s">
        <v>25</v>
      </c>
      <c r="B26" s="1776"/>
      <c r="C26" s="1777"/>
      <c r="D26" s="362" t="s">
        <v>270</v>
      </c>
      <c r="E26" s="420"/>
      <c r="F26" s="2096" t="s">
        <v>481</v>
      </c>
      <c r="G26" s="2097"/>
      <c r="H26" s="2098"/>
      <c r="I26" s="656"/>
      <c r="J26" s="706"/>
      <c r="K26" s="632"/>
      <c r="L26" s="632"/>
      <c r="M26" s="632"/>
      <c r="N26" s="656"/>
      <c r="O26" s="706"/>
      <c r="P26" s="632"/>
      <c r="Q26" s="632"/>
      <c r="R26" s="632"/>
      <c r="S26" s="656"/>
      <c r="T26" s="706"/>
      <c r="U26" s="632"/>
      <c r="V26" s="632"/>
      <c r="W26" s="632"/>
    </row>
    <row r="27" spans="1:23" ht="15.75">
      <c r="A27" s="1803" t="s">
        <v>153</v>
      </c>
      <c r="B27" s="1788"/>
      <c r="C27" s="363" t="s">
        <v>152</v>
      </c>
      <c r="D27" s="364" t="s">
        <v>268</v>
      </c>
      <c r="E27" s="420"/>
      <c r="F27" s="1791" t="s">
        <v>475</v>
      </c>
      <c r="G27" s="1771"/>
      <c r="H27" s="1792"/>
      <c r="I27" s="656"/>
      <c r="J27" s="706"/>
      <c r="K27" s="632"/>
      <c r="L27" s="632"/>
      <c r="M27" s="632"/>
      <c r="N27" s="656"/>
      <c r="O27" s="706"/>
      <c r="P27" s="632"/>
      <c r="Q27" s="632"/>
      <c r="R27" s="632"/>
      <c r="S27" s="656"/>
      <c r="T27" s="706"/>
      <c r="U27" s="632"/>
      <c r="V27" s="632"/>
      <c r="W27" s="632"/>
    </row>
    <row r="28" spans="1:23" ht="15.75">
      <c r="A28" s="1779"/>
      <c r="B28" s="1788"/>
      <c r="C28" s="365" t="s">
        <v>154</v>
      </c>
      <c r="D28" s="364" t="s">
        <v>392</v>
      </c>
      <c r="E28" s="420"/>
      <c r="F28" s="1845"/>
      <c r="G28" s="1845"/>
      <c r="H28" s="1799"/>
      <c r="I28" s="656"/>
      <c r="J28" s="706"/>
      <c r="K28" s="632"/>
      <c r="L28" s="632"/>
      <c r="M28" s="632"/>
      <c r="N28" s="656"/>
      <c r="O28" s="706"/>
      <c r="P28" s="632"/>
      <c r="Q28" s="632"/>
      <c r="R28" s="632"/>
      <c r="S28" s="656"/>
      <c r="T28" s="706"/>
      <c r="U28" s="632"/>
      <c r="V28" s="632"/>
      <c r="W28" s="632"/>
    </row>
    <row r="29" spans="1:23" ht="16.5" thickBot="1">
      <c r="A29" s="1767"/>
      <c r="B29" s="1768"/>
      <c r="C29" s="366" t="s">
        <v>400</v>
      </c>
      <c r="D29" s="364" t="s">
        <v>393</v>
      </c>
      <c r="E29" s="420"/>
      <c r="F29" s="1780"/>
      <c r="G29" s="1780"/>
      <c r="H29" s="1793"/>
      <c r="I29" s="656"/>
      <c r="J29" s="706"/>
      <c r="K29" s="632"/>
      <c r="L29" s="632"/>
      <c r="M29" s="632"/>
      <c r="N29" s="656"/>
      <c r="O29" s="706"/>
      <c r="P29" s="632"/>
      <c r="Q29" s="632"/>
      <c r="R29" s="632"/>
      <c r="S29" s="656"/>
      <c r="T29" s="706"/>
      <c r="U29" s="632"/>
      <c r="V29" s="632"/>
      <c r="W29" s="632"/>
    </row>
    <row r="30" spans="1:23" ht="15.75">
      <c r="A30" s="1797" t="s">
        <v>153</v>
      </c>
      <c r="B30" s="1766"/>
      <c r="C30" s="367" t="s">
        <v>155</v>
      </c>
      <c r="D30" s="364" t="s">
        <v>266</v>
      </c>
      <c r="E30" s="420"/>
      <c r="F30" s="1791" t="s">
        <v>475</v>
      </c>
      <c r="G30" s="1771"/>
      <c r="H30" s="1792"/>
      <c r="I30" s="656"/>
      <c r="J30" s="706"/>
      <c r="K30" s="632"/>
      <c r="L30" s="632"/>
      <c r="M30" s="632"/>
      <c r="N30" s="656"/>
      <c r="O30" s="706"/>
      <c r="P30" s="632"/>
      <c r="Q30" s="632"/>
      <c r="R30" s="632"/>
      <c r="S30" s="656"/>
      <c r="T30" s="706"/>
      <c r="U30" s="632"/>
      <c r="V30" s="632"/>
      <c r="W30" s="632"/>
    </row>
    <row r="31" spans="1:23" ht="15.75">
      <c r="A31" s="1779"/>
      <c r="B31" s="1788"/>
      <c r="C31" s="365" t="s">
        <v>156</v>
      </c>
      <c r="D31" s="364" t="s">
        <v>394</v>
      </c>
      <c r="E31" s="420"/>
      <c r="F31" s="1845"/>
      <c r="G31" s="1845"/>
      <c r="H31" s="1799"/>
      <c r="I31" s="656"/>
      <c r="J31" s="706"/>
      <c r="K31" s="632"/>
      <c r="L31" s="632"/>
      <c r="M31" s="632"/>
      <c r="N31" s="656"/>
      <c r="O31" s="706"/>
      <c r="P31" s="632"/>
      <c r="Q31" s="632"/>
      <c r="R31" s="632"/>
      <c r="S31" s="656"/>
      <c r="T31" s="706"/>
      <c r="U31" s="632"/>
      <c r="V31" s="632"/>
      <c r="W31" s="632"/>
    </row>
    <row r="32" spans="1:23" ht="16.5" thickBot="1">
      <c r="A32" s="1767"/>
      <c r="B32" s="1768"/>
      <c r="C32" s="366" t="s">
        <v>399</v>
      </c>
      <c r="D32" s="364" t="s">
        <v>395</v>
      </c>
      <c r="E32" s="420"/>
      <c r="F32" s="1780"/>
      <c r="G32" s="1780"/>
      <c r="H32" s="1793"/>
      <c r="I32" s="656"/>
      <c r="J32" s="706"/>
      <c r="K32" s="632"/>
      <c r="L32" s="632"/>
      <c r="M32" s="632"/>
      <c r="N32" s="656"/>
      <c r="O32" s="706"/>
      <c r="P32" s="632"/>
      <c r="Q32" s="632"/>
      <c r="R32" s="632"/>
      <c r="S32" s="656"/>
      <c r="T32" s="706"/>
      <c r="U32" s="632"/>
      <c r="V32" s="632"/>
      <c r="W32" s="632"/>
    </row>
    <row r="33" spans="1:23" ht="16.5" thickBot="1">
      <c r="A33" s="1797" t="s">
        <v>482</v>
      </c>
      <c r="B33" s="1766"/>
      <c r="C33" s="367" t="s">
        <v>365</v>
      </c>
      <c r="D33" s="364" t="s">
        <v>252</v>
      </c>
      <c r="E33" s="420"/>
      <c r="F33" s="1791" t="s">
        <v>483</v>
      </c>
      <c r="G33" s="1771"/>
      <c r="H33" s="1792"/>
      <c r="I33" s="656"/>
      <c r="J33" s="706"/>
      <c r="K33" s="632"/>
      <c r="L33" s="632"/>
      <c r="M33" s="632"/>
      <c r="N33" s="656"/>
      <c r="O33" s="706"/>
      <c r="P33" s="632"/>
      <c r="Q33" s="632"/>
      <c r="R33" s="632"/>
      <c r="S33" s="656"/>
      <c r="T33" s="706"/>
      <c r="U33" s="632"/>
      <c r="V33" s="632"/>
      <c r="W33" s="632"/>
    </row>
    <row r="34" spans="1:23" ht="16.5" thickBot="1">
      <c r="A34" s="1797" t="s">
        <v>484</v>
      </c>
      <c r="B34" s="1766"/>
      <c r="C34" s="367" t="s">
        <v>485</v>
      </c>
      <c r="D34" s="364" t="s">
        <v>264</v>
      </c>
      <c r="E34" s="420"/>
      <c r="F34" s="1800"/>
      <c r="G34" s="1771"/>
      <c r="H34" s="1792"/>
      <c r="I34" s="656"/>
      <c r="J34" s="706"/>
      <c r="K34" s="632"/>
      <c r="L34" s="632"/>
      <c r="M34" s="632"/>
      <c r="N34" s="656"/>
      <c r="O34" s="706"/>
      <c r="P34" s="632"/>
      <c r="Q34" s="632"/>
      <c r="R34" s="632"/>
      <c r="S34" s="656"/>
      <c r="T34" s="706"/>
      <c r="U34" s="632"/>
      <c r="V34" s="632"/>
      <c r="W34" s="632"/>
    </row>
    <row r="35" spans="1:23" ht="15.75">
      <c r="A35" s="1795" t="s">
        <v>486</v>
      </c>
      <c r="B35" s="1766"/>
      <c r="C35" s="368" t="s">
        <v>43</v>
      </c>
      <c r="D35" s="369" t="s">
        <v>256</v>
      </c>
      <c r="E35" s="420"/>
      <c r="F35" s="1791" t="s">
        <v>487</v>
      </c>
      <c r="G35" s="1771"/>
      <c r="H35" s="1792"/>
      <c r="I35" s="656"/>
      <c r="J35" s="706"/>
      <c r="K35" s="632"/>
      <c r="L35" s="632"/>
      <c r="M35" s="632"/>
      <c r="N35" s="656"/>
      <c r="O35" s="706"/>
      <c r="P35" s="632"/>
      <c r="Q35" s="632"/>
      <c r="R35" s="632"/>
      <c r="S35" s="656"/>
      <c r="T35" s="706"/>
      <c r="U35" s="632"/>
      <c r="V35" s="632"/>
      <c r="W35" s="632"/>
    </row>
    <row r="36" spans="1:23" ht="16.5" thickBot="1">
      <c r="A36" s="1767"/>
      <c r="B36" s="1768"/>
      <c r="C36" s="370" t="s">
        <v>60</v>
      </c>
      <c r="D36" s="369" t="s">
        <v>257</v>
      </c>
      <c r="E36" s="420"/>
      <c r="F36" s="1780"/>
      <c r="G36" s="1780"/>
      <c r="H36" s="1793"/>
      <c r="I36" s="656"/>
      <c r="J36" s="706"/>
      <c r="K36" s="632"/>
      <c r="L36" s="632"/>
      <c r="M36" s="632"/>
      <c r="N36" s="656"/>
      <c r="O36" s="706"/>
      <c r="P36" s="632"/>
      <c r="Q36" s="632"/>
      <c r="R36" s="632"/>
      <c r="S36" s="656"/>
      <c r="T36" s="706"/>
      <c r="U36" s="632"/>
      <c r="V36" s="632"/>
      <c r="W36" s="632"/>
    </row>
    <row r="37" spans="1:23" ht="30">
      <c r="A37" s="1796" t="s">
        <v>33</v>
      </c>
      <c r="B37" s="1771"/>
      <c r="C37" s="371" t="s">
        <v>30</v>
      </c>
      <c r="D37" s="372" t="s">
        <v>170</v>
      </c>
      <c r="E37" s="420"/>
      <c r="F37" s="1819" t="s">
        <v>510</v>
      </c>
      <c r="G37" s="1771"/>
      <c r="H37" s="1792"/>
      <c r="I37" s="656"/>
      <c r="J37" s="706"/>
      <c r="K37" s="632"/>
      <c r="L37" s="632"/>
      <c r="M37" s="632"/>
      <c r="N37" s="656"/>
      <c r="O37" s="706"/>
      <c r="P37" s="632"/>
      <c r="Q37" s="632"/>
      <c r="R37" s="632"/>
      <c r="S37" s="656"/>
      <c r="T37" s="706"/>
      <c r="U37" s="632"/>
      <c r="V37" s="632"/>
      <c r="W37" s="632"/>
    </row>
    <row r="38" spans="1:23" ht="30">
      <c r="A38" s="1779"/>
      <c r="B38" s="1772"/>
      <c r="C38" s="373" t="s">
        <v>31</v>
      </c>
      <c r="D38" s="372" t="s">
        <v>169</v>
      </c>
      <c r="E38" s="421" t="s">
        <v>277</v>
      </c>
      <c r="F38" s="2119" t="s">
        <v>644</v>
      </c>
      <c r="G38" s="2120"/>
      <c r="H38" s="2121"/>
      <c r="I38" s="704" t="s">
        <v>277</v>
      </c>
      <c r="J38" s="706">
        <v>4</v>
      </c>
      <c r="K38" s="632">
        <v>1</v>
      </c>
      <c r="L38" s="632">
        <v>50</v>
      </c>
      <c r="M38" s="632">
        <v>40000</v>
      </c>
      <c r="N38" s="704" t="s">
        <v>277</v>
      </c>
      <c r="O38" s="706">
        <v>4</v>
      </c>
      <c r="P38" s="632">
        <v>1</v>
      </c>
      <c r="Q38" s="632">
        <v>50</v>
      </c>
      <c r="R38" s="632">
        <v>40000</v>
      </c>
      <c r="S38" s="704" t="s">
        <v>277</v>
      </c>
      <c r="T38" s="706">
        <v>4</v>
      </c>
      <c r="U38" s="632">
        <v>1</v>
      </c>
      <c r="V38" s="632">
        <v>50</v>
      </c>
      <c r="W38" s="632">
        <v>40000</v>
      </c>
    </row>
    <row r="39" spans="1:23" ht="30.75" thickBot="1">
      <c r="A39" s="1779"/>
      <c r="B39" s="1772"/>
      <c r="C39" s="374" t="s">
        <v>32</v>
      </c>
      <c r="D39" s="372" t="s">
        <v>250</v>
      </c>
      <c r="E39" s="421" t="s">
        <v>277</v>
      </c>
      <c r="F39" s="2119" t="s">
        <v>1237</v>
      </c>
      <c r="G39" s="2120"/>
      <c r="H39" s="2121"/>
      <c r="I39" s="704" t="s">
        <v>277</v>
      </c>
      <c r="J39" s="706">
        <v>4</v>
      </c>
      <c r="K39" s="632">
        <v>4</v>
      </c>
      <c r="L39" s="632">
        <v>300</v>
      </c>
      <c r="M39" s="632">
        <v>300000</v>
      </c>
      <c r="N39" s="704" t="s">
        <v>277</v>
      </c>
      <c r="O39" s="706">
        <v>4</v>
      </c>
      <c r="P39" s="632">
        <v>4</v>
      </c>
      <c r="Q39" s="632">
        <v>300</v>
      </c>
      <c r="R39" s="632">
        <v>300000</v>
      </c>
      <c r="S39" s="704" t="s">
        <v>277</v>
      </c>
      <c r="T39" s="706">
        <v>4</v>
      </c>
      <c r="U39" s="632">
        <v>4</v>
      </c>
      <c r="V39" s="632">
        <v>300</v>
      </c>
      <c r="W39" s="632">
        <v>300000</v>
      </c>
    </row>
    <row r="40" spans="1:23" ht="15.75">
      <c r="A40" s="1786" t="s">
        <v>491</v>
      </c>
      <c r="B40" s="1787"/>
      <c r="C40" s="375" t="s">
        <v>144</v>
      </c>
      <c r="D40" s="376" t="s">
        <v>253</v>
      </c>
      <c r="E40" s="420"/>
      <c r="F40" s="1791" t="s">
        <v>492</v>
      </c>
      <c r="G40" s="1771"/>
      <c r="H40" s="1792"/>
      <c r="I40" s="656"/>
      <c r="J40" s="706"/>
      <c r="K40" s="632"/>
      <c r="L40" s="632"/>
      <c r="M40" s="632"/>
      <c r="N40" s="656"/>
      <c r="O40" s="706"/>
      <c r="P40" s="632"/>
      <c r="Q40" s="632"/>
      <c r="R40" s="632"/>
      <c r="S40" s="656"/>
      <c r="T40" s="706"/>
      <c r="U40" s="632"/>
      <c r="V40" s="632"/>
      <c r="W40" s="632"/>
    </row>
    <row r="41" spans="1:23" ht="16.5" thickBot="1">
      <c r="A41" s="1772"/>
      <c r="B41" s="1788"/>
      <c r="C41" s="377" t="s">
        <v>145</v>
      </c>
      <c r="D41" s="376" t="s">
        <v>254</v>
      </c>
      <c r="E41" s="420"/>
      <c r="F41" s="1780"/>
      <c r="G41" s="1780"/>
      <c r="H41" s="1793"/>
      <c r="I41" s="656"/>
      <c r="J41" s="706"/>
      <c r="K41" s="632"/>
      <c r="L41" s="632"/>
      <c r="M41" s="632"/>
      <c r="N41" s="656"/>
      <c r="O41" s="706"/>
      <c r="P41" s="632"/>
      <c r="Q41" s="632"/>
      <c r="R41" s="632"/>
      <c r="S41" s="656"/>
      <c r="T41" s="706"/>
      <c r="U41" s="632"/>
      <c r="V41" s="632"/>
      <c r="W41" s="632"/>
    </row>
    <row r="42" spans="1:23" ht="48" thickBot="1">
      <c r="A42" s="1789"/>
      <c r="B42" s="1790"/>
      <c r="C42" s="378" t="s">
        <v>128</v>
      </c>
      <c r="D42" s="376" t="s">
        <v>262</v>
      </c>
      <c r="E42" s="420"/>
      <c r="F42" s="1794"/>
      <c r="G42" s="1762"/>
      <c r="H42" s="1764"/>
      <c r="I42" s="656"/>
      <c r="J42" s="706"/>
      <c r="K42" s="632"/>
      <c r="L42" s="632"/>
      <c r="M42" s="632"/>
      <c r="N42" s="656"/>
      <c r="O42" s="706"/>
      <c r="P42" s="632"/>
      <c r="Q42" s="632"/>
      <c r="R42" s="632"/>
      <c r="S42" s="656"/>
      <c r="T42" s="706"/>
      <c r="U42" s="632"/>
      <c r="V42" s="632"/>
      <c r="W42" s="632"/>
    </row>
    <row r="43" spans="1:23" ht="37.5" customHeight="1" thickBot="1">
      <c r="A43" s="1775" t="s">
        <v>493</v>
      </c>
      <c r="B43" s="1776"/>
      <c r="C43" s="1777"/>
      <c r="D43" s="379" t="s">
        <v>237</v>
      </c>
      <c r="E43" s="421" t="s">
        <v>277</v>
      </c>
      <c r="F43" s="1818" t="s">
        <v>1655</v>
      </c>
      <c r="G43" s="1762"/>
      <c r="H43" s="1764"/>
      <c r="I43" s="704" t="s">
        <v>277</v>
      </c>
      <c r="J43" s="706">
        <v>5</v>
      </c>
      <c r="K43" s="632">
        <v>0</v>
      </c>
      <c r="L43" s="632">
        <v>15</v>
      </c>
      <c r="M43" s="632">
        <v>50000</v>
      </c>
      <c r="N43" s="704" t="s">
        <v>277</v>
      </c>
      <c r="O43" s="706">
        <v>5</v>
      </c>
      <c r="P43" s="632">
        <v>0</v>
      </c>
      <c r="Q43" s="632">
        <v>15</v>
      </c>
      <c r="R43" s="632">
        <v>50000</v>
      </c>
      <c r="S43" s="704" t="s">
        <v>277</v>
      </c>
      <c r="T43" s="706">
        <v>5</v>
      </c>
      <c r="U43" s="632">
        <v>0</v>
      </c>
      <c r="V43" s="632">
        <v>15</v>
      </c>
      <c r="W43" s="632">
        <v>50000</v>
      </c>
    </row>
    <row r="44" spans="1:23" ht="15.75" thickBot="1">
      <c r="A44" s="1775" t="s">
        <v>133</v>
      </c>
      <c r="B44" s="1776"/>
      <c r="C44" s="1777"/>
      <c r="D44" s="379" t="s">
        <v>238</v>
      </c>
      <c r="E44" s="420"/>
      <c r="F44" s="1763" t="s">
        <v>495</v>
      </c>
      <c r="G44" s="1762"/>
      <c r="H44" s="1764"/>
      <c r="I44" s="656"/>
      <c r="J44" s="706"/>
      <c r="K44" s="632"/>
      <c r="L44" s="632"/>
      <c r="M44" s="632"/>
      <c r="N44" s="656"/>
      <c r="O44" s="706"/>
      <c r="P44" s="632"/>
      <c r="Q44" s="632"/>
      <c r="R44" s="632"/>
      <c r="S44" s="656"/>
      <c r="T44" s="706"/>
      <c r="U44" s="632"/>
      <c r="V44" s="632"/>
      <c r="W44" s="632"/>
    </row>
    <row r="45" spans="1:23">
      <c r="A45" s="1778" t="s">
        <v>41</v>
      </c>
      <c r="B45" s="1772"/>
      <c r="C45" s="380" t="s">
        <v>50</v>
      </c>
      <c r="D45" s="381" t="s">
        <v>246</v>
      </c>
      <c r="E45" s="421"/>
      <c r="F45" s="1781" t="s">
        <v>560</v>
      </c>
      <c r="G45" s="1762"/>
      <c r="H45" s="1764"/>
      <c r="I45" s="704"/>
      <c r="J45" s="706"/>
      <c r="K45" s="632"/>
      <c r="L45" s="632"/>
      <c r="M45" s="632"/>
      <c r="N45" s="704"/>
      <c r="O45" s="706"/>
      <c r="P45" s="632"/>
      <c r="Q45" s="632"/>
      <c r="R45" s="632"/>
      <c r="S45" s="704"/>
      <c r="T45" s="706"/>
      <c r="U45" s="632"/>
      <c r="V45" s="632"/>
      <c r="W45" s="632"/>
    </row>
    <row r="46" spans="1:23" ht="55.5" customHeight="1">
      <c r="A46" s="1779"/>
      <c r="B46" s="1772"/>
      <c r="C46" s="382" t="s">
        <v>51</v>
      </c>
      <c r="D46" s="381" t="s">
        <v>247</v>
      </c>
      <c r="E46" s="421" t="s">
        <v>277</v>
      </c>
      <c r="F46" s="1785" t="s">
        <v>645</v>
      </c>
      <c r="G46" s="1762"/>
      <c r="H46" s="1764"/>
      <c r="I46" s="704" t="s">
        <v>277</v>
      </c>
      <c r="J46" s="706">
        <v>5</v>
      </c>
      <c r="K46" s="632">
        <v>3</v>
      </c>
      <c r="L46" s="632">
        <v>30</v>
      </c>
      <c r="M46" s="632">
        <v>20000</v>
      </c>
      <c r="N46" s="704" t="s">
        <v>277</v>
      </c>
      <c r="O46" s="706">
        <v>5</v>
      </c>
      <c r="P46" s="632">
        <v>3</v>
      </c>
      <c r="Q46" s="632">
        <v>30</v>
      </c>
      <c r="R46" s="632">
        <v>20000</v>
      </c>
      <c r="S46" s="704" t="s">
        <v>277</v>
      </c>
      <c r="T46" s="706">
        <v>5</v>
      </c>
      <c r="U46" s="632">
        <v>3</v>
      </c>
      <c r="V46" s="632">
        <v>30</v>
      </c>
      <c r="W46" s="632">
        <v>20000</v>
      </c>
    </row>
    <row r="47" spans="1:23" ht="45" customHeight="1">
      <c r="A47" s="1779"/>
      <c r="B47" s="1772"/>
      <c r="C47" s="382" t="s">
        <v>39</v>
      </c>
      <c r="D47" s="381" t="s">
        <v>248</v>
      </c>
      <c r="E47" s="421" t="s">
        <v>277</v>
      </c>
      <c r="F47" s="1785" t="s">
        <v>646</v>
      </c>
      <c r="G47" s="1762"/>
      <c r="H47" s="1764"/>
      <c r="I47" s="704" t="s">
        <v>277</v>
      </c>
      <c r="J47" s="706">
        <v>2</v>
      </c>
      <c r="K47" s="632">
        <v>0</v>
      </c>
      <c r="L47" s="632">
        <v>14</v>
      </c>
      <c r="M47" s="632">
        <v>10000</v>
      </c>
      <c r="N47" s="704" t="s">
        <v>277</v>
      </c>
      <c r="O47" s="706">
        <v>2</v>
      </c>
      <c r="P47" s="632">
        <v>0</v>
      </c>
      <c r="Q47" s="632">
        <v>14</v>
      </c>
      <c r="R47" s="632">
        <v>10000</v>
      </c>
      <c r="S47" s="704" t="s">
        <v>277</v>
      </c>
      <c r="T47" s="706">
        <v>2</v>
      </c>
      <c r="U47" s="632">
        <v>0</v>
      </c>
      <c r="V47" s="632">
        <v>14</v>
      </c>
      <c r="W47" s="632">
        <v>10000</v>
      </c>
    </row>
    <row r="48" spans="1:23" ht="15.75" thickBot="1">
      <c r="A48" s="1767"/>
      <c r="B48" s="1780"/>
      <c r="C48" s="383" t="s">
        <v>40</v>
      </c>
      <c r="D48" s="381" t="s">
        <v>249</v>
      </c>
      <c r="E48" s="420"/>
      <c r="F48" s="1785" t="s">
        <v>498</v>
      </c>
      <c r="G48" s="1762"/>
      <c r="H48" s="1764"/>
      <c r="I48" s="656"/>
      <c r="J48" s="706"/>
      <c r="K48" s="632"/>
      <c r="L48" s="632"/>
      <c r="M48" s="632"/>
      <c r="N48" s="656"/>
      <c r="O48" s="706"/>
      <c r="P48" s="632"/>
      <c r="Q48" s="632"/>
      <c r="R48" s="632"/>
      <c r="S48" s="656"/>
      <c r="T48" s="706"/>
      <c r="U48" s="632"/>
      <c r="V48" s="632"/>
      <c r="W48" s="632"/>
    </row>
    <row r="49" spans="1:23" ht="15.75">
      <c r="A49" s="1765" t="s">
        <v>130</v>
      </c>
      <c r="B49" s="1766"/>
      <c r="C49" s="375" t="s">
        <v>131</v>
      </c>
      <c r="D49" s="376" t="s">
        <v>255</v>
      </c>
      <c r="E49" s="420"/>
      <c r="F49" s="1769"/>
      <c r="G49" s="1762"/>
      <c r="H49" s="1764"/>
      <c r="I49" s="656"/>
      <c r="J49" s="706"/>
      <c r="K49" s="632"/>
      <c r="L49" s="632"/>
      <c r="M49" s="632"/>
      <c r="N49" s="656"/>
      <c r="O49" s="706"/>
      <c r="P49" s="632"/>
      <c r="Q49" s="632"/>
      <c r="R49" s="632"/>
      <c r="S49" s="656"/>
      <c r="T49" s="706"/>
      <c r="U49" s="632"/>
      <c r="V49" s="632"/>
      <c r="W49" s="632"/>
    </row>
    <row r="50" spans="1:23" ht="48" thickBot="1">
      <c r="A50" s="1767"/>
      <c r="B50" s="1768"/>
      <c r="C50" s="384" t="s">
        <v>132</v>
      </c>
      <c r="D50" s="376" t="s">
        <v>263</v>
      </c>
      <c r="E50" s="421"/>
      <c r="F50" s="1769"/>
      <c r="G50" s="1762"/>
      <c r="H50" s="1764"/>
      <c r="I50" s="704"/>
      <c r="J50" s="706"/>
      <c r="K50" s="632"/>
      <c r="L50" s="632"/>
      <c r="M50" s="632"/>
      <c r="N50" s="704"/>
      <c r="O50" s="706"/>
      <c r="P50" s="632"/>
      <c r="Q50" s="632"/>
      <c r="R50" s="632"/>
      <c r="S50" s="704"/>
      <c r="T50" s="706"/>
      <c r="U50" s="632"/>
      <c r="V50" s="632"/>
      <c r="W50" s="632"/>
    </row>
    <row r="51" spans="1:23">
      <c r="A51" s="1770" t="s">
        <v>42</v>
      </c>
      <c r="B51" s="1771"/>
      <c r="C51" s="385" t="s">
        <v>38</v>
      </c>
      <c r="D51" s="386" t="s">
        <v>239</v>
      </c>
      <c r="E51" s="422" t="s">
        <v>277</v>
      </c>
      <c r="F51" s="1763" t="s">
        <v>499</v>
      </c>
      <c r="G51" s="1762"/>
      <c r="H51" s="1764"/>
      <c r="I51" s="704" t="s">
        <v>277</v>
      </c>
      <c r="J51" s="706">
        <v>1</v>
      </c>
      <c r="K51" s="632">
        <v>0</v>
      </c>
      <c r="L51" s="632">
        <v>3</v>
      </c>
      <c r="M51" s="632">
        <v>1000</v>
      </c>
      <c r="N51" s="704" t="s">
        <v>277</v>
      </c>
      <c r="O51" s="706">
        <v>1</v>
      </c>
      <c r="P51" s="632">
        <v>0</v>
      </c>
      <c r="Q51" s="632">
        <v>3</v>
      </c>
      <c r="R51" s="632">
        <v>1000</v>
      </c>
      <c r="S51" s="704" t="s">
        <v>277</v>
      </c>
      <c r="T51" s="706">
        <v>1</v>
      </c>
      <c r="U51" s="632">
        <v>0</v>
      </c>
      <c r="V51" s="632">
        <v>3</v>
      </c>
      <c r="W51" s="632">
        <v>1000</v>
      </c>
    </row>
    <row r="52" spans="1:23">
      <c r="A52" s="1772"/>
      <c r="B52" s="1772"/>
      <c r="C52" s="387" t="s">
        <v>55</v>
      </c>
      <c r="D52" s="386" t="s">
        <v>240</v>
      </c>
      <c r="E52" s="421" t="s">
        <v>277</v>
      </c>
      <c r="F52" s="1773"/>
      <c r="G52" s="1762"/>
      <c r="H52" s="1764"/>
      <c r="I52" s="704" t="s">
        <v>277</v>
      </c>
      <c r="J52" s="706">
        <v>25</v>
      </c>
      <c r="K52" s="632">
        <v>1</v>
      </c>
      <c r="L52" s="632">
        <v>20</v>
      </c>
      <c r="M52" s="632">
        <v>4000</v>
      </c>
      <c r="N52" s="704" t="s">
        <v>277</v>
      </c>
      <c r="O52" s="706">
        <v>25</v>
      </c>
      <c r="P52" s="632">
        <v>1</v>
      </c>
      <c r="Q52" s="632">
        <v>20</v>
      </c>
      <c r="R52" s="632">
        <v>4000</v>
      </c>
      <c r="S52" s="704" t="s">
        <v>277</v>
      </c>
      <c r="T52" s="706">
        <v>25</v>
      </c>
      <c r="U52" s="632">
        <v>1</v>
      </c>
      <c r="V52" s="632">
        <v>20</v>
      </c>
      <c r="W52" s="632">
        <v>4000</v>
      </c>
    </row>
    <row r="53" spans="1:23" ht="16.5" thickBot="1">
      <c r="A53" s="1772"/>
      <c r="B53" s="1772"/>
      <c r="C53" s="377" t="s">
        <v>48</v>
      </c>
      <c r="D53" s="388" t="s">
        <v>241</v>
      </c>
      <c r="E53" s="421" t="s">
        <v>277</v>
      </c>
      <c r="F53" s="1774"/>
      <c r="G53" s="1762"/>
      <c r="H53" s="1764"/>
      <c r="I53" s="704" t="s">
        <v>277</v>
      </c>
      <c r="J53" s="706">
        <v>1</v>
      </c>
      <c r="K53" s="632">
        <v>0</v>
      </c>
      <c r="L53" s="632">
        <v>5</v>
      </c>
      <c r="M53" s="632">
        <v>2000</v>
      </c>
      <c r="N53" s="704" t="s">
        <v>277</v>
      </c>
      <c r="O53" s="706">
        <v>1</v>
      </c>
      <c r="P53" s="632">
        <v>0</v>
      </c>
      <c r="Q53" s="632">
        <v>5</v>
      </c>
      <c r="R53" s="632">
        <v>2000</v>
      </c>
      <c r="S53" s="704" t="s">
        <v>277</v>
      </c>
      <c r="T53" s="706">
        <v>1</v>
      </c>
      <c r="U53" s="632">
        <v>0</v>
      </c>
      <c r="V53" s="632">
        <v>5</v>
      </c>
      <c r="W53" s="632">
        <v>2000</v>
      </c>
    </row>
    <row r="54" spans="1:23" ht="32.25" thickBot="1">
      <c r="A54" s="1761" t="s">
        <v>500</v>
      </c>
      <c r="B54" s="1762"/>
      <c r="C54" s="389" t="s">
        <v>134</v>
      </c>
      <c r="D54" s="390" t="s">
        <v>269</v>
      </c>
      <c r="E54" s="391"/>
      <c r="F54" s="1763" t="s">
        <v>501</v>
      </c>
      <c r="G54" s="1762"/>
      <c r="H54" s="1764"/>
      <c r="I54" s="659"/>
      <c r="J54" s="707"/>
      <c r="K54" s="658"/>
      <c r="L54" s="658"/>
      <c r="M54" s="658"/>
      <c r="N54" s="659"/>
      <c r="O54" s="658"/>
      <c r="P54" s="658"/>
      <c r="Q54" s="658"/>
      <c r="R54" s="658"/>
      <c r="S54" s="659"/>
      <c r="T54" s="658"/>
      <c r="U54" s="658"/>
      <c r="V54" s="658"/>
      <c r="W54" s="660"/>
    </row>
    <row r="56" spans="1:23">
      <c r="M56">
        <f>SUM(M16:M54)</f>
        <v>877000</v>
      </c>
    </row>
    <row r="58" spans="1:23" ht="60">
      <c r="A58" s="661" t="s">
        <v>948</v>
      </c>
      <c r="B58" s="661" t="s">
        <v>949</v>
      </c>
      <c r="C58" s="661" t="s">
        <v>950</v>
      </c>
      <c r="D58" s="661" t="s">
        <v>951</v>
      </c>
      <c r="E58" s="661" t="s">
        <v>952</v>
      </c>
    </row>
    <row r="59" spans="1:23">
      <c r="A59" s="631" t="s">
        <v>953</v>
      </c>
      <c r="B59" s="698"/>
      <c r="C59" s="698">
        <v>1</v>
      </c>
      <c r="D59" s="698">
        <v>1</v>
      </c>
      <c r="E59" s="633" t="s">
        <v>955</v>
      </c>
    </row>
    <row r="60" spans="1:23">
      <c r="A60" s="631" t="s">
        <v>956</v>
      </c>
      <c r="B60" s="698"/>
      <c r="C60" s="698" t="s">
        <v>1030</v>
      </c>
      <c r="D60" s="698">
        <v>1</v>
      </c>
      <c r="E60" s="633" t="s">
        <v>955</v>
      </c>
    </row>
    <row r="61" spans="1:23">
      <c r="A61" s="631" t="s">
        <v>957</v>
      </c>
      <c r="B61" s="698"/>
      <c r="C61" s="698"/>
      <c r="D61" s="698"/>
      <c r="E61" s="633" t="s">
        <v>958</v>
      </c>
    </row>
    <row r="62" spans="1:23">
      <c r="A62" s="631" t="s">
        <v>959</v>
      </c>
      <c r="B62" s="698"/>
      <c r="C62" s="698">
        <v>50</v>
      </c>
      <c r="D62" s="698">
        <v>5.5</v>
      </c>
      <c r="E62" s="633" t="s">
        <v>960</v>
      </c>
    </row>
    <row r="63" spans="1:23">
      <c r="A63" s="631" t="s">
        <v>961</v>
      </c>
      <c r="B63" s="698"/>
      <c r="C63" s="698">
        <v>18</v>
      </c>
      <c r="D63" s="698">
        <v>13</v>
      </c>
      <c r="E63" s="633" t="s">
        <v>962</v>
      </c>
    </row>
    <row r="64" spans="1:23">
      <c r="A64" s="631" t="s">
        <v>963</v>
      </c>
      <c r="B64" s="698"/>
      <c r="C64" s="698">
        <v>4</v>
      </c>
      <c r="D64" s="698">
        <v>2</v>
      </c>
      <c r="E64" s="633" t="s">
        <v>964</v>
      </c>
    </row>
    <row r="65" spans="1:6">
      <c r="A65" s="631" t="s">
        <v>965</v>
      </c>
      <c r="B65" s="698"/>
      <c r="C65" s="698">
        <v>1</v>
      </c>
      <c r="D65" s="698">
        <v>0.5</v>
      </c>
      <c r="E65" s="633" t="s">
        <v>966</v>
      </c>
    </row>
    <row r="66" spans="1:6">
      <c r="A66" s="631" t="s">
        <v>967</v>
      </c>
      <c r="B66" s="698" t="s">
        <v>1005</v>
      </c>
      <c r="C66" s="698"/>
      <c r="D66" s="698"/>
      <c r="E66" s="633" t="s">
        <v>968</v>
      </c>
    </row>
    <row r="67" spans="1:6">
      <c r="A67" s="631" t="s">
        <v>969</v>
      </c>
      <c r="B67" s="698"/>
      <c r="C67" s="698">
        <v>4</v>
      </c>
      <c r="D67" s="698">
        <v>1</v>
      </c>
      <c r="E67" s="633" t="s">
        <v>970</v>
      </c>
    </row>
    <row r="68" spans="1:6">
      <c r="A68" s="631" t="s">
        <v>971</v>
      </c>
      <c r="B68" s="698"/>
      <c r="C68" s="698">
        <v>22</v>
      </c>
      <c r="D68" s="698">
        <v>10</v>
      </c>
      <c r="E68" s="633" t="s">
        <v>972</v>
      </c>
    </row>
    <row r="69" spans="1:6">
      <c r="A69" s="631" t="s">
        <v>986</v>
      </c>
      <c r="B69" s="698"/>
      <c r="C69" s="698"/>
      <c r="D69" s="698"/>
      <c r="E69" s="633"/>
    </row>
    <row r="72" spans="1:6">
      <c r="A72" s="1912" t="s">
        <v>1270</v>
      </c>
      <c r="B72" s="1913"/>
      <c r="C72" s="1913"/>
      <c r="D72" s="1913"/>
      <c r="E72" s="1913"/>
      <c r="F72" s="1913"/>
    </row>
    <row r="73" spans="1:6" ht="90">
      <c r="A73" s="1327" t="s">
        <v>1271</v>
      </c>
      <c r="B73" s="1327" t="s">
        <v>1272</v>
      </c>
      <c r="C73" s="1327" t="s">
        <v>1273</v>
      </c>
      <c r="D73" s="1327" t="s">
        <v>1274</v>
      </c>
      <c r="E73" s="1327" t="s">
        <v>1275</v>
      </c>
      <c r="F73" s="1327" t="s">
        <v>1276</v>
      </c>
    </row>
    <row r="74" spans="1:6">
      <c r="A74" s="2130" t="s">
        <v>1381</v>
      </c>
      <c r="B74" s="2130" t="s">
        <v>1278</v>
      </c>
      <c r="C74" s="2132" t="s">
        <v>1307</v>
      </c>
      <c r="D74" s="2132" t="s">
        <v>954</v>
      </c>
      <c r="E74" s="1328" t="s">
        <v>1382</v>
      </c>
      <c r="F74" s="1329"/>
    </row>
    <row r="75" spans="1:6">
      <c r="A75" s="2131"/>
      <c r="B75" s="2131"/>
      <c r="C75" s="2133"/>
      <c r="D75" s="2133"/>
      <c r="E75" s="1328" t="s">
        <v>1285</v>
      </c>
      <c r="F75" s="1328">
        <v>15</v>
      </c>
    </row>
    <row r="76" spans="1:6">
      <c r="A76" s="2122" t="s">
        <v>1277</v>
      </c>
      <c r="B76" s="2122" t="s">
        <v>1278</v>
      </c>
      <c r="C76" s="2123" t="s">
        <v>1279</v>
      </c>
      <c r="D76" s="2123" t="s">
        <v>954</v>
      </c>
      <c r="E76" s="1328" t="s">
        <v>237</v>
      </c>
      <c r="F76" s="1328">
        <v>7</v>
      </c>
    </row>
    <row r="77" spans="1:6">
      <c r="A77" s="2122"/>
      <c r="B77" s="2122"/>
      <c r="C77" s="2123"/>
      <c r="D77" s="2123"/>
      <c r="E77" s="1328" t="s">
        <v>1280</v>
      </c>
      <c r="F77" s="1330">
        <v>2</v>
      </c>
    </row>
    <row r="78" spans="1:6">
      <c r="A78" s="2122"/>
      <c r="B78" s="2122"/>
      <c r="C78" s="2123"/>
      <c r="D78" s="2123"/>
      <c r="E78" s="1328" t="s">
        <v>1284</v>
      </c>
      <c r="F78" s="1328">
        <v>21</v>
      </c>
    </row>
    <row r="79" spans="1:6">
      <c r="A79" s="2122" t="s">
        <v>1383</v>
      </c>
      <c r="B79" s="2122" t="s">
        <v>1278</v>
      </c>
      <c r="C79" s="2123" t="s">
        <v>1384</v>
      </c>
      <c r="D79" s="2123" t="s">
        <v>954</v>
      </c>
      <c r="E79" s="1328" t="s">
        <v>1285</v>
      </c>
      <c r="F79" s="1328">
        <v>15</v>
      </c>
    </row>
    <row r="80" spans="1:6">
      <c r="A80" s="2122"/>
      <c r="B80" s="2122"/>
      <c r="C80" s="2123"/>
      <c r="D80" s="2123"/>
      <c r="E80" s="1330" t="s">
        <v>1284</v>
      </c>
      <c r="F80" s="1330">
        <v>21</v>
      </c>
    </row>
    <row r="81" spans="1:6">
      <c r="A81" s="2122"/>
      <c r="B81" s="2122"/>
      <c r="C81" s="2123"/>
      <c r="D81" s="2123"/>
      <c r="E81" s="1331" t="s">
        <v>1385</v>
      </c>
      <c r="F81" s="1332"/>
    </row>
    <row r="82" spans="1:6">
      <c r="A82" s="2122"/>
      <c r="B82" s="2122"/>
      <c r="C82" s="2123"/>
      <c r="D82" s="2123"/>
      <c r="E82" s="1328" t="s">
        <v>1382</v>
      </c>
      <c r="F82" s="1329"/>
    </row>
    <row r="83" spans="1:6">
      <c r="A83" s="2128" t="s">
        <v>1386</v>
      </c>
      <c r="B83" s="2122" t="s">
        <v>1282</v>
      </c>
      <c r="C83" s="2123" t="s">
        <v>1283</v>
      </c>
      <c r="D83" s="2123" t="s">
        <v>954</v>
      </c>
      <c r="E83" s="1328" t="s">
        <v>237</v>
      </c>
      <c r="F83" s="1328">
        <v>7</v>
      </c>
    </row>
    <row r="84" spans="1:6">
      <c r="A84" s="2134"/>
      <c r="B84" s="2122"/>
      <c r="C84" s="2123"/>
      <c r="D84" s="2123"/>
      <c r="E84" s="1328" t="s">
        <v>1284</v>
      </c>
      <c r="F84" s="1328">
        <v>21</v>
      </c>
    </row>
    <row r="85" spans="1:6">
      <c r="A85" s="2134"/>
      <c r="B85" s="2122"/>
      <c r="C85" s="2123"/>
      <c r="D85" s="2123"/>
      <c r="E85" s="1328" t="s">
        <v>1387</v>
      </c>
      <c r="F85" s="1328">
        <v>6</v>
      </c>
    </row>
    <row r="86" spans="1:6">
      <c r="A86" s="2129"/>
      <c r="B86" s="2122"/>
      <c r="C86" s="2123"/>
      <c r="D86" s="2123"/>
      <c r="E86" s="1328" t="s">
        <v>1388</v>
      </c>
      <c r="F86" s="1330">
        <v>2</v>
      </c>
    </row>
    <row r="87" spans="1:6">
      <c r="A87" s="2126" t="s">
        <v>1389</v>
      </c>
      <c r="B87" s="2122" t="s">
        <v>1287</v>
      </c>
      <c r="C87" s="2123" t="s">
        <v>1307</v>
      </c>
      <c r="D87" s="2123" t="s">
        <v>954</v>
      </c>
      <c r="E87" s="1328" t="s">
        <v>237</v>
      </c>
      <c r="F87" s="1328">
        <v>7</v>
      </c>
    </row>
    <row r="88" spans="1:6">
      <c r="A88" s="2126"/>
      <c r="B88" s="2122"/>
      <c r="C88" s="2123"/>
      <c r="D88" s="2123"/>
      <c r="E88" s="1328" t="s">
        <v>1284</v>
      </c>
      <c r="F88" s="1328">
        <v>21</v>
      </c>
    </row>
    <row r="89" spans="1:6">
      <c r="A89" s="2126"/>
      <c r="B89" s="2122"/>
      <c r="C89" s="2123"/>
      <c r="D89" s="2123"/>
      <c r="E89" s="1328" t="s">
        <v>1280</v>
      </c>
      <c r="F89" s="1330">
        <v>2</v>
      </c>
    </row>
    <row r="90" spans="1:6">
      <c r="A90" s="2126"/>
      <c r="B90" s="2122"/>
      <c r="C90" s="2123"/>
      <c r="D90" s="2123"/>
      <c r="E90" s="1328" t="s">
        <v>1390</v>
      </c>
      <c r="F90" s="1328">
        <v>6</v>
      </c>
    </row>
    <row r="91" spans="1:6">
      <c r="A91" s="2126" t="s">
        <v>1391</v>
      </c>
      <c r="B91" s="2122" t="s">
        <v>1282</v>
      </c>
      <c r="C91" s="2123" t="s">
        <v>1283</v>
      </c>
      <c r="D91" s="2123" t="s">
        <v>954</v>
      </c>
      <c r="E91" s="1328" t="s">
        <v>1284</v>
      </c>
      <c r="F91" s="1328">
        <v>21</v>
      </c>
    </row>
    <row r="92" spans="1:6">
      <c r="A92" s="2126"/>
      <c r="B92" s="2122"/>
      <c r="C92" s="2123"/>
      <c r="D92" s="2123"/>
      <c r="E92" s="1328" t="s">
        <v>1285</v>
      </c>
      <c r="F92" s="1328">
        <v>15</v>
      </c>
    </row>
    <row r="93" spans="1:6">
      <c r="A93" s="2126"/>
      <c r="B93" s="2122"/>
      <c r="C93" s="2123"/>
      <c r="D93" s="2123"/>
      <c r="E93" s="1328" t="s">
        <v>1280</v>
      </c>
      <c r="F93" s="1330">
        <v>2</v>
      </c>
    </row>
    <row r="94" spans="1:6">
      <c r="A94" s="2128" t="s">
        <v>1392</v>
      </c>
      <c r="B94" s="2130" t="s">
        <v>1287</v>
      </c>
      <c r="C94" s="2132" t="s">
        <v>1283</v>
      </c>
      <c r="D94" s="2132" t="s">
        <v>954</v>
      </c>
      <c r="E94" s="1328" t="s">
        <v>1285</v>
      </c>
      <c r="F94" s="1330">
        <v>15</v>
      </c>
    </row>
    <row r="95" spans="1:6">
      <c r="A95" s="2129"/>
      <c r="B95" s="2131"/>
      <c r="C95" s="2133"/>
      <c r="D95" s="2133"/>
      <c r="E95" s="1328" t="s">
        <v>1284</v>
      </c>
      <c r="F95" s="1328">
        <v>21</v>
      </c>
    </row>
    <row r="96" spans="1:6">
      <c r="A96" s="2126" t="s">
        <v>1286</v>
      </c>
      <c r="B96" s="2122" t="s">
        <v>1287</v>
      </c>
      <c r="C96" s="2123" t="s">
        <v>1283</v>
      </c>
      <c r="D96" s="2123" t="s">
        <v>954</v>
      </c>
      <c r="E96" s="1328" t="s">
        <v>1390</v>
      </c>
      <c r="F96" s="1328">
        <v>6</v>
      </c>
    </row>
    <row r="97" spans="1:6">
      <c r="A97" s="2126"/>
      <c r="B97" s="2122"/>
      <c r="C97" s="2123"/>
      <c r="D97" s="2123"/>
      <c r="E97" s="1328" t="s">
        <v>237</v>
      </c>
      <c r="F97" s="1328">
        <v>7</v>
      </c>
    </row>
    <row r="98" spans="1:6">
      <c r="A98" s="2126"/>
      <c r="B98" s="2122"/>
      <c r="C98" s="2123"/>
      <c r="D98" s="2123"/>
      <c r="E98" s="1328" t="s">
        <v>1285</v>
      </c>
      <c r="F98" s="1328">
        <v>15</v>
      </c>
    </row>
    <row r="99" spans="1:6">
      <c r="A99" s="2126"/>
      <c r="B99" s="2122"/>
      <c r="C99" s="2123"/>
      <c r="D99" s="2123"/>
      <c r="E99" s="1328" t="s">
        <v>1280</v>
      </c>
      <c r="F99" s="1330">
        <v>2</v>
      </c>
    </row>
    <row r="100" spans="1:6">
      <c r="A100" s="2126" t="s">
        <v>1288</v>
      </c>
      <c r="B100" s="2122" t="s">
        <v>1287</v>
      </c>
      <c r="C100" s="2123" t="s">
        <v>1289</v>
      </c>
      <c r="D100" s="2123" t="s">
        <v>954</v>
      </c>
      <c r="E100" s="1328" t="s">
        <v>237</v>
      </c>
      <c r="F100" s="1328">
        <v>7</v>
      </c>
    </row>
    <row r="101" spans="1:6">
      <c r="A101" s="2126"/>
      <c r="B101" s="2122"/>
      <c r="C101" s="2123"/>
      <c r="D101" s="2123"/>
      <c r="E101" s="1328" t="s">
        <v>1284</v>
      </c>
      <c r="F101" s="1328">
        <v>21</v>
      </c>
    </row>
    <row r="102" spans="1:6">
      <c r="A102" s="2126"/>
      <c r="B102" s="2122"/>
      <c r="C102" s="2123"/>
      <c r="D102" s="2123"/>
      <c r="E102" s="1328" t="s">
        <v>1280</v>
      </c>
      <c r="F102" s="1330">
        <v>2</v>
      </c>
    </row>
    <row r="103" spans="1:6">
      <c r="A103" s="2126"/>
      <c r="B103" s="2122"/>
      <c r="C103" s="2123"/>
      <c r="D103" s="2123"/>
      <c r="E103" s="1328" t="s">
        <v>1390</v>
      </c>
      <c r="F103" s="1328">
        <v>6</v>
      </c>
    </row>
    <row r="104" spans="1:6">
      <c r="A104" s="2127" t="s">
        <v>1393</v>
      </c>
      <c r="B104" s="2122" t="s">
        <v>1282</v>
      </c>
      <c r="C104" s="2123" t="s">
        <v>1283</v>
      </c>
      <c r="D104" s="2123" t="s">
        <v>954</v>
      </c>
      <c r="E104" s="1328" t="s">
        <v>237</v>
      </c>
      <c r="F104" s="1328">
        <v>7</v>
      </c>
    </row>
    <row r="105" spans="1:6">
      <c r="A105" s="2127"/>
      <c r="B105" s="2122"/>
      <c r="C105" s="2123"/>
      <c r="D105" s="2123"/>
      <c r="E105" s="1328" t="s">
        <v>1280</v>
      </c>
      <c r="F105" s="1330">
        <v>2</v>
      </c>
    </row>
    <row r="106" spans="1:6">
      <c r="A106" s="2127"/>
      <c r="B106" s="2122"/>
      <c r="C106" s="2123"/>
      <c r="D106" s="2123"/>
      <c r="E106" s="1328" t="s">
        <v>1390</v>
      </c>
      <c r="F106" s="1328">
        <v>6</v>
      </c>
    </row>
    <row r="107" spans="1:6">
      <c r="A107" s="2127" t="s">
        <v>1290</v>
      </c>
      <c r="B107" s="2122" t="s">
        <v>1291</v>
      </c>
      <c r="C107" s="2123" t="s">
        <v>1292</v>
      </c>
      <c r="D107" s="2123" t="s">
        <v>954</v>
      </c>
      <c r="E107" s="1328" t="s">
        <v>1284</v>
      </c>
      <c r="F107" s="1328">
        <v>21</v>
      </c>
    </row>
    <row r="108" spans="1:6">
      <c r="A108" s="2127"/>
      <c r="B108" s="2122"/>
      <c r="C108" s="2123"/>
      <c r="D108" s="2123"/>
      <c r="E108" s="1328" t="s">
        <v>1285</v>
      </c>
      <c r="F108" s="1328">
        <v>15</v>
      </c>
    </row>
    <row r="109" spans="1:6">
      <c r="A109" s="2127"/>
      <c r="B109" s="2122"/>
      <c r="C109" s="2123"/>
      <c r="D109" s="2123"/>
      <c r="E109" s="1328" t="s">
        <v>1280</v>
      </c>
      <c r="F109" s="1330">
        <v>2</v>
      </c>
    </row>
    <row r="110" spans="1:6">
      <c r="A110" s="2125" t="s">
        <v>1394</v>
      </c>
      <c r="B110" s="2122" t="s">
        <v>1282</v>
      </c>
      <c r="C110" s="2123" t="s">
        <v>1395</v>
      </c>
      <c r="D110" s="2123" t="s">
        <v>954</v>
      </c>
      <c r="E110" s="1328" t="s">
        <v>1285</v>
      </c>
      <c r="F110" s="1328">
        <v>15</v>
      </c>
    </row>
    <row r="111" spans="1:6">
      <c r="A111" s="2125"/>
      <c r="B111" s="2122"/>
      <c r="C111" s="2123"/>
      <c r="D111" s="2123"/>
      <c r="E111" s="1328" t="s">
        <v>1284</v>
      </c>
      <c r="F111" s="1328">
        <v>21</v>
      </c>
    </row>
    <row r="112" spans="1:6">
      <c r="A112" s="2125"/>
      <c r="B112" s="2122"/>
      <c r="C112" s="2123"/>
      <c r="D112" s="2123"/>
      <c r="E112" s="1328" t="s">
        <v>1382</v>
      </c>
      <c r="F112" s="1329"/>
    </row>
    <row r="113" spans="1:6">
      <c r="A113" s="2125"/>
      <c r="B113" s="2122"/>
      <c r="C113" s="2123"/>
      <c r="D113" s="2123"/>
      <c r="E113" s="1328" t="s">
        <v>1280</v>
      </c>
      <c r="F113" s="1330">
        <v>2</v>
      </c>
    </row>
    <row r="114" spans="1:6">
      <c r="A114" s="2126" t="s">
        <v>1396</v>
      </c>
      <c r="B114" s="2122" t="s">
        <v>1282</v>
      </c>
      <c r="C114" s="2123" t="s">
        <v>1395</v>
      </c>
      <c r="D114" s="2123" t="s">
        <v>954</v>
      </c>
      <c r="E114" s="1328" t="s">
        <v>1285</v>
      </c>
      <c r="F114" s="1328">
        <v>15</v>
      </c>
    </row>
    <row r="115" spans="1:6">
      <c r="A115" s="2126"/>
      <c r="B115" s="2122"/>
      <c r="C115" s="2123"/>
      <c r="D115" s="2123"/>
      <c r="E115" s="1328" t="s">
        <v>1284</v>
      </c>
      <c r="F115" s="1328">
        <v>21</v>
      </c>
    </row>
    <row r="116" spans="1:6">
      <c r="A116" s="2126"/>
      <c r="B116" s="2122"/>
      <c r="C116" s="2123"/>
      <c r="D116" s="2123"/>
      <c r="E116" s="1328" t="s">
        <v>1382</v>
      </c>
      <c r="F116" s="1329"/>
    </row>
    <row r="117" spans="1:6">
      <c r="A117" s="2126"/>
      <c r="B117" s="2122"/>
      <c r="C117" s="2123"/>
      <c r="D117" s="2123"/>
      <c r="E117" s="1328" t="s">
        <v>1280</v>
      </c>
      <c r="F117" s="1330">
        <v>2</v>
      </c>
    </row>
    <row r="118" spans="1:6">
      <c r="A118" s="2126" t="s">
        <v>1397</v>
      </c>
      <c r="B118" s="2122" t="s">
        <v>1282</v>
      </c>
      <c r="C118" s="2123" t="s">
        <v>1307</v>
      </c>
      <c r="D118" s="2123" t="s">
        <v>954</v>
      </c>
      <c r="E118" s="1328" t="s">
        <v>1285</v>
      </c>
      <c r="F118" s="1328">
        <v>15</v>
      </c>
    </row>
    <row r="119" spans="1:6">
      <c r="A119" s="2126"/>
      <c r="B119" s="2122"/>
      <c r="C119" s="2123"/>
      <c r="D119" s="2123"/>
      <c r="E119" s="1328" t="s">
        <v>1284</v>
      </c>
      <c r="F119" s="1328">
        <v>21</v>
      </c>
    </row>
    <row r="120" spans="1:6">
      <c r="A120" s="2126"/>
      <c r="B120" s="2122"/>
      <c r="C120" s="2123"/>
      <c r="D120" s="2123"/>
      <c r="E120" s="1328" t="s">
        <v>1382</v>
      </c>
      <c r="F120" s="1329"/>
    </row>
    <row r="121" spans="1:6">
      <c r="A121" s="2126"/>
      <c r="B121" s="2122"/>
      <c r="C121" s="2123"/>
      <c r="D121" s="2123"/>
      <c r="E121" s="1328" t="s">
        <v>1280</v>
      </c>
      <c r="F121" s="1330">
        <v>2</v>
      </c>
    </row>
    <row r="122" spans="1:6">
      <c r="A122" s="2122" t="s">
        <v>1398</v>
      </c>
      <c r="B122" s="2122" t="s">
        <v>1287</v>
      </c>
      <c r="C122" s="2123" t="s">
        <v>1307</v>
      </c>
      <c r="D122" s="2123" t="s">
        <v>954</v>
      </c>
      <c r="E122" s="1328" t="s">
        <v>1285</v>
      </c>
      <c r="F122" s="1328">
        <v>15</v>
      </c>
    </row>
    <row r="123" spans="1:6">
      <c r="A123" s="2122"/>
      <c r="B123" s="2122"/>
      <c r="C123" s="2123"/>
      <c r="D123" s="2123"/>
      <c r="E123" s="1328" t="s">
        <v>1284</v>
      </c>
      <c r="F123" s="1328">
        <v>21</v>
      </c>
    </row>
    <row r="124" spans="1:6">
      <c r="A124" s="2122"/>
      <c r="B124" s="2122"/>
      <c r="C124" s="2123"/>
      <c r="D124" s="2123"/>
      <c r="E124" s="1328" t="s">
        <v>1385</v>
      </c>
      <c r="F124" s="1332"/>
    </row>
    <row r="125" spans="1:6">
      <c r="A125" s="2122"/>
      <c r="B125" s="2122"/>
      <c r="C125" s="2123"/>
      <c r="D125" s="2123"/>
      <c r="E125" s="1328" t="s">
        <v>1382</v>
      </c>
      <c r="F125" s="1329"/>
    </row>
    <row r="126" spans="1:6">
      <c r="A126" s="2122"/>
      <c r="B126" s="2122"/>
      <c r="C126" s="2123"/>
      <c r="D126" s="2123"/>
      <c r="E126" s="1328" t="s">
        <v>1280</v>
      </c>
      <c r="F126" s="1330">
        <v>2</v>
      </c>
    </row>
    <row r="127" spans="1:6">
      <c r="A127" s="2122"/>
      <c r="B127" s="2122"/>
      <c r="C127" s="2123"/>
      <c r="D127" s="2123"/>
      <c r="E127" s="1328" t="s">
        <v>1387</v>
      </c>
      <c r="F127" s="1328">
        <v>6</v>
      </c>
    </row>
    <row r="128" spans="1:6">
      <c r="A128" s="2122"/>
      <c r="B128" s="2122"/>
      <c r="C128" s="2123"/>
      <c r="D128" s="2123"/>
      <c r="E128" s="1328" t="s">
        <v>237</v>
      </c>
      <c r="F128" s="1328">
        <v>7</v>
      </c>
    </row>
  </sheetData>
  <mergeCells count="120">
    <mergeCell ref="A72:F72"/>
    <mergeCell ref="A74:A75"/>
    <mergeCell ref="B74:B75"/>
    <mergeCell ref="C74:C75"/>
    <mergeCell ref="D74:D75"/>
    <mergeCell ref="A76:A78"/>
    <mergeCell ref="B76:B78"/>
    <mergeCell ref="C76:C78"/>
    <mergeCell ref="D76:D78"/>
    <mergeCell ref="A79:A82"/>
    <mergeCell ref="B79:B82"/>
    <mergeCell ref="C79:C82"/>
    <mergeCell ref="D79:D82"/>
    <mergeCell ref="A83:A86"/>
    <mergeCell ref="B83:B86"/>
    <mergeCell ref="C83:C86"/>
    <mergeCell ref="D83:D86"/>
    <mergeCell ref="A87:A90"/>
    <mergeCell ref="B87:B90"/>
    <mergeCell ref="C87:C90"/>
    <mergeCell ref="D87:D90"/>
    <mergeCell ref="A91:A93"/>
    <mergeCell ref="B91:B93"/>
    <mergeCell ref="C91:C93"/>
    <mergeCell ref="D91:D93"/>
    <mergeCell ref="A94:A95"/>
    <mergeCell ref="B94:B95"/>
    <mergeCell ref="C94:C95"/>
    <mergeCell ref="D94:D95"/>
    <mergeCell ref="A96:A99"/>
    <mergeCell ref="B96:B99"/>
    <mergeCell ref="C96:C99"/>
    <mergeCell ref="D96:D99"/>
    <mergeCell ref="A100:A103"/>
    <mergeCell ref="B100:B103"/>
    <mergeCell ref="C100:C103"/>
    <mergeCell ref="D100:D103"/>
    <mergeCell ref="A104:A106"/>
    <mergeCell ref="B104:B106"/>
    <mergeCell ref="C104:C106"/>
    <mergeCell ref="D104:D106"/>
    <mergeCell ref="A107:A109"/>
    <mergeCell ref="B107:B109"/>
    <mergeCell ref="C107:C109"/>
    <mergeCell ref="D107:D109"/>
    <mergeCell ref="A110:A113"/>
    <mergeCell ref="B110:B113"/>
    <mergeCell ref="C110:C113"/>
    <mergeCell ref="D110:D113"/>
    <mergeCell ref="A114:A117"/>
    <mergeCell ref="B114:B117"/>
    <mergeCell ref="C114:C117"/>
    <mergeCell ref="D114:D117"/>
    <mergeCell ref="A118:A121"/>
    <mergeCell ref="B118:B121"/>
    <mergeCell ref="C118:C121"/>
    <mergeCell ref="D118:D121"/>
    <mergeCell ref="A122:A128"/>
    <mergeCell ref="B122:B128"/>
    <mergeCell ref="C122:C128"/>
    <mergeCell ref="D122:D128"/>
    <mergeCell ref="N13:R13"/>
    <mergeCell ref="S13:W13"/>
    <mergeCell ref="B2:D2"/>
    <mergeCell ref="B3:D3"/>
    <mergeCell ref="B4:D4"/>
    <mergeCell ref="B8:D8"/>
    <mergeCell ref="B6:E6"/>
    <mergeCell ref="J10:J11"/>
    <mergeCell ref="I13:M13"/>
    <mergeCell ref="A18:B20"/>
    <mergeCell ref="A10:B10"/>
    <mergeCell ref="E12:H13"/>
    <mergeCell ref="A14:B14"/>
    <mergeCell ref="F14:H14"/>
    <mergeCell ref="A15:B17"/>
    <mergeCell ref="F15:H17"/>
    <mergeCell ref="F18:H20"/>
    <mergeCell ref="C10:H10"/>
    <mergeCell ref="F21:H22"/>
    <mergeCell ref="A23:B25"/>
    <mergeCell ref="F23:H25"/>
    <mergeCell ref="A26:C26"/>
    <mergeCell ref="F26:H26"/>
    <mergeCell ref="A21:B22"/>
    <mergeCell ref="A27:B29"/>
    <mergeCell ref="F27:H29"/>
    <mergeCell ref="A30:B32"/>
    <mergeCell ref="F30:H32"/>
    <mergeCell ref="A33:B33"/>
    <mergeCell ref="F33:H33"/>
    <mergeCell ref="A34:B34"/>
    <mergeCell ref="F34:H34"/>
    <mergeCell ref="A35:B36"/>
    <mergeCell ref="F35:H36"/>
    <mergeCell ref="A37:B39"/>
    <mergeCell ref="F37:H37"/>
    <mergeCell ref="F38:H38"/>
    <mergeCell ref="F39:H39"/>
    <mergeCell ref="A40:B42"/>
    <mergeCell ref="F40:H41"/>
    <mergeCell ref="F42:H42"/>
    <mergeCell ref="A43:C43"/>
    <mergeCell ref="F43:H43"/>
    <mergeCell ref="A44:C44"/>
    <mergeCell ref="F44:H44"/>
    <mergeCell ref="A45:B48"/>
    <mergeCell ref="F45:H45"/>
    <mergeCell ref="F46:H46"/>
    <mergeCell ref="F47:H47"/>
    <mergeCell ref="F48:H48"/>
    <mergeCell ref="A54:B54"/>
    <mergeCell ref="F54:H54"/>
    <mergeCell ref="A49:B50"/>
    <mergeCell ref="F49:H49"/>
    <mergeCell ref="F50:H50"/>
    <mergeCell ref="A51:B53"/>
    <mergeCell ref="F51:H51"/>
    <mergeCell ref="F52:H52"/>
    <mergeCell ref="F53:H53"/>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3" location="SOMMAIRE!A1" display="Retour sommaire"/>
    <hyperlink ref="J5" location="SYNTHESE!A1" display="Retour synthèse"/>
  </hyperlink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XFD88"/>
  <sheetViews>
    <sheetView topLeftCell="A43" workbookViewId="0">
      <selection activeCell="F47" sqref="F47:H47"/>
    </sheetView>
  </sheetViews>
  <sheetFormatPr baseColWidth="10" defaultRowHeight="15"/>
  <cols>
    <col min="1" max="1" width="20.42578125" style="1" bestFit="1" customWidth="1"/>
    <col min="2" max="2" width="15.7109375" style="1" customWidth="1"/>
    <col min="3" max="3" width="52.7109375" style="1" customWidth="1"/>
    <col min="4" max="4" width="8.42578125" style="1" customWidth="1"/>
    <col min="5" max="5" width="7.5703125" style="1" customWidth="1"/>
    <col min="6" max="6" width="16.28515625" style="1" bestFit="1" customWidth="1"/>
    <col min="7" max="7" width="32.5703125" style="1" bestFit="1" customWidth="1"/>
    <col min="8" max="8" width="26.7109375" bestFit="1" customWidth="1"/>
    <col min="10" max="10" width="16.42578125" bestFit="1" customWidth="1"/>
  </cols>
  <sheetData>
    <row r="1" spans="1:23" ht="15.75" thickBot="1">
      <c r="A1"/>
      <c r="B1"/>
      <c r="C1"/>
      <c r="D1"/>
      <c r="E1"/>
      <c r="F1"/>
      <c r="G1"/>
    </row>
    <row r="2" spans="1:23" ht="15.75" thickBot="1">
      <c r="A2" s="109" t="s">
        <v>0</v>
      </c>
      <c r="B2" s="2029" t="s">
        <v>734</v>
      </c>
      <c r="C2" s="2144"/>
      <c r="D2" s="2145"/>
      <c r="E2" s="110"/>
      <c r="F2" s="110"/>
      <c r="G2" s="111" t="s">
        <v>462</v>
      </c>
      <c r="H2" s="123" t="s">
        <v>14</v>
      </c>
    </row>
    <row r="3" spans="1:23" ht="15.75" thickBot="1">
      <c r="A3" s="113" t="s">
        <v>344</v>
      </c>
      <c r="B3" s="2029" t="s">
        <v>734</v>
      </c>
      <c r="C3" s="2175"/>
      <c r="D3" s="2176"/>
      <c r="E3" s="110"/>
      <c r="F3" s="110"/>
      <c r="G3" s="114" t="s">
        <v>10</v>
      </c>
      <c r="H3" s="123" t="s">
        <v>16</v>
      </c>
      <c r="J3" s="14" t="s">
        <v>73</v>
      </c>
      <c r="K3" s="15"/>
    </row>
    <row r="4" spans="1:23" ht="15.75" thickBot="1">
      <c r="A4" s="114" t="s">
        <v>3</v>
      </c>
      <c r="B4" s="1823" t="s">
        <v>735</v>
      </c>
      <c r="C4" s="2144"/>
      <c r="D4" s="2145"/>
      <c r="E4" s="115"/>
      <c r="F4" s="110"/>
      <c r="G4" s="116" t="s">
        <v>26</v>
      </c>
      <c r="H4" s="514">
        <v>11</v>
      </c>
      <c r="J4" s="15"/>
      <c r="K4" s="15"/>
    </row>
    <row r="5" spans="1:23" ht="15.75" customHeight="1" thickBot="1">
      <c r="A5" s="110"/>
      <c r="B5" s="110"/>
      <c r="C5" s="110"/>
      <c r="D5" s="110"/>
      <c r="E5" s="110"/>
      <c r="F5" s="110"/>
      <c r="G5" s="110"/>
      <c r="H5" s="110"/>
      <c r="J5" s="13" t="s">
        <v>381</v>
      </c>
    </row>
    <row r="6" spans="1:23" ht="105.75" thickBot="1">
      <c r="A6" s="109" t="s">
        <v>465</v>
      </c>
      <c r="B6" s="1810" t="s">
        <v>1659</v>
      </c>
      <c r="C6" s="2177"/>
      <c r="D6" s="2178"/>
      <c r="E6" s="110"/>
      <c r="F6" s="110"/>
      <c r="G6" s="118" t="s">
        <v>466</v>
      </c>
      <c r="H6" s="178" t="s">
        <v>736</v>
      </c>
    </row>
    <row r="7" spans="1:23" ht="15.75" thickBot="1">
      <c r="A7"/>
      <c r="B7" s="110"/>
      <c r="C7" s="110"/>
      <c r="D7" s="110"/>
      <c r="E7" s="110"/>
      <c r="F7" s="110"/>
      <c r="G7" s="120"/>
      <c r="H7" s="110"/>
    </row>
    <row r="8" spans="1:23" ht="30.75" thickBot="1">
      <c r="A8" s="121" t="s">
        <v>7</v>
      </c>
      <c r="B8" s="1823" t="s">
        <v>737</v>
      </c>
      <c r="C8" s="2179"/>
      <c r="D8" s="2180"/>
      <c r="E8" s="115"/>
      <c r="F8" s="122"/>
      <c r="G8" s="121" t="s">
        <v>469</v>
      </c>
      <c r="H8" s="123" t="s">
        <v>470</v>
      </c>
      <c r="J8" s="515" t="s">
        <v>738</v>
      </c>
      <c r="K8" s="516" t="s">
        <v>739</v>
      </c>
    </row>
    <row r="9" spans="1:23">
      <c r="A9"/>
      <c r="B9" s="110"/>
      <c r="C9" s="110"/>
      <c r="D9" s="110"/>
      <c r="E9" s="110"/>
      <c r="F9" s="110"/>
      <c r="G9" s="120"/>
      <c r="H9" s="110"/>
    </row>
    <row r="10" spans="1:23" ht="210" customHeight="1">
      <c r="A10" s="2174" t="s">
        <v>471</v>
      </c>
      <c r="B10" s="2148"/>
      <c r="C10" s="1805" t="s">
        <v>1658</v>
      </c>
      <c r="D10" s="1805"/>
      <c r="E10" s="1805"/>
      <c r="F10" s="1805"/>
      <c r="G10" s="1805"/>
      <c r="H10" s="1805"/>
      <c r="J10" s="1821"/>
    </row>
    <row r="11" spans="1:23">
      <c r="A11" s="126"/>
      <c r="B11" s="115"/>
      <c r="C11" s="115"/>
      <c r="D11" s="115"/>
      <c r="E11" s="115"/>
      <c r="F11" s="122"/>
      <c r="G11" s="125"/>
      <c r="H11" s="125"/>
      <c r="J11" s="1821"/>
    </row>
    <row r="12" spans="1:23">
      <c r="A12" s="126"/>
      <c r="B12" s="115"/>
      <c r="C12" s="115"/>
      <c r="D12" s="115"/>
      <c r="E12" s="2181" t="s">
        <v>473</v>
      </c>
      <c r="F12" s="2148"/>
      <c r="G12" s="2148"/>
      <c r="H12" s="2148"/>
    </row>
    <row r="13" spans="1:23" ht="15" customHeight="1">
      <c r="A13" s="110"/>
      <c r="B13" s="110"/>
      <c r="C13" s="110"/>
      <c r="D13" s="110"/>
      <c r="E13" s="2141"/>
      <c r="F13" s="2141"/>
      <c r="G13" s="2141"/>
      <c r="H13" s="2141"/>
      <c r="I13" s="2186">
        <v>2025</v>
      </c>
      <c r="J13" s="2097"/>
      <c r="K13" s="2097"/>
      <c r="L13" s="2097"/>
      <c r="M13" s="2098"/>
      <c r="N13" s="2186">
        <v>2026</v>
      </c>
      <c r="O13" s="2097"/>
      <c r="P13" s="2097"/>
      <c r="Q13" s="2097"/>
      <c r="R13" s="2098"/>
      <c r="S13" s="2186">
        <v>2027</v>
      </c>
      <c r="T13" s="2097"/>
      <c r="U13" s="2097"/>
      <c r="V13" s="2097"/>
      <c r="W13" s="2098"/>
    </row>
    <row r="14" spans="1:23" ht="30" customHeight="1" thickBot="1">
      <c r="A14" s="2184" t="s">
        <v>5</v>
      </c>
      <c r="B14" s="2137"/>
      <c r="C14" s="128" t="s">
        <v>1</v>
      </c>
      <c r="D14" s="128" t="s">
        <v>260</v>
      </c>
      <c r="E14" s="129" t="s">
        <v>474</v>
      </c>
      <c r="F14" s="2182" t="s">
        <v>6</v>
      </c>
      <c r="G14" s="2097"/>
      <c r="H14" s="2098"/>
      <c r="I14" s="615" t="s">
        <v>474</v>
      </c>
      <c r="J14" s="616" t="s">
        <v>944</v>
      </c>
      <c r="K14" s="617" t="s">
        <v>945</v>
      </c>
      <c r="L14" s="616" t="s">
        <v>946</v>
      </c>
      <c r="M14" s="618" t="s">
        <v>947</v>
      </c>
      <c r="N14" s="615" t="s">
        <v>474</v>
      </c>
      <c r="O14" s="616" t="s">
        <v>944</v>
      </c>
      <c r="P14" s="617" t="s">
        <v>945</v>
      </c>
      <c r="Q14" s="616" t="s">
        <v>946</v>
      </c>
      <c r="R14" s="618" t="s">
        <v>947</v>
      </c>
      <c r="S14" s="615" t="s">
        <v>474</v>
      </c>
      <c r="T14" s="616" t="s">
        <v>944</v>
      </c>
      <c r="U14" s="617" t="s">
        <v>945</v>
      </c>
      <c r="V14" s="616" t="s">
        <v>946</v>
      </c>
      <c r="W14" s="618" t="s">
        <v>947</v>
      </c>
    </row>
    <row r="15" spans="1:23" ht="30" customHeight="1">
      <c r="A15" s="2183" t="s">
        <v>17</v>
      </c>
      <c r="B15" s="2140"/>
      <c r="C15" s="130" t="s">
        <v>59</v>
      </c>
      <c r="D15" s="131" t="s">
        <v>251</v>
      </c>
      <c r="E15" s="132"/>
      <c r="F15" s="1828"/>
      <c r="G15" s="2140"/>
      <c r="H15" s="2137"/>
      <c r="I15" s="619"/>
      <c r="J15" s="620"/>
      <c r="K15" s="620"/>
      <c r="L15" s="620"/>
      <c r="M15" s="621"/>
      <c r="N15" s="619"/>
      <c r="O15" s="620"/>
      <c r="P15" s="620"/>
      <c r="Q15" s="620"/>
      <c r="R15" s="621"/>
      <c r="S15" s="619"/>
      <c r="T15" s="620"/>
      <c r="U15" s="620"/>
      <c r="V15" s="620"/>
      <c r="W15" s="622"/>
    </row>
    <row r="16" spans="1:23" ht="48.75" customHeight="1">
      <c r="A16" s="2148"/>
      <c r="B16" s="2148"/>
      <c r="C16" s="133" t="s">
        <v>18</v>
      </c>
      <c r="D16" s="134" t="s">
        <v>168</v>
      </c>
      <c r="E16" s="135"/>
      <c r="F16" s="1845"/>
      <c r="G16" s="1845"/>
      <c r="H16" s="2139"/>
      <c r="I16" s="623"/>
      <c r="J16" s="624"/>
      <c r="K16" s="624"/>
      <c r="L16" s="624"/>
      <c r="M16" s="624"/>
      <c r="N16" s="623"/>
      <c r="O16" s="624"/>
      <c r="P16" s="624"/>
      <c r="Q16" s="624"/>
      <c r="R16" s="624"/>
      <c r="S16" s="623"/>
      <c r="T16" s="624"/>
      <c r="U16" s="624"/>
      <c r="V16" s="624"/>
      <c r="W16" s="625"/>
    </row>
    <row r="17" spans="1:16384" ht="38.25" customHeight="1" thickBot="1">
      <c r="A17" s="2141"/>
      <c r="B17" s="2141"/>
      <c r="C17" s="136" t="s">
        <v>19</v>
      </c>
      <c r="D17" s="137" t="s">
        <v>233</v>
      </c>
      <c r="E17" s="138"/>
      <c r="F17" s="2141"/>
      <c r="G17" s="2141"/>
      <c r="H17" s="2142"/>
      <c r="I17" s="326"/>
      <c r="J17" s="624"/>
      <c r="K17" s="624"/>
      <c r="L17" s="624"/>
      <c r="M17" s="624"/>
      <c r="N17" s="326"/>
      <c r="O17" s="624"/>
      <c r="P17" s="624"/>
      <c r="Q17" s="624"/>
      <c r="R17" s="624"/>
      <c r="S17" s="326"/>
      <c r="T17" s="624"/>
      <c r="U17" s="624"/>
      <c r="V17" s="624"/>
      <c r="W17" s="625"/>
    </row>
    <row r="18" spans="1:16384" ht="31.5" customHeight="1">
      <c r="A18" s="2183" t="s">
        <v>20</v>
      </c>
      <c r="B18" s="2140"/>
      <c r="C18" s="130" t="s">
        <v>54</v>
      </c>
      <c r="D18" s="137" t="s">
        <v>261</v>
      </c>
      <c r="E18" s="138"/>
      <c r="F18" s="1828"/>
      <c r="G18" s="2140"/>
      <c r="H18" s="2137"/>
      <c r="I18" s="326"/>
      <c r="J18" s="624"/>
      <c r="K18" s="624"/>
      <c r="L18" s="624"/>
      <c r="M18" s="624"/>
      <c r="N18" s="326"/>
      <c r="O18" s="624"/>
      <c r="P18" s="624"/>
      <c r="Q18" s="624"/>
      <c r="R18" s="624"/>
      <c r="S18" s="326"/>
      <c r="T18" s="624"/>
      <c r="U18" s="624"/>
      <c r="V18" s="624"/>
      <c r="W18" s="625"/>
    </row>
    <row r="19" spans="1:16384" ht="52.5" customHeight="1">
      <c r="A19" s="2148"/>
      <c r="B19" s="2148"/>
      <c r="C19" s="139" t="s">
        <v>21</v>
      </c>
      <c r="D19" s="137" t="s">
        <v>234</v>
      </c>
      <c r="E19" s="138"/>
      <c r="F19" s="1845"/>
      <c r="G19" s="1845"/>
      <c r="H19" s="2139"/>
      <c r="I19" s="326"/>
      <c r="J19" s="624"/>
      <c r="K19" s="624"/>
      <c r="L19" s="624"/>
      <c r="M19" s="624"/>
      <c r="N19" s="326"/>
      <c r="O19" s="624"/>
      <c r="P19" s="624"/>
      <c r="Q19" s="624"/>
      <c r="R19" s="624"/>
      <c r="S19" s="326"/>
      <c r="T19" s="624"/>
      <c r="U19" s="624"/>
      <c r="V19" s="624"/>
      <c r="W19" s="625"/>
    </row>
    <row r="20" spans="1:16384" s="17" customFormat="1" ht="26.25" customHeight="1" thickBot="1">
      <c r="A20" s="2148"/>
      <c r="B20" s="2148"/>
      <c r="C20" s="136" t="s">
        <v>22</v>
      </c>
      <c r="D20" s="137" t="s">
        <v>235</v>
      </c>
      <c r="E20" s="138"/>
      <c r="F20" s="2141"/>
      <c r="G20" s="2141"/>
      <c r="H20" s="2142"/>
      <c r="I20" s="326"/>
      <c r="J20" s="624"/>
      <c r="K20" s="624"/>
      <c r="L20" s="624"/>
      <c r="M20" s="624"/>
      <c r="N20" s="326"/>
      <c r="O20" s="624"/>
      <c r="P20" s="624"/>
      <c r="Q20" s="624"/>
      <c r="R20" s="624"/>
      <c r="S20" s="326"/>
      <c r="T20" s="624"/>
      <c r="U20" s="624"/>
      <c r="V20" s="624"/>
      <c r="W20" s="625"/>
      <c r="X20" s="2185"/>
      <c r="Y20" s="16"/>
      <c r="Z20" s="2185"/>
      <c r="AA20" s="16"/>
      <c r="AB20" s="2185"/>
      <c r="AC20" s="16"/>
      <c r="AD20" s="2185"/>
      <c r="AE20" s="16"/>
      <c r="AF20" s="2185"/>
      <c r="AG20" s="16"/>
      <c r="AH20" s="2185"/>
      <c r="AI20" s="16"/>
      <c r="AJ20" s="2185"/>
      <c r="AK20" s="16"/>
      <c r="AL20" s="2185"/>
      <c r="AM20" s="16"/>
      <c r="AN20" s="2185"/>
      <c r="AO20" s="16"/>
      <c r="AP20" s="2185"/>
      <c r="AQ20" s="16"/>
      <c r="AR20" s="2185"/>
      <c r="AS20" s="16"/>
      <c r="AT20" s="2185"/>
      <c r="AU20" s="16"/>
      <c r="AV20" s="2185"/>
      <c r="AW20" s="16"/>
      <c r="AX20" s="2185"/>
      <c r="AY20" s="16"/>
      <c r="AZ20" s="2185"/>
      <c r="BA20" s="16"/>
      <c r="BB20" s="2185"/>
      <c r="BC20" s="16"/>
      <c r="BD20" s="2185"/>
      <c r="BE20" s="16"/>
      <c r="BF20" s="2185"/>
      <c r="BG20" s="16"/>
      <c r="BH20" s="2185"/>
      <c r="BI20" s="16"/>
      <c r="BJ20" s="2185"/>
      <c r="BK20" s="16"/>
      <c r="BL20" s="2185"/>
      <c r="BM20" s="16"/>
      <c r="BN20" s="2185"/>
      <c r="BO20" s="16"/>
      <c r="BP20" s="2185"/>
      <c r="BQ20" s="16"/>
      <c r="BR20" s="2185"/>
      <c r="BS20" s="16"/>
      <c r="BT20" s="2185"/>
      <c r="BU20" s="16"/>
      <c r="BV20" s="2185"/>
      <c r="BW20" s="16"/>
      <c r="BX20" s="2185"/>
      <c r="BY20" s="16"/>
      <c r="BZ20" s="2185"/>
      <c r="CA20" s="16"/>
      <c r="CB20" s="2185"/>
      <c r="CC20" s="16"/>
      <c r="CD20" s="2185"/>
      <c r="CE20" s="16"/>
      <c r="CF20" s="2185"/>
      <c r="CG20" s="16"/>
      <c r="CH20" s="2185"/>
      <c r="CI20" s="16"/>
      <c r="CJ20" s="2185"/>
      <c r="CK20" s="16"/>
      <c r="CL20" s="2185"/>
      <c r="CM20" s="16"/>
      <c r="CN20" s="2185"/>
      <c r="CO20" s="16"/>
      <c r="CP20" s="2185"/>
      <c r="CQ20" s="16"/>
      <c r="CR20" s="2185"/>
      <c r="CS20" s="16"/>
      <c r="CT20" s="2185"/>
      <c r="CU20" s="16"/>
      <c r="CV20" s="2185"/>
      <c r="CW20" s="16"/>
      <c r="CX20" s="2185"/>
      <c r="CY20" s="16"/>
      <c r="CZ20" s="2185"/>
      <c r="DA20" s="16"/>
      <c r="DB20" s="2185"/>
      <c r="DC20" s="16"/>
      <c r="DD20" s="2185"/>
      <c r="DE20" s="16"/>
      <c r="DF20" s="2185"/>
      <c r="DG20" s="16"/>
      <c r="DH20" s="2185"/>
      <c r="DI20" s="16"/>
      <c r="DJ20" s="2185"/>
      <c r="DK20" s="16"/>
      <c r="DL20" s="2185"/>
      <c r="DM20" s="16"/>
      <c r="DN20" s="2185"/>
      <c r="DO20" s="16"/>
      <c r="DP20" s="2185"/>
      <c r="DQ20" s="16"/>
      <c r="DR20" s="2185"/>
      <c r="DS20" s="16"/>
      <c r="DT20" s="2185"/>
      <c r="DU20" s="16"/>
      <c r="DV20" s="2185"/>
      <c r="DW20" s="16"/>
      <c r="DX20" s="2185"/>
      <c r="DY20" s="16"/>
      <c r="DZ20" s="2185"/>
      <c r="EA20" s="16"/>
      <c r="EB20" s="2185"/>
      <c r="EC20" s="16"/>
      <c r="ED20" s="2185"/>
      <c r="EE20" s="16"/>
      <c r="EF20" s="2185"/>
      <c r="EG20" s="16"/>
      <c r="EH20" s="2185"/>
      <c r="EI20" s="16"/>
      <c r="EJ20" s="2185"/>
      <c r="EK20" s="16"/>
      <c r="EL20" s="2185"/>
      <c r="EM20" s="16"/>
      <c r="EN20" s="2185"/>
      <c r="EO20" s="16"/>
      <c r="EP20" s="2185"/>
      <c r="EQ20" s="16"/>
      <c r="ER20" s="2185"/>
      <c r="ES20" s="16"/>
      <c r="ET20" s="2185"/>
      <c r="EU20" s="16"/>
      <c r="EV20" s="2185"/>
      <c r="EW20" s="16"/>
      <c r="EX20" s="2185"/>
      <c r="EY20" s="16"/>
      <c r="EZ20" s="2185"/>
      <c r="FA20" s="16"/>
      <c r="FB20" s="2185"/>
      <c r="FC20" s="16"/>
      <c r="FD20" s="2185"/>
      <c r="FE20" s="16"/>
      <c r="FF20" s="2185"/>
      <c r="FG20" s="16"/>
      <c r="FH20" s="2185"/>
      <c r="FI20" s="16"/>
      <c r="FJ20" s="2185"/>
      <c r="FK20" s="16"/>
      <c r="FL20" s="2185"/>
      <c r="FM20" s="16"/>
      <c r="FN20" s="2185"/>
      <c r="FO20" s="16"/>
      <c r="FP20" s="2185"/>
      <c r="FQ20" s="16"/>
      <c r="FR20" s="2185"/>
      <c r="FS20" s="16"/>
      <c r="FT20" s="2185"/>
      <c r="FU20" s="16"/>
      <c r="FV20" s="2185"/>
      <c r="FW20" s="16"/>
      <c r="FX20" s="2185"/>
      <c r="FY20" s="16"/>
      <c r="FZ20" s="2185"/>
      <c r="GA20" s="16"/>
      <c r="GB20" s="2185"/>
      <c r="GC20" s="16"/>
      <c r="GD20" s="2185"/>
      <c r="GE20" s="16"/>
      <c r="GF20" s="2185"/>
      <c r="GG20" s="16"/>
      <c r="GH20" s="2185"/>
      <c r="GI20" s="16"/>
      <c r="GJ20" s="2185"/>
      <c r="GK20" s="16"/>
      <c r="GL20" s="2185"/>
      <c r="GM20" s="16"/>
      <c r="GN20" s="2185"/>
      <c r="GO20" s="16"/>
      <c r="GP20" s="2185"/>
      <c r="GQ20" s="16"/>
      <c r="GR20" s="2185"/>
      <c r="GS20" s="16"/>
      <c r="GT20" s="2185"/>
      <c r="GU20" s="16"/>
      <c r="GV20" s="2185"/>
      <c r="GW20" s="16"/>
      <c r="GX20" s="2185"/>
      <c r="GY20" s="16"/>
      <c r="GZ20" s="2185"/>
      <c r="HA20" s="16"/>
      <c r="HB20" s="2185"/>
      <c r="HC20" s="16"/>
      <c r="HD20" s="2185"/>
      <c r="HE20" s="16"/>
      <c r="HF20" s="2185"/>
      <c r="HG20" s="16"/>
      <c r="HH20" s="2185"/>
      <c r="HI20" s="16"/>
      <c r="HJ20" s="2185"/>
      <c r="HK20" s="16"/>
      <c r="HL20" s="2185"/>
      <c r="HM20" s="16"/>
      <c r="HN20" s="2185"/>
      <c r="HO20" s="16"/>
      <c r="HP20" s="2185"/>
      <c r="HQ20" s="16"/>
      <c r="HR20" s="2185"/>
      <c r="HS20" s="16"/>
      <c r="HT20" s="2185"/>
      <c r="HU20" s="16"/>
      <c r="HV20" s="2185"/>
      <c r="HW20" s="16"/>
      <c r="HX20" s="2185"/>
      <c r="HY20" s="16"/>
      <c r="HZ20" s="2185"/>
      <c r="IA20" s="16"/>
      <c r="IB20" s="2185"/>
      <c r="IC20" s="16"/>
      <c r="ID20" s="2185"/>
      <c r="IE20" s="16"/>
      <c r="IF20" s="2185"/>
      <c r="IG20" s="16"/>
      <c r="IH20" s="2185"/>
      <c r="II20" s="16"/>
      <c r="IJ20" s="2185"/>
      <c r="IK20" s="16"/>
      <c r="IL20" s="2185"/>
      <c r="IM20" s="16"/>
      <c r="IN20" s="2185"/>
      <c r="IO20" s="16"/>
      <c r="IP20" s="2185"/>
      <c r="IQ20" s="16"/>
      <c r="IR20" s="2185"/>
      <c r="IS20" s="16"/>
      <c r="IT20" s="2185"/>
      <c r="IU20" s="16"/>
      <c r="IV20" s="2185"/>
      <c r="IW20" s="16"/>
      <c r="IX20" s="2185"/>
      <c r="IY20" s="16"/>
      <c r="IZ20" s="2185"/>
      <c r="JA20" s="16"/>
      <c r="JB20" s="2185"/>
      <c r="JC20" s="16"/>
      <c r="JD20" s="2185"/>
      <c r="JE20" s="16"/>
      <c r="JF20" s="2185"/>
      <c r="JG20" s="16"/>
      <c r="JH20" s="2185"/>
      <c r="JI20" s="16"/>
      <c r="JJ20" s="2185"/>
      <c r="JK20" s="16"/>
      <c r="JL20" s="2185"/>
      <c r="JM20" s="16"/>
      <c r="JN20" s="2185"/>
      <c r="JO20" s="16"/>
      <c r="JP20" s="2185"/>
      <c r="JQ20" s="16"/>
      <c r="JR20" s="2185"/>
      <c r="JS20" s="16"/>
      <c r="JT20" s="2185"/>
      <c r="JU20" s="16"/>
      <c r="JV20" s="2185"/>
      <c r="JW20" s="16"/>
      <c r="JX20" s="2185"/>
      <c r="JY20" s="16"/>
      <c r="JZ20" s="2185"/>
      <c r="KA20" s="16"/>
      <c r="KB20" s="2185"/>
      <c r="KC20" s="16"/>
      <c r="KD20" s="2185"/>
      <c r="KE20" s="16"/>
      <c r="KF20" s="2185"/>
      <c r="KG20" s="16"/>
      <c r="KH20" s="2185"/>
      <c r="KI20" s="16"/>
      <c r="KJ20" s="2185"/>
      <c r="KK20" s="16"/>
      <c r="KL20" s="2185"/>
      <c r="KM20" s="16"/>
      <c r="KN20" s="2185"/>
      <c r="KO20" s="16"/>
      <c r="KP20" s="2185"/>
      <c r="KQ20" s="16"/>
      <c r="KR20" s="2185"/>
      <c r="KS20" s="16"/>
      <c r="KT20" s="2185"/>
      <c r="KU20" s="16"/>
      <c r="KV20" s="2185"/>
      <c r="KW20" s="16"/>
      <c r="KX20" s="2185"/>
      <c r="KY20" s="16"/>
      <c r="KZ20" s="2185"/>
      <c r="LA20" s="16"/>
      <c r="LB20" s="2185"/>
      <c r="LC20" s="16"/>
      <c r="LD20" s="2185"/>
      <c r="LE20" s="16"/>
      <c r="LF20" s="2185"/>
      <c r="LG20" s="16"/>
      <c r="LH20" s="2185"/>
      <c r="LI20" s="16"/>
      <c r="LJ20" s="2185"/>
      <c r="LK20" s="16"/>
      <c r="LL20" s="2185"/>
      <c r="LM20" s="16"/>
      <c r="LN20" s="2185"/>
      <c r="LO20" s="16"/>
      <c r="LP20" s="2185"/>
      <c r="LQ20" s="16"/>
      <c r="LR20" s="2185"/>
      <c r="LS20" s="16"/>
      <c r="LT20" s="2185"/>
      <c r="LU20" s="16"/>
      <c r="LV20" s="2185"/>
      <c r="LW20" s="16"/>
      <c r="LX20" s="2185"/>
      <c r="LY20" s="16"/>
      <c r="LZ20" s="2185"/>
      <c r="MA20" s="16"/>
      <c r="MB20" s="2185"/>
      <c r="MC20" s="16"/>
      <c r="MD20" s="2185"/>
      <c r="ME20" s="16"/>
      <c r="MF20" s="2185"/>
      <c r="MG20" s="16"/>
      <c r="MH20" s="2185"/>
      <c r="MI20" s="16"/>
      <c r="MJ20" s="2185"/>
      <c r="MK20" s="16"/>
      <c r="ML20" s="2185"/>
      <c r="MM20" s="16"/>
      <c r="MN20" s="2185"/>
      <c r="MO20" s="16"/>
      <c r="MP20" s="2185"/>
      <c r="MQ20" s="16"/>
      <c r="MR20" s="2185"/>
      <c r="MS20" s="16"/>
      <c r="MT20" s="2185"/>
      <c r="MU20" s="16"/>
      <c r="MV20" s="2185"/>
      <c r="MW20" s="16"/>
      <c r="MX20" s="2185"/>
      <c r="MY20" s="16"/>
      <c r="MZ20" s="2185"/>
      <c r="NA20" s="16"/>
      <c r="NB20" s="2185"/>
      <c r="NC20" s="16"/>
      <c r="ND20" s="2185"/>
      <c r="NE20" s="16"/>
      <c r="NF20" s="2185"/>
      <c r="NG20" s="16"/>
      <c r="NH20" s="2185"/>
      <c r="NI20" s="16"/>
      <c r="NJ20" s="2185"/>
      <c r="NK20" s="16"/>
      <c r="NL20" s="2185"/>
      <c r="NM20" s="16"/>
      <c r="NN20" s="2185"/>
      <c r="NO20" s="16"/>
      <c r="NP20" s="2185"/>
      <c r="NQ20" s="16"/>
      <c r="NR20" s="2185"/>
      <c r="NS20" s="16"/>
      <c r="NT20" s="2185"/>
      <c r="NU20" s="16"/>
      <c r="NV20" s="2185"/>
      <c r="NW20" s="16"/>
      <c r="NX20" s="2185"/>
      <c r="NY20" s="16"/>
      <c r="NZ20" s="2185"/>
      <c r="OA20" s="16"/>
      <c r="OB20" s="2185"/>
      <c r="OC20" s="16"/>
      <c r="OD20" s="2185"/>
      <c r="OE20" s="16"/>
      <c r="OF20" s="2185"/>
      <c r="OG20" s="16"/>
      <c r="OH20" s="2185"/>
      <c r="OI20" s="16"/>
      <c r="OJ20" s="2185"/>
      <c r="OK20" s="16"/>
      <c r="OL20" s="2185"/>
      <c r="OM20" s="16"/>
      <c r="ON20" s="2185"/>
      <c r="OO20" s="16"/>
      <c r="OP20" s="2185"/>
      <c r="OQ20" s="16"/>
      <c r="OR20" s="2185"/>
      <c r="OS20" s="16"/>
      <c r="OT20" s="2185"/>
      <c r="OU20" s="16"/>
      <c r="OV20" s="2185"/>
      <c r="OW20" s="16"/>
      <c r="OX20" s="2185"/>
      <c r="OY20" s="16"/>
      <c r="OZ20" s="2185"/>
      <c r="PA20" s="16"/>
      <c r="PB20" s="2185"/>
      <c r="PC20" s="16"/>
      <c r="PD20" s="2185"/>
      <c r="PE20" s="16"/>
      <c r="PF20" s="2185"/>
      <c r="PG20" s="16"/>
      <c r="PH20" s="2185"/>
      <c r="PI20" s="16"/>
      <c r="PJ20" s="2185"/>
      <c r="PK20" s="16"/>
      <c r="PL20" s="2185"/>
      <c r="PM20" s="16"/>
      <c r="PN20" s="2185"/>
      <c r="PO20" s="16"/>
      <c r="PP20" s="2185"/>
      <c r="PQ20" s="16"/>
      <c r="PR20" s="2185"/>
      <c r="PS20" s="16"/>
      <c r="PT20" s="2185"/>
      <c r="PU20" s="16"/>
      <c r="PV20" s="2185"/>
      <c r="PW20" s="16"/>
      <c r="PX20" s="2185"/>
      <c r="PY20" s="16"/>
      <c r="PZ20" s="2185"/>
      <c r="QA20" s="16"/>
      <c r="QB20" s="2185"/>
      <c r="QC20" s="16"/>
      <c r="QD20" s="2185"/>
      <c r="QE20" s="16"/>
      <c r="QF20" s="2185"/>
      <c r="QG20" s="16"/>
      <c r="QH20" s="2185"/>
      <c r="QI20" s="16"/>
      <c r="QJ20" s="2185"/>
      <c r="QK20" s="16"/>
      <c r="QL20" s="2185"/>
      <c r="QM20" s="16"/>
      <c r="QN20" s="2185"/>
      <c r="QO20" s="16"/>
      <c r="QP20" s="2185"/>
      <c r="QQ20" s="16"/>
      <c r="QR20" s="2185"/>
      <c r="QS20" s="16"/>
      <c r="QT20" s="2185"/>
      <c r="QU20" s="16"/>
      <c r="QV20" s="2185"/>
      <c r="QW20" s="16"/>
      <c r="QX20" s="2185"/>
      <c r="QY20" s="16"/>
      <c r="QZ20" s="2185"/>
      <c r="RA20" s="16"/>
      <c r="RB20" s="2185"/>
      <c r="RC20" s="16"/>
      <c r="RD20" s="2185"/>
      <c r="RE20" s="16"/>
      <c r="RF20" s="2185"/>
      <c r="RG20" s="16"/>
      <c r="RH20" s="2185"/>
      <c r="RI20" s="16"/>
      <c r="RJ20" s="2185"/>
      <c r="RK20" s="16"/>
      <c r="RL20" s="2185"/>
      <c r="RM20" s="16"/>
      <c r="RN20" s="2185"/>
      <c r="RO20" s="16"/>
      <c r="RP20" s="2185"/>
      <c r="RQ20" s="16"/>
      <c r="RR20" s="2185"/>
      <c r="RS20" s="16"/>
      <c r="RT20" s="2185"/>
      <c r="RU20" s="16"/>
      <c r="RV20" s="2185"/>
      <c r="RW20" s="16"/>
      <c r="RX20" s="2185"/>
      <c r="RY20" s="16"/>
      <c r="RZ20" s="2185"/>
      <c r="SA20" s="16"/>
      <c r="SB20" s="2185"/>
      <c r="SC20" s="16"/>
      <c r="SD20" s="2185"/>
      <c r="SE20" s="16"/>
      <c r="SF20" s="2185"/>
      <c r="SG20" s="16"/>
      <c r="SH20" s="2185"/>
      <c r="SI20" s="16"/>
      <c r="SJ20" s="2185"/>
      <c r="SK20" s="16"/>
      <c r="SL20" s="2185"/>
      <c r="SM20" s="16"/>
      <c r="SN20" s="2185"/>
      <c r="SO20" s="16"/>
      <c r="SP20" s="2185"/>
      <c r="SQ20" s="16"/>
      <c r="SR20" s="2185"/>
      <c r="SS20" s="16"/>
      <c r="ST20" s="2185"/>
      <c r="SU20" s="16"/>
      <c r="SV20" s="2185"/>
      <c r="SW20" s="16"/>
      <c r="SX20" s="2185"/>
      <c r="SY20" s="16"/>
      <c r="SZ20" s="2185"/>
      <c r="TA20" s="16"/>
      <c r="TB20" s="2185"/>
      <c r="TC20" s="16"/>
      <c r="TD20" s="2185"/>
      <c r="TE20" s="16"/>
      <c r="TF20" s="2185"/>
      <c r="TG20" s="16"/>
      <c r="TH20" s="2185"/>
      <c r="TI20" s="16"/>
      <c r="TJ20" s="2185"/>
      <c r="TK20" s="16"/>
      <c r="TL20" s="2185"/>
      <c r="TM20" s="16"/>
      <c r="TN20" s="2185"/>
      <c r="TO20" s="16"/>
      <c r="TP20" s="2185"/>
      <c r="TQ20" s="16"/>
      <c r="TR20" s="2185"/>
      <c r="TS20" s="16"/>
      <c r="TT20" s="2185"/>
      <c r="TU20" s="16"/>
      <c r="TV20" s="2185"/>
      <c r="TW20" s="16"/>
      <c r="TX20" s="2185"/>
      <c r="TY20" s="16"/>
      <c r="TZ20" s="2185"/>
      <c r="UA20" s="16"/>
      <c r="UB20" s="2185"/>
      <c r="UC20" s="16"/>
      <c r="UD20" s="2185"/>
      <c r="UE20" s="16"/>
      <c r="UF20" s="2185"/>
      <c r="UG20" s="16"/>
      <c r="UH20" s="2185"/>
      <c r="UI20" s="16"/>
      <c r="UJ20" s="2185"/>
      <c r="UK20" s="16"/>
      <c r="UL20" s="2185"/>
      <c r="UM20" s="16"/>
      <c r="UN20" s="2185"/>
      <c r="UO20" s="16"/>
      <c r="UP20" s="2185"/>
      <c r="UQ20" s="16"/>
      <c r="UR20" s="2185"/>
      <c r="US20" s="16"/>
      <c r="UT20" s="2185"/>
      <c r="UU20" s="16"/>
      <c r="UV20" s="2185"/>
      <c r="UW20" s="16"/>
      <c r="UX20" s="2185"/>
      <c r="UY20" s="16"/>
      <c r="UZ20" s="2185"/>
      <c r="VA20" s="16"/>
      <c r="VB20" s="2185"/>
      <c r="VC20" s="16"/>
      <c r="VD20" s="2185"/>
      <c r="VE20" s="16"/>
      <c r="VF20" s="2185"/>
      <c r="VG20" s="16"/>
      <c r="VH20" s="2185"/>
      <c r="VI20" s="16"/>
      <c r="VJ20" s="2185"/>
      <c r="VK20" s="16"/>
      <c r="VL20" s="2185"/>
      <c r="VM20" s="16"/>
      <c r="VN20" s="2185"/>
      <c r="VO20" s="16"/>
      <c r="VP20" s="2185"/>
      <c r="VQ20" s="16"/>
      <c r="VR20" s="2185"/>
      <c r="VS20" s="16"/>
      <c r="VT20" s="2185"/>
      <c r="VU20" s="16"/>
      <c r="VV20" s="2185"/>
      <c r="VW20" s="16"/>
      <c r="VX20" s="2185"/>
      <c r="VY20" s="16"/>
      <c r="VZ20" s="2185"/>
      <c r="WA20" s="16"/>
      <c r="WB20" s="2185"/>
      <c r="WC20" s="16"/>
      <c r="WD20" s="2185"/>
      <c r="WE20" s="16"/>
      <c r="WF20" s="2185"/>
      <c r="WG20" s="16"/>
      <c r="WH20" s="2185"/>
      <c r="WI20" s="16"/>
      <c r="WJ20" s="2185"/>
      <c r="WK20" s="16"/>
      <c r="WL20" s="2185"/>
      <c r="WM20" s="16"/>
      <c r="WN20" s="2185"/>
      <c r="WO20" s="16"/>
      <c r="WP20" s="2185"/>
      <c r="WQ20" s="16"/>
      <c r="WR20" s="2185"/>
      <c r="WS20" s="16"/>
      <c r="WT20" s="2185"/>
      <c r="WU20" s="16"/>
      <c r="WV20" s="2185"/>
      <c r="WW20" s="16"/>
      <c r="WX20" s="2185"/>
      <c r="WY20" s="16"/>
      <c r="WZ20" s="2185"/>
      <c r="XA20" s="16"/>
      <c r="XB20" s="2185"/>
      <c r="XC20" s="16"/>
      <c r="XD20" s="2185"/>
      <c r="XE20" s="16"/>
      <c r="XF20" s="2185"/>
      <c r="XG20" s="16"/>
      <c r="XH20" s="2185"/>
      <c r="XI20" s="16"/>
      <c r="XJ20" s="2185"/>
      <c r="XK20" s="16"/>
      <c r="XL20" s="2185"/>
      <c r="XM20" s="16"/>
      <c r="XN20" s="2185"/>
      <c r="XO20" s="16"/>
      <c r="XP20" s="2185"/>
      <c r="XQ20" s="16"/>
      <c r="XR20" s="2185"/>
      <c r="XS20" s="16"/>
      <c r="XT20" s="2185"/>
      <c r="XU20" s="16"/>
      <c r="XV20" s="2185"/>
      <c r="XW20" s="16"/>
      <c r="XX20" s="2185"/>
      <c r="XY20" s="16"/>
      <c r="XZ20" s="2185"/>
      <c r="YA20" s="16"/>
      <c r="YB20" s="2185"/>
      <c r="YC20" s="16"/>
      <c r="YD20" s="2185"/>
      <c r="YE20" s="16"/>
      <c r="YF20" s="2185"/>
      <c r="YG20" s="16"/>
      <c r="YH20" s="2185"/>
      <c r="YI20" s="16"/>
      <c r="YJ20" s="2185"/>
      <c r="YK20" s="16"/>
      <c r="YL20" s="2185"/>
      <c r="YM20" s="16"/>
      <c r="YN20" s="2185"/>
      <c r="YO20" s="16"/>
      <c r="YP20" s="2185"/>
      <c r="YQ20" s="16"/>
      <c r="YR20" s="2185"/>
      <c r="YS20" s="16"/>
      <c r="YT20" s="2185"/>
      <c r="YU20" s="16"/>
      <c r="YV20" s="2185"/>
      <c r="YW20" s="16"/>
      <c r="YX20" s="2185"/>
      <c r="YY20" s="16"/>
      <c r="YZ20" s="2185"/>
      <c r="ZA20" s="16"/>
      <c r="ZB20" s="2185"/>
      <c r="ZC20" s="16"/>
      <c r="ZD20" s="2185"/>
      <c r="ZE20" s="16"/>
      <c r="ZF20" s="2185"/>
      <c r="ZG20" s="16"/>
      <c r="ZH20" s="2185"/>
      <c r="ZI20" s="16"/>
      <c r="ZJ20" s="2185"/>
      <c r="ZK20" s="16"/>
      <c r="ZL20" s="2185"/>
      <c r="ZM20" s="16"/>
      <c r="ZN20" s="2185"/>
      <c r="ZO20" s="16"/>
      <c r="ZP20" s="2185"/>
      <c r="ZQ20" s="16"/>
      <c r="ZR20" s="2185"/>
      <c r="ZS20" s="16"/>
      <c r="ZT20" s="2185"/>
      <c r="ZU20" s="16"/>
      <c r="ZV20" s="2185"/>
      <c r="ZW20" s="16"/>
      <c r="ZX20" s="2185"/>
      <c r="ZY20" s="16"/>
      <c r="ZZ20" s="2185"/>
      <c r="AAA20" s="16"/>
      <c r="AAB20" s="2185"/>
      <c r="AAC20" s="16"/>
      <c r="AAD20" s="2185"/>
      <c r="AAE20" s="16"/>
      <c r="AAF20" s="2185"/>
      <c r="AAG20" s="16"/>
      <c r="AAH20" s="2185"/>
      <c r="AAI20" s="16"/>
      <c r="AAJ20" s="2185"/>
      <c r="AAK20" s="16"/>
      <c r="AAL20" s="2185"/>
      <c r="AAM20" s="16"/>
      <c r="AAN20" s="2185"/>
      <c r="AAO20" s="16"/>
      <c r="AAP20" s="2185"/>
      <c r="AAQ20" s="16"/>
      <c r="AAR20" s="2185"/>
      <c r="AAS20" s="16"/>
      <c r="AAT20" s="2185"/>
      <c r="AAU20" s="16"/>
      <c r="AAV20" s="2185"/>
      <c r="AAW20" s="16"/>
      <c r="AAX20" s="2185"/>
      <c r="AAY20" s="16"/>
      <c r="AAZ20" s="2185"/>
      <c r="ABA20" s="16"/>
      <c r="ABB20" s="2185"/>
      <c r="ABC20" s="16"/>
      <c r="ABD20" s="2185"/>
      <c r="ABE20" s="16"/>
      <c r="ABF20" s="2185"/>
      <c r="ABG20" s="16"/>
      <c r="ABH20" s="2185"/>
      <c r="ABI20" s="16"/>
      <c r="ABJ20" s="2185"/>
      <c r="ABK20" s="16"/>
      <c r="ABL20" s="2185"/>
      <c r="ABM20" s="16"/>
      <c r="ABN20" s="2185"/>
      <c r="ABO20" s="16"/>
      <c r="ABP20" s="2185"/>
      <c r="ABQ20" s="16"/>
      <c r="ABR20" s="2185"/>
      <c r="ABS20" s="16"/>
      <c r="ABT20" s="2185"/>
      <c r="ABU20" s="16"/>
      <c r="ABV20" s="2185"/>
      <c r="ABW20" s="16"/>
      <c r="ABX20" s="2185"/>
      <c r="ABY20" s="16"/>
      <c r="ABZ20" s="2185"/>
      <c r="ACA20" s="16"/>
      <c r="ACB20" s="2185"/>
      <c r="ACC20" s="16"/>
      <c r="ACD20" s="2185"/>
      <c r="ACE20" s="16"/>
      <c r="ACF20" s="2185"/>
      <c r="ACG20" s="16"/>
      <c r="ACH20" s="2185"/>
      <c r="ACI20" s="16"/>
      <c r="ACJ20" s="2185"/>
      <c r="ACK20" s="16"/>
      <c r="ACL20" s="2185"/>
      <c r="ACM20" s="16"/>
      <c r="ACN20" s="2185"/>
      <c r="ACO20" s="16"/>
      <c r="ACP20" s="2185"/>
      <c r="ACQ20" s="16"/>
      <c r="ACR20" s="2185"/>
      <c r="ACS20" s="16"/>
      <c r="ACT20" s="2185"/>
      <c r="ACU20" s="16"/>
      <c r="ACV20" s="2185"/>
      <c r="ACW20" s="16"/>
      <c r="ACX20" s="2185"/>
      <c r="ACY20" s="16"/>
      <c r="ACZ20" s="2185"/>
      <c r="ADA20" s="16"/>
      <c r="ADB20" s="2185"/>
      <c r="ADC20" s="16"/>
      <c r="ADD20" s="2185"/>
      <c r="ADE20" s="16"/>
      <c r="ADF20" s="2185"/>
      <c r="ADG20" s="16"/>
      <c r="ADH20" s="2185"/>
      <c r="ADI20" s="16"/>
      <c r="ADJ20" s="2185"/>
      <c r="ADK20" s="16"/>
      <c r="ADL20" s="2185"/>
      <c r="ADM20" s="16"/>
      <c r="ADN20" s="2185"/>
      <c r="ADO20" s="16"/>
      <c r="ADP20" s="2185"/>
      <c r="ADQ20" s="16"/>
      <c r="ADR20" s="2185"/>
      <c r="ADS20" s="16"/>
      <c r="ADT20" s="2185"/>
      <c r="ADU20" s="16"/>
      <c r="ADV20" s="2185"/>
      <c r="ADW20" s="16"/>
      <c r="ADX20" s="2185"/>
      <c r="ADY20" s="16"/>
      <c r="ADZ20" s="2185"/>
      <c r="AEA20" s="16"/>
      <c r="AEB20" s="2185"/>
      <c r="AEC20" s="16"/>
      <c r="AED20" s="2185"/>
      <c r="AEE20" s="16"/>
      <c r="AEF20" s="2185"/>
      <c r="AEG20" s="16"/>
      <c r="AEH20" s="2185"/>
      <c r="AEI20" s="16"/>
      <c r="AEJ20" s="2185"/>
      <c r="AEK20" s="16"/>
      <c r="AEL20" s="2185"/>
      <c r="AEM20" s="16"/>
      <c r="AEN20" s="2185"/>
      <c r="AEO20" s="16"/>
      <c r="AEP20" s="2185"/>
      <c r="AEQ20" s="16"/>
      <c r="AER20" s="2185"/>
      <c r="AES20" s="16"/>
      <c r="AET20" s="2185"/>
      <c r="AEU20" s="16"/>
      <c r="AEV20" s="2185"/>
      <c r="AEW20" s="16"/>
      <c r="AEX20" s="2185"/>
      <c r="AEY20" s="16"/>
      <c r="AEZ20" s="2185"/>
      <c r="AFA20" s="16"/>
      <c r="AFB20" s="2185"/>
      <c r="AFC20" s="16"/>
      <c r="AFD20" s="2185"/>
      <c r="AFE20" s="16"/>
      <c r="AFF20" s="2185"/>
      <c r="AFG20" s="16"/>
      <c r="AFH20" s="2185"/>
      <c r="AFI20" s="16"/>
      <c r="AFJ20" s="2185"/>
      <c r="AFK20" s="16"/>
      <c r="AFL20" s="2185"/>
      <c r="AFM20" s="16"/>
      <c r="AFN20" s="2185"/>
      <c r="AFO20" s="16"/>
      <c r="AFP20" s="2185"/>
      <c r="AFQ20" s="16"/>
      <c r="AFR20" s="2185"/>
      <c r="AFS20" s="16"/>
      <c r="AFT20" s="2185"/>
      <c r="AFU20" s="16"/>
      <c r="AFV20" s="2185"/>
      <c r="AFW20" s="16"/>
      <c r="AFX20" s="2185"/>
      <c r="AFY20" s="16"/>
      <c r="AFZ20" s="2185"/>
      <c r="AGA20" s="16"/>
      <c r="AGB20" s="2185"/>
      <c r="AGC20" s="16"/>
      <c r="AGD20" s="2185"/>
      <c r="AGE20" s="16"/>
      <c r="AGF20" s="2185"/>
      <c r="AGG20" s="16"/>
      <c r="AGH20" s="2185"/>
      <c r="AGI20" s="16"/>
      <c r="AGJ20" s="2185"/>
      <c r="AGK20" s="16"/>
      <c r="AGL20" s="2185"/>
      <c r="AGM20" s="16"/>
      <c r="AGN20" s="2185"/>
      <c r="AGO20" s="16"/>
      <c r="AGP20" s="2185"/>
      <c r="AGQ20" s="16"/>
      <c r="AGR20" s="2185"/>
      <c r="AGS20" s="16"/>
      <c r="AGT20" s="2185"/>
      <c r="AGU20" s="16"/>
      <c r="AGV20" s="2185"/>
      <c r="AGW20" s="16"/>
      <c r="AGX20" s="2185"/>
      <c r="AGY20" s="16"/>
      <c r="AGZ20" s="2185"/>
      <c r="AHA20" s="16"/>
      <c r="AHB20" s="2185"/>
      <c r="AHC20" s="16"/>
      <c r="AHD20" s="2185"/>
      <c r="AHE20" s="16"/>
      <c r="AHF20" s="2185"/>
      <c r="AHG20" s="16"/>
      <c r="AHH20" s="2185"/>
      <c r="AHI20" s="16"/>
      <c r="AHJ20" s="2185"/>
      <c r="AHK20" s="16"/>
      <c r="AHL20" s="2185"/>
      <c r="AHM20" s="16"/>
      <c r="AHN20" s="2185"/>
      <c r="AHO20" s="16"/>
      <c r="AHP20" s="2185"/>
      <c r="AHQ20" s="16"/>
      <c r="AHR20" s="2185"/>
      <c r="AHS20" s="16"/>
      <c r="AHT20" s="2185"/>
      <c r="AHU20" s="16"/>
      <c r="AHV20" s="2185"/>
      <c r="AHW20" s="16"/>
      <c r="AHX20" s="2185"/>
      <c r="AHY20" s="16"/>
      <c r="AHZ20" s="2185"/>
      <c r="AIA20" s="16"/>
      <c r="AIB20" s="2185"/>
      <c r="AIC20" s="16"/>
      <c r="AID20" s="2185"/>
      <c r="AIE20" s="16"/>
      <c r="AIF20" s="2185"/>
      <c r="AIG20" s="16"/>
      <c r="AIH20" s="2185"/>
      <c r="AII20" s="16"/>
      <c r="AIJ20" s="2185"/>
      <c r="AIK20" s="16"/>
      <c r="AIL20" s="2185"/>
      <c r="AIM20" s="16"/>
      <c r="AIN20" s="2185"/>
      <c r="AIO20" s="16"/>
      <c r="AIP20" s="2185"/>
      <c r="AIQ20" s="16"/>
      <c r="AIR20" s="2185"/>
      <c r="AIS20" s="16"/>
      <c r="AIT20" s="2185"/>
      <c r="AIU20" s="16"/>
      <c r="AIV20" s="2185"/>
      <c r="AIW20" s="16"/>
      <c r="AIX20" s="2185"/>
      <c r="AIY20" s="16"/>
      <c r="AIZ20" s="2185"/>
      <c r="AJA20" s="16"/>
      <c r="AJB20" s="2185"/>
      <c r="AJC20" s="16"/>
      <c r="AJD20" s="2185"/>
      <c r="AJE20" s="16"/>
      <c r="AJF20" s="2185"/>
      <c r="AJG20" s="16"/>
      <c r="AJH20" s="2185"/>
      <c r="AJI20" s="16"/>
      <c r="AJJ20" s="2185"/>
      <c r="AJK20" s="16"/>
      <c r="AJL20" s="2185"/>
      <c r="AJM20" s="16"/>
      <c r="AJN20" s="2185"/>
      <c r="AJO20" s="16"/>
      <c r="AJP20" s="2185"/>
      <c r="AJQ20" s="16"/>
      <c r="AJR20" s="2185"/>
      <c r="AJS20" s="16"/>
      <c r="AJT20" s="2185"/>
      <c r="AJU20" s="16"/>
      <c r="AJV20" s="2185"/>
      <c r="AJW20" s="16"/>
      <c r="AJX20" s="2185"/>
      <c r="AJY20" s="16"/>
      <c r="AJZ20" s="2185"/>
      <c r="AKA20" s="16"/>
      <c r="AKB20" s="2185"/>
      <c r="AKC20" s="16"/>
      <c r="AKD20" s="2185"/>
      <c r="AKE20" s="16"/>
      <c r="AKF20" s="2185"/>
      <c r="AKG20" s="16"/>
      <c r="AKH20" s="2185"/>
      <c r="AKI20" s="16"/>
      <c r="AKJ20" s="2185"/>
      <c r="AKK20" s="16"/>
      <c r="AKL20" s="2185"/>
      <c r="AKM20" s="16"/>
      <c r="AKN20" s="2185"/>
      <c r="AKO20" s="16"/>
      <c r="AKP20" s="2185"/>
      <c r="AKQ20" s="16"/>
      <c r="AKR20" s="2185"/>
      <c r="AKS20" s="16"/>
      <c r="AKT20" s="2185"/>
      <c r="AKU20" s="16"/>
      <c r="AKV20" s="2185"/>
      <c r="AKW20" s="16"/>
      <c r="AKX20" s="2185"/>
      <c r="AKY20" s="16"/>
      <c r="AKZ20" s="2185"/>
      <c r="ALA20" s="16"/>
      <c r="ALB20" s="2185"/>
      <c r="ALC20" s="16"/>
      <c r="ALD20" s="2185"/>
      <c r="ALE20" s="16"/>
      <c r="ALF20" s="2185"/>
      <c r="ALG20" s="16"/>
      <c r="ALH20" s="2185"/>
      <c r="ALI20" s="16"/>
      <c r="ALJ20" s="2185"/>
      <c r="ALK20" s="16"/>
      <c r="ALL20" s="2185"/>
      <c r="ALM20" s="16"/>
      <c r="ALN20" s="2185"/>
      <c r="ALO20" s="16"/>
      <c r="ALP20" s="2185"/>
      <c r="ALQ20" s="16"/>
      <c r="ALR20" s="2185"/>
      <c r="ALS20" s="16"/>
      <c r="ALT20" s="2185"/>
      <c r="ALU20" s="16"/>
      <c r="ALV20" s="2185"/>
      <c r="ALW20" s="16"/>
      <c r="ALX20" s="2185"/>
      <c r="ALY20" s="16"/>
      <c r="ALZ20" s="2185"/>
      <c r="AMA20" s="16"/>
      <c r="AMB20" s="2185"/>
      <c r="AMC20" s="16"/>
      <c r="AMD20" s="2185"/>
      <c r="AME20" s="16"/>
      <c r="AMF20" s="2185"/>
      <c r="AMG20" s="16"/>
      <c r="AMH20" s="2185"/>
      <c r="AMI20" s="16"/>
      <c r="AMJ20" s="2185"/>
      <c r="AMK20" s="16"/>
      <c r="AML20" s="2185"/>
      <c r="AMM20" s="16"/>
      <c r="AMN20" s="2185"/>
      <c r="AMO20" s="16"/>
      <c r="AMP20" s="2185"/>
      <c r="AMQ20" s="16"/>
      <c r="AMR20" s="2185"/>
      <c r="AMS20" s="16"/>
      <c r="AMT20" s="2185"/>
      <c r="AMU20" s="16"/>
      <c r="AMV20" s="2185"/>
      <c r="AMW20" s="16"/>
      <c r="AMX20" s="2185"/>
      <c r="AMY20" s="16"/>
      <c r="AMZ20" s="2185"/>
      <c r="ANA20" s="16"/>
      <c r="ANB20" s="2185"/>
      <c r="ANC20" s="16"/>
      <c r="AND20" s="2185"/>
      <c r="ANE20" s="16"/>
      <c r="ANF20" s="2185"/>
      <c r="ANG20" s="16"/>
      <c r="ANH20" s="2185"/>
      <c r="ANI20" s="16"/>
      <c r="ANJ20" s="2185"/>
      <c r="ANK20" s="16"/>
      <c r="ANL20" s="2185"/>
      <c r="ANM20" s="16"/>
      <c r="ANN20" s="2185"/>
      <c r="ANO20" s="16"/>
      <c r="ANP20" s="2185"/>
      <c r="ANQ20" s="16"/>
      <c r="ANR20" s="2185"/>
      <c r="ANS20" s="16"/>
      <c r="ANT20" s="2185"/>
      <c r="ANU20" s="16"/>
      <c r="ANV20" s="2185"/>
      <c r="ANW20" s="16"/>
      <c r="ANX20" s="2185"/>
      <c r="ANY20" s="16"/>
      <c r="ANZ20" s="2185"/>
      <c r="AOA20" s="16"/>
      <c r="AOB20" s="2185"/>
      <c r="AOC20" s="16"/>
      <c r="AOD20" s="2185"/>
      <c r="AOE20" s="16"/>
      <c r="AOF20" s="2185"/>
      <c r="AOG20" s="16"/>
      <c r="AOH20" s="2185"/>
      <c r="AOI20" s="16"/>
      <c r="AOJ20" s="2185"/>
      <c r="AOK20" s="16"/>
      <c r="AOL20" s="2185"/>
      <c r="AOM20" s="16"/>
      <c r="AON20" s="2185"/>
      <c r="AOO20" s="16"/>
      <c r="AOP20" s="2185"/>
      <c r="AOQ20" s="16"/>
      <c r="AOR20" s="2185"/>
      <c r="AOS20" s="16"/>
      <c r="AOT20" s="2185"/>
      <c r="AOU20" s="16"/>
      <c r="AOV20" s="2185"/>
      <c r="AOW20" s="16"/>
      <c r="AOX20" s="2185"/>
      <c r="AOY20" s="16"/>
      <c r="AOZ20" s="2185"/>
      <c r="APA20" s="16"/>
      <c r="APB20" s="2185"/>
      <c r="APC20" s="16"/>
      <c r="APD20" s="2185"/>
      <c r="APE20" s="16"/>
      <c r="APF20" s="2185"/>
      <c r="APG20" s="16"/>
      <c r="APH20" s="2185"/>
      <c r="API20" s="16"/>
      <c r="APJ20" s="2185"/>
      <c r="APK20" s="16"/>
      <c r="APL20" s="2185"/>
      <c r="APM20" s="16"/>
      <c r="APN20" s="2185"/>
      <c r="APO20" s="16"/>
      <c r="APP20" s="2185"/>
      <c r="APQ20" s="16"/>
      <c r="APR20" s="2185"/>
      <c r="APS20" s="16"/>
      <c r="APT20" s="2185"/>
      <c r="APU20" s="16"/>
      <c r="APV20" s="2185"/>
      <c r="APW20" s="16"/>
      <c r="APX20" s="2185"/>
      <c r="APY20" s="16"/>
      <c r="APZ20" s="2185"/>
      <c r="AQA20" s="16"/>
      <c r="AQB20" s="2185"/>
      <c r="AQC20" s="16"/>
      <c r="AQD20" s="2185"/>
      <c r="AQE20" s="16"/>
      <c r="AQF20" s="2185"/>
      <c r="AQG20" s="16"/>
      <c r="AQH20" s="2185"/>
      <c r="AQI20" s="16"/>
      <c r="AQJ20" s="2185"/>
      <c r="AQK20" s="16"/>
      <c r="AQL20" s="2185"/>
      <c r="AQM20" s="16"/>
      <c r="AQN20" s="2185"/>
      <c r="AQO20" s="16"/>
      <c r="AQP20" s="2185"/>
      <c r="AQQ20" s="16"/>
      <c r="AQR20" s="2185"/>
      <c r="AQS20" s="16"/>
      <c r="AQT20" s="2185"/>
      <c r="AQU20" s="16"/>
      <c r="AQV20" s="2185"/>
      <c r="AQW20" s="16"/>
      <c r="AQX20" s="2185"/>
      <c r="AQY20" s="16"/>
      <c r="AQZ20" s="2185"/>
      <c r="ARA20" s="16"/>
      <c r="ARB20" s="2185"/>
      <c r="ARC20" s="16"/>
      <c r="ARD20" s="2185"/>
      <c r="ARE20" s="16"/>
      <c r="ARF20" s="2185"/>
      <c r="ARG20" s="16"/>
      <c r="ARH20" s="2185"/>
      <c r="ARI20" s="16"/>
      <c r="ARJ20" s="2185"/>
      <c r="ARK20" s="16"/>
      <c r="ARL20" s="2185"/>
      <c r="ARM20" s="16"/>
      <c r="ARN20" s="2185"/>
      <c r="ARO20" s="16"/>
      <c r="ARP20" s="2185"/>
      <c r="ARQ20" s="16"/>
      <c r="ARR20" s="2185"/>
      <c r="ARS20" s="16"/>
      <c r="ART20" s="2185"/>
      <c r="ARU20" s="16"/>
      <c r="ARV20" s="2185"/>
      <c r="ARW20" s="16"/>
      <c r="ARX20" s="2185"/>
      <c r="ARY20" s="16"/>
      <c r="ARZ20" s="2185"/>
      <c r="ASA20" s="16"/>
      <c r="ASB20" s="2185"/>
      <c r="ASC20" s="16"/>
      <c r="ASD20" s="2185"/>
      <c r="ASE20" s="16"/>
      <c r="ASF20" s="2185"/>
      <c r="ASG20" s="16"/>
      <c r="ASH20" s="2185"/>
      <c r="ASI20" s="16"/>
      <c r="ASJ20" s="2185"/>
      <c r="ASK20" s="16"/>
      <c r="ASL20" s="2185"/>
      <c r="ASM20" s="16"/>
      <c r="ASN20" s="2185"/>
      <c r="ASO20" s="16"/>
      <c r="ASP20" s="2185"/>
      <c r="ASQ20" s="16"/>
      <c r="ASR20" s="2185"/>
      <c r="ASS20" s="16"/>
      <c r="AST20" s="2185"/>
      <c r="ASU20" s="16"/>
      <c r="ASV20" s="2185"/>
      <c r="ASW20" s="16"/>
      <c r="ASX20" s="2185"/>
      <c r="ASY20" s="16"/>
      <c r="ASZ20" s="2185"/>
      <c r="ATA20" s="16"/>
      <c r="ATB20" s="2185"/>
      <c r="ATC20" s="16"/>
      <c r="ATD20" s="2185"/>
      <c r="ATE20" s="16"/>
      <c r="ATF20" s="2185"/>
      <c r="ATG20" s="16"/>
      <c r="ATH20" s="2185"/>
      <c r="ATI20" s="16"/>
      <c r="ATJ20" s="2185"/>
      <c r="ATK20" s="16"/>
      <c r="ATL20" s="2185"/>
      <c r="ATM20" s="16"/>
      <c r="ATN20" s="2185"/>
      <c r="ATO20" s="16"/>
      <c r="ATP20" s="2185"/>
      <c r="ATQ20" s="16"/>
      <c r="ATR20" s="2185"/>
      <c r="ATS20" s="16"/>
      <c r="ATT20" s="2185"/>
      <c r="ATU20" s="16"/>
      <c r="ATV20" s="2185"/>
      <c r="ATW20" s="16"/>
      <c r="ATX20" s="2185"/>
      <c r="ATY20" s="16"/>
      <c r="ATZ20" s="2185"/>
      <c r="AUA20" s="16"/>
      <c r="AUB20" s="2185"/>
      <c r="AUC20" s="16"/>
      <c r="AUD20" s="2185"/>
      <c r="AUE20" s="16"/>
      <c r="AUF20" s="2185"/>
      <c r="AUG20" s="16"/>
      <c r="AUH20" s="2185"/>
      <c r="AUI20" s="16"/>
      <c r="AUJ20" s="2185"/>
      <c r="AUK20" s="16"/>
      <c r="AUL20" s="2185"/>
      <c r="AUM20" s="16"/>
      <c r="AUN20" s="2185"/>
      <c r="AUO20" s="16"/>
      <c r="AUP20" s="2185"/>
      <c r="AUQ20" s="16"/>
      <c r="AUR20" s="2185"/>
      <c r="AUS20" s="16"/>
      <c r="AUT20" s="2185"/>
      <c r="AUU20" s="16"/>
      <c r="AUV20" s="2185"/>
      <c r="AUW20" s="16"/>
      <c r="AUX20" s="2185"/>
      <c r="AUY20" s="16"/>
      <c r="AUZ20" s="2185"/>
      <c r="AVA20" s="16"/>
      <c r="AVB20" s="2185"/>
      <c r="AVC20" s="16"/>
      <c r="AVD20" s="2185"/>
      <c r="AVE20" s="16"/>
      <c r="AVF20" s="2185"/>
      <c r="AVG20" s="16"/>
      <c r="AVH20" s="2185"/>
      <c r="AVI20" s="16"/>
      <c r="AVJ20" s="2185"/>
      <c r="AVK20" s="16"/>
      <c r="AVL20" s="2185"/>
      <c r="AVM20" s="16"/>
      <c r="AVN20" s="2185"/>
      <c r="AVO20" s="16"/>
      <c r="AVP20" s="2185"/>
      <c r="AVQ20" s="16"/>
      <c r="AVR20" s="2185"/>
      <c r="AVS20" s="16"/>
      <c r="AVT20" s="2185"/>
      <c r="AVU20" s="16"/>
      <c r="AVV20" s="2185"/>
      <c r="AVW20" s="16"/>
      <c r="AVX20" s="2185"/>
      <c r="AVY20" s="16"/>
      <c r="AVZ20" s="2185"/>
      <c r="AWA20" s="16"/>
      <c r="AWB20" s="2185"/>
      <c r="AWC20" s="16"/>
      <c r="AWD20" s="2185"/>
      <c r="AWE20" s="16"/>
      <c r="AWF20" s="2185"/>
      <c r="AWG20" s="16"/>
      <c r="AWH20" s="2185"/>
      <c r="AWI20" s="16"/>
      <c r="AWJ20" s="2185"/>
      <c r="AWK20" s="16"/>
      <c r="AWL20" s="2185"/>
      <c r="AWM20" s="16"/>
      <c r="AWN20" s="2185"/>
      <c r="AWO20" s="16"/>
      <c r="AWP20" s="2185"/>
      <c r="AWQ20" s="16"/>
      <c r="AWR20" s="2185"/>
      <c r="AWS20" s="16"/>
      <c r="AWT20" s="2185"/>
      <c r="AWU20" s="16"/>
      <c r="AWV20" s="2185"/>
      <c r="AWW20" s="16"/>
      <c r="AWX20" s="2185"/>
      <c r="AWY20" s="16"/>
      <c r="AWZ20" s="2185"/>
      <c r="AXA20" s="16"/>
      <c r="AXB20" s="2185"/>
      <c r="AXC20" s="16"/>
      <c r="AXD20" s="2185"/>
      <c r="AXE20" s="16"/>
      <c r="AXF20" s="2185"/>
      <c r="AXG20" s="16"/>
      <c r="AXH20" s="2185"/>
      <c r="AXI20" s="16"/>
      <c r="AXJ20" s="2185"/>
      <c r="AXK20" s="16"/>
      <c r="AXL20" s="2185"/>
      <c r="AXM20" s="16"/>
      <c r="AXN20" s="2185"/>
      <c r="AXO20" s="16"/>
      <c r="AXP20" s="2185"/>
      <c r="AXQ20" s="16"/>
      <c r="AXR20" s="2185"/>
      <c r="AXS20" s="16"/>
      <c r="AXT20" s="2185"/>
      <c r="AXU20" s="16"/>
      <c r="AXV20" s="2185"/>
      <c r="AXW20" s="16"/>
      <c r="AXX20" s="2185"/>
      <c r="AXY20" s="16"/>
      <c r="AXZ20" s="2185"/>
      <c r="AYA20" s="16"/>
      <c r="AYB20" s="2185"/>
      <c r="AYC20" s="16"/>
      <c r="AYD20" s="2185"/>
      <c r="AYE20" s="16"/>
      <c r="AYF20" s="2185"/>
      <c r="AYG20" s="16"/>
      <c r="AYH20" s="2185"/>
      <c r="AYI20" s="16"/>
      <c r="AYJ20" s="2185"/>
      <c r="AYK20" s="16"/>
      <c r="AYL20" s="2185"/>
      <c r="AYM20" s="16"/>
      <c r="AYN20" s="2185"/>
      <c r="AYO20" s="16"/>
      <c r="AYP20" s="2185"/>
      <c r="AYQ20" s="16"/>
      <c r="AYR20" s="2185"/>
      <c r="AYS20" s="16"/>
      <c r="AYT20" s="2185"/>
      <c r="AYU20" s="16"/>
      <c r="AYV20" s="2185"/>
      <c r="AYW20" s="16"/>
      <c r="AYX20" s="2185"/>
      <c r="AYY20" s="16"/>
      <c r="AYZ20" s="2185"/>
      <c r="AZA20" s="16"/>
      <c r="AZB20" s="2185"/>
      <c r="AZC20" s="16"/>
      <c r="AZD20" s="2185"/>
      <c r="AZE20" s="16"/>
      <c r="AZF20" s="2185"/>
      <c r="AZG20" s="16"/>
      <c r="AZH20" s="2185"/>
      <c r="AZI20" s="16"/>
      <c r="AZJ20" s="2185"/>
      <c r="AZK20" s="16"/>
      <c r="AZL20" s="2185"/>
      <c r="AZM20" s="16"/>
      <c r="AZN20" s="2185"/>
      <c r="AZO20" s="16"/>
      <c r="AZP20" s="2185"/>
      <c r="AZQ20" s="16"/>
      <c r="AZR20" s="2185"/>
      <c r="AZS20" s="16"/>
      <c r="AZT20" s="2185"/>
      <c r="AZU20" s="16"/>
      <c r="AZV20" s="2185"/>
      <c r="AZW20" s="16"/>
      <c r="AZX20" s="2185"/>
      <c r="AZY20" s="16"/>
      <c r="AZZ20" s="2185"/>
      <c r="BAA20" s="16"/>
      <c r="BAB20" s="2185"/>
      <c r="BAC20" s="16"/>
      <c r="BAD20" s="2185"/>
      <c r="BAE20" s="16"/>
      <c r="BAF20" s="2185"/>
      <c r="BAG20" s="16"/>
      <c r="BAH20" s="2185"/>
      <c r="BAI20" s="16"/>
      <c r="BAJ20" s="2185"/>
      <c r="BAK20" s="16"/>
      <c r="BAL20" s="2185"/>
      <c r="BAM20" s="16"/>
      <c r="BAN20" s="2185"/>
      <c r="BAO20" s="16"/>
      <c r="BAP20" s="2185"/>
      <c r="BAQ20" s="16"/>
      <c r="BAR20" s="2185"/>
      <c r="BAS20" s="16"/>
      <c r="BAT20" s="2185"/>
      <c r="BAU20" s="16"/>
      <c r="BAV20" s="2185"/>
      <c r="BAW20" s="16"/>
      <c r="BAX20" s="2185"/>
      <c r="BAY20" s="16"/>
      <c r="BAZ20" s="2185"/>
      <c r="BBA20" s="16"/>
      <c r="BBB20" s="2185"/>
      <c r="BBC20" s="16"/>
      <c r="BBD20" s="2185"/>
      <c r="BBE20" s="16"/>
      <c r="BBF20" s="2185"/>
      <c r="BBG20" s="16"/>
      <c r="BBH20" s="2185"/>
      <c r="BBI20" s="16"/>
      <c r="BBJ20" s="2185"/>
      <c r="BBK20" s="16"/>
      <c r="BBL20" s="2185"/>
      <c r="BBM20" s="16"/>
      <c r="BBN20" s="2185"/>
      <c r="BBO20" s="16"/>
      <c r="BBP20" s="2185"/>
      <c r="BBQ20" s="16"/>
      <c r="BBR20" s="2185"/>
      <c r="BBS20" s="16"/>
      <c r="BBT20" s="2185"/>
      <c r="BBU20" s="16"/>
      <c r="BBV20" s="2185"/>
      <c r="BBW20" s="16"/>
      <c r="BBX20" s="2185"/>
      <c r="BBY20" s="16"/>
      <c r="BBZ20" s="2185"/>
      <c r="BCA20" s="16"/>
      <c r="BCB20" s="2185"/>
      <c r="BCC20" s="16"/>
      <c r="BCD20" s="2185"/>
      <c r="BCE20" s="16"/>
      <c r="BCF20" s="2185"/>
      <c r="BCG20" s="16"/>
      <c r="BCH20" s="2185"/>
      <c r="BCI20" s="16"/>
      <c r="BCJ20" s="2185"/>
      <c r="BCK20" s="16"/>
      <c r="BCL20" s="2185"/>
      <c r="BCM20" s="16"/>
      <c r="BCN20" s="2185"/>
      <c r="BCO20" s="16"/>
      <c r="BCP20" s="2185"/>
      <c r="BCQ20" s="16"/>
      <c r="BCR20" s="2185"/>
      <c r="BCS20" s="16"/>
      <c r="BCT20" s="2185"/>
      <c r="BCU20" s="16"/>
      <c r="BCV20" s="2185"/>
      <c r="BCW20" s="16"/>
      <c r="BCX20" s="2185"/>
      <c r="BCY20" s="16"/>
      <c r="BCZ20" s="2185"/>
      <c r="BDA20" s="16"/>
      <c r="BDB20" s="2185"/>
      <c r="BDC20" s="16"/>
      <c r="BDD20" s="2185"/>
      <c r="BDE20" s="16"/>
      <c r="BDF20" s="2185"/>
      <c r="BDG20" s="16"/>
      <c r="BDH20" s="2185"/>
      <c r="BDI20" s="16"/>
      <c r="BDJ20" s="2185"/>
      <c r="BDK20" s="16"/>
      <c r="BDL20" s="2185"/>
      <c r="BDM20" s="16"/>
      <c r="BDN20" s="2185"/>
      <c r="BDO20" s="16"/>
      <c r="BDP20" s="2185"/>
      <c r="BDQ20" s="16"/>
      <c r="BDR20" s="2185"/>
      <c r="BDS20" s="16"/>
      <c r="BDT20" s="2185"/>
      <c r="BDU20" s="16"/>
      <c r="BDV20" s="2185"/>
      <c r="BDW20" s="16"/>
      <c r="BDX20" s="2185"/>
      <c r="BDY20" s="16"/>
      <c r="BDZ20" s="2185"/>
      <c r="BEA20" s="16"/>
      <c r="BEB20" s="2185"/>
      <c r="BEC20" s="16"/>
      <c r="BED20" s="2185"/>
      <c r="BEE20" s="16"/>
      <c r="BEF20" s="2185"/>
      <c r="BEG20" s="16"/>
      <c r="BEH20" s="2185"/>
      <c r="BEI20" s="16"/>
      <c r="BEJ20" s="2185"/>
      <c r="BEK20" s="16"/>
      <c r="BEL20" s="2185"/>
      <c r="BEM20" s="16"/>
      <c r="BEN20" s="2185"/>
      <c r="BEO20" s="16"/>
      <c r="BEP20" s="2185"/>
      <c r="BEQ20" s="16"/>
      <c r="BER20" s="2185"/>
      <c r="BES20" s="16"/>
      <c r="BET20" s="2185"/>
      <c r="BEU20" s="16"/>
      <c r="BEV20" s="2185"/>
      <c r="BEW20" s="16"/>
      <c r="BEX20" s="2185"/>
      <c r="BEY20" s="16"/>
      <c r="BEZ20" s="2185"/>
      <c r="BFA20" s="16"/>
      <c r="BFB20" s="2185"/>
      <c r="BFC20" s="16"/>
      <c r="BFD20" s="2185"/>
      <c r="BFE20" s="16"/>
      <c r="BFF20" s="2185"/>
      <c r="BFG20" s="16"/>
      <c r="BFH20" s="2185"/>
      <c r="BFI20" s="16"/>
      <c r="BFJ20" s="2185"/>
      <c r="BFK20" s="16"/>
      <c r="BFL20" s="2185"/>
      <c r="BFM20" s="16"/>
      <c r="BFN20" s="2185"/>
      <c r="BFO20" s="16"/>
      <c r="BFP20" s="2185"/>
      <c r="BFQ20" s="16"/>
      <c r="BFR20" s="2185"/>
      <c r="BFS20" s="16"/>
      <c r="BFT20" s="2185"/>
      <c r="BFU20" s="16"/>
      <c r="BFV20" s="2185"/>
      <c r="BFW20" s="16"/>
      <c r="BFX20" s="2185"/>
      <c r="BFY20" s="16"/>
      <c r="BFZ20" s="2185"/>
      <c r="BGA20" s="16"/>
      <c r="BGB20" s="2185"/>
      <c r="BGC20" s="16"/>
      <c r="BGD20" s="2185"/>
      <c r="BGE20" s="16"/>
      <c r="BGF20" s="2185"/>
      <c r="BGG20" s="16"/>
      <c r="BGH20" s="2185"/>
      <c r="BGI20" s="16"/>
      <c r="BGJ20" s="2185"/>
      <c r="BGK20" s="16"/>
      <c r="BGL20" s="2185"/>
      <c r="BGM20" s="16"/>
      <c r="BGN20" s="2185"/>
      <c r="BGO20" s="16"/>
      <c r="BGP20" s="2185"/>
      <c r="BGQ20" s="16"/>
      <c r="BGR20" s="2185"/>
      <c r="BGS20" s="16"/>
      <c r="BGT20" s="2185"/>
      <c r="BGU20" s="16"/>
      <c r="BGV20" s="2185"/>
      <c r="BGW20" s="16"/>
      <c r="BGX20" s="2185"/>
      <c r="BGY20" s="16"/>
      <c r="BGZ20" s="2185"/>
      <c r="BHA20" s="16"/>
      <c r="BHB20" s="2185"/>
      <c r="BHC20" s="16"/>
      <c r="BHD20" s="2185"/>
      <c r="BHE20" s="16"/>
      <c r="BHF20" s="2185"/>
      <c r="BHG20" s="16"/>
      <c r="BHH20" s="2185"/>
      <c r="BHI20" s="16"/>
      <c r="BHJ20" s="2185"/>
      <c r="BHK20" s="16"/>
      <c r="BHL20" s="2185"/>
      <c r="BHM20" s="16"/>
      <c r="BHN20" s="2185"/>
      <c r="BHO20" s="16"/>
      <c r="BHP20" s="2185"/>
      <c r="BHQ20" s="16"/>
      <c r="BHR20" s="2185"/>
      <c r="BHS20" s="16"/>
      <c r="BHT20" s="2185"/>
      <c r="BHU20" s="16"/>
      <c r="BHV20" s="2185"/>
      <c r="BHW20" s="16"/>
      <c r="BHX20" s="2185"/>
      <c r="BHY20" s="16"/>
      <c r="BHZ20" s="2185"/>
      <c r="BIA20" s="16"/>
      <c r="BIB20" s="2185"/>
      <c r="BIC20" s="16"/>
      <c r="BID20" s="2185"/>
      <c r="BIE20" s="16"/>
      <c r="BIF20" s="2185"/>
      <c r="BIG20" s="16"/>
      <c r="BIH20" s="2185"/>
      <c r="BII20" s="16"/>
      <c r="BIJ20" s="2185"/>
      <c r="BIK20" s="16"/>
      <c r="BIL20" s="2185"/>
      <c r="BIM20" s="16"/>
      <c r="BIN20" s="2185"/>
      <c r="BIO20" s="16"/>
      <c r="BIP20" s="2185"/>
      <c r="BIQ20" s="16"/>
      <c r="BIR20" s="2185"/>
      <c r="BIS20" s="16"/>
      <c r="BIT20" s="2185"/>
      <c r="BIU20" s="16"/>
      <c r="BIV20" s="2185"/>
      <c r="BIW20" s="16"/>
      <c r="BIX20" s="2185"/>
      <c r="BIY20" s="16"/>
      <c r="BIZ20" s="2185"/>
      <c r="BJA20" s="16"/>
      <c r="BJB20" s="2185"/>
      <c r="BJC20" s="16"/>
      <c r="BJD20" s="2185"/>
      <c r="BJE20" s="16"/>
      <c r="BJF20" s="2185"/>
      <c r="BJG20" s="16"/>
      <c r="BJH20" s="2185"/>
      <c r="BJI20" s="16"/>
      <c r="BJJ20" s="2185"/>
      <c r="BJK20" s="16"/>
      <c r="BJL20" s="2185"/>
      <c r="BJM20" s="16"/>
      <c r="BJN20" s="2185"/>
      <c r="BJO20" s="16"/>
      <c r="BJP20" s="2185"/>
      <c r="BJQ20" s="16"/>
      <c r="BJR20" s="2185"/>
      <c r="BJS20" s="16"/>
      <c r="BJT20" s="2185"/>
      <c r="BJU20" s="16"/>
      <c r="BJV20" s="2185"/>
      <c r="BJW20" s="16"/>
      <c r="BJX20" s="2185"/>
      <c r="BJY20" s="16"/>
      <c r="BJZ20" s="2185"/>
      <c r="BKA20" s="16"/>
      <c r="BKB20" s="2185"/>
      <c r="BKC20" s="16"/>
      <c r="BKD20" s="2185"/>
      <c r="BKE20" s="16"/>
      <c r="BKF20" s="2185"/>
      <c r="BKG20" s="16"/>
      <c r="BKH20" s="2185"/>
      <c r="BKI20" s="16"/>
      <c r="BKJ20" s="2185"/>
      <c r="BKK20" s="16"/>
      <c r="BKL20" s="2185"/>
      <c r="BKM20" s="16"/>
      <c r="BKN20" s="2185"/>
      <c r="BKO20" s="16"/>
      <c r="BKP20" s="2185"/>
      <c r="BKQ20" s="16"/>
      <c r="BKR20" s="2185"/>
      <c r="BKS20" s="16"/>
      <c r="BKT20" s="2185"/>
      <c r="BKU20" s="16"/>
      <c r="BKV20" s="2185"/>
      <c r="BKW20" s="16"/>
      <c r="BKX20" s="2185"/>
      <c r="BKY20" s="16"/>
      <c r="BKZ20" s="2185"/>
      <c r="BLA20" s="16"/>
      <c r="BLB20" s="2185"/>
      <c r="BLC20" s="16"/>
      <c r="BLD20" s="2185"/>
      <c r="BLE20" s="16"/>
      <c r="BLF20" s="2185"/>
      <c r="BLG20" s="16"/>
      <c r="BLH20" s="2185"/>
      <c r="BLI20" s="16"/>
      <c r="BLJ20" s="2185"/>
      <c r="BLK20" s="16"/>
      <c r="BLL20" s="2185"/>
      <c r="BLM20" s="16"/>
      <c r="BLN20" s="2185"/>
      <c r="BLO20" s="16"/>
      <c r="BLP20" s="2185"/>
      <c r="BLQ20" s="16"/>
      <c r="BLR20" s="2185"/>
      <c r="BLS20" s="16"/>
      <c r="BLT20" s="2185"/>
      <c r="BLU20" s="16"/>
      <c r="BLV20" s="2185"/>
      <c r="BLW20" s="16"/>
      <c r="BLX20" s="2185"/>
      <c r="BLY20" s="16"/>
      <c r="BLZ20" s="2185"/>
      <c r="BMA20" s="16"/>
      <c r="BMB20" s="2185"/>
      <c r="BMC20" s="16"/>
      <c r="BMD20" s="2185"/>
      <c r="BME20" s="16"/>
      <c r="BMF20" s="2185"/>
      <c r="BMG20" s="16"/>
      <c r="BMH20" s="2185"/>
      <c r="BMI20" s="16"/>
      <c r="BMJ20" s="2185"/>
      <c r="BMK20" s="16"/>
      <c r="BML20" s="2185"/>
      <c r="BMM20" s="16"/>
      <c r="BMN20" s="2185"/>
      <c r="BMO20" s="16"/>
      <c r="BMP20" s="2185"/>
      <c r="BMQ20" s="16"/>
      <c r="BMR20" s="2185"/>
      <c r="BMS20" s="16"/>
      <c r="BMT20" s="2185"/>
      <c r="BMU20" s="16"/>
      <c r="BMV20" s="2185"/>
      <c r="BMW20" s="16"/>
      <c r="BMX20" s="2185"/>
      <c r="BMY20" s="16"/>
      <c r="BMZ20" s="2185"/>
      <c r="BNA20" s="16"/>
      <c r="BNB20" s="2185"/>
      <c r="BNC20" s="16"/>
      <c r="BND20" s="2185"/>
      <c r="BNE20" s="16"/>
      <c r="BNF20" s="2185"/>
      <c r="BNG20" s="16"/>
      <c r="BNH20" s="2185"/>
      <c r="BNI20" s="16"/>
      <c r="BNJ20" s="2185"/>
      <c r="BNK20" s="16"/>
      <c r="BNL20" s="2185"/>
      <c r="BNM20" s="16"/>
      <c r="BNN20" s="2185"/>
      <c r="BNO20" s="16"/>
      <c r="BNP20" s="2185"/>
      <c r="BNQ20" s="16"/>
      <c r="BNR20" s="2185"/>
      <c r="BNS20" s="16"/>
      <c r="BNT20" s="2185"/>
      <c r="BNU20" s="16"/>
      <c r="BNV20" s="2185"/>
      <c r="BNW20" s="16"/>
      <c r="BNX20" s="2185"/>
      <c r="BNY20" s="16"/>
      <c r="BNZ20" s="2185"/>
      <c r="BOA20" s="16"/>
      <c r="BOB20" s="2185"/>
      <c r="BOC20" s="16"/>
      <c r="BOD20" s="2185"/>
      <c r="BOE20" s="16"/>
      <c r="BOF20" s="2185"/>
      <c r="BOG20" s="16"/>
      <c r="BOH20" s="2185"/>
      <c r="BOI20" s="16"/>
      <c r="BOJ20" s="2185"/>
      <c r="BOK20" s="16"/>
      <c r="BOL20" s="2185"/>
      <c r="BOM20" s="16"/>
      <c r="BON20" s="2185"/>
      <c r="BOO20" s="16"/>
      <c r="BOP20" s="2185"/>
      <c r="BOQ20" s="16"/>
      <c r="BOR20" s="2185"/>
      <c r="BOS20" s="16"/>
      <c r="BOT20" s="2185"/>
      <c r="BOU20" s="16"/>
      <c r="BOV20" s="2185"/>
      <c r="BOW20" s="16"/>
      <c r="BOX20" s="2185"/>
      <c r="BOY20" s="16"/>
      <c r="BOZ20" s="2185"/>
      <c r="BPA20" s="16"/>
      <c r="BPB20" s="2185"/>
      <c r="BPC20" s="16"/>
      <c r="BPD20" s="2185"/>
      <c r="BPE20" s="16"/>
      <c r="BPF20" s="2185"/>
      <c r="BPG20" s="16"/>
      <c r="BPH20" s="2185"/>
      <c r="BPI20" s="16"/>
      <c r="BPJ20" s="2185"/>
      <c r="BPK20" s="16"/>
      <c r="BPL20" s="2185"/>
      <c r="BPM20" s="16"/>
      <c r="BPN20" s="2185"/>
      <c r="BPO20" s="16"/>
      <c r="BPP20" s="2185"/>
      <c r="BPQ20" s="16"/>
      <c r="BPR20" s="2185"/>
      <c r="BPS20" s="16"/>
      <c r="BPT20" s="2185"/>
      <c r="BPU20" s="16"/>
      <c r="BPV20" s="2185"/>
      <c r="BPW20" s="16"/>
      <c r="BPX20" s="2185"/>
      <c r="BPY20" s="16"/>
      <c r="BPZ20" s="2185"/>
      <c r="BQA20" s="16"/>
      <c r="BQB20" s="2185"/>
      <c r="BQC20" s="16"/>
      <c r="BQD20" s="2185"/>
      <c r="BQE20" s="16"/>
      <c r="BQF20" s="2185"/>
      <c r="BQG20" s="16"/>
      <c r="BQH20" s="2185"/>
      <c r="BQI20" s="16"/>
      <c r="BQJ20" s="2185"/>
      <c r="BQK20" s="16"/>
      <c r="BQL20" s="2185"/>
      <c r="BQM20" s="16"/>
      <c r="BQN20" s="2185"/>
      <c r="BQO20" s="16"/>
      <c r="BQP20" s="2185"/>
      <c r="BQQ20" s="16"/>
      <c r="BQR20" s="2185"/>
      <c r="BQS20" s="16"/>
      <c r="BQT20" s="2185"/>
      <c r="BQU20" s="16"/>
      <c r="BQV20" s="2185"/>
      <c r="BQW20" s="16"/>
      <c r="BQX20" s="2185"/>
      <c r="BQY20" s="16"/>
      <c r="BQZ20" s="2185"/>
      <c r="BRA20" s="16"/>
      <c r="BRB20" s="2185"/>
      <c r="BRC20" s="16"/>
      <c r="BRD20" s="2185"/>
      <c r="BRE20" s="16"/>
      <c r="BRF20" s="2185"/>
      <c r="BRG20" s="16"/>
      <c r="BRH20" s="2185"/>
      <c r="BRI20" s="16"/>
      <c r="BRJ20" s="2185"/>
      <c r="BRK20" s="16"/>
      <c r="BRL20" s="2185"/>
      <c r="BRM20" s="16"/>
      <c r="BRN20" s="2185"/>
      <c r="BRO20" s="16"/>
      <c r="BRP20" s="2185"/>
      <c r="BRQ20" s="16"/>
      <c r="BRR20" s="2185"/>
      <c r="BRS20" s="16"/>
      <c r="BRT20" s="2185"/>
      <c r="BRU20" s="16"/>
      <c r="BRV20" s="2185"/>
      <c r="BRW20" s="16"/>
      <c r="BRX20" s="2185"/>
      <c r="BRY20" s="16"/>
      <c r="BRZ20" s="2185"/>
      <c r="BSA20" s="16"/>
      <c r="BSB20" s="2185"/>
      <c r="BSC20" s="16"/>
      <c r="BSD20" s="2185"/>
      <c r="BSE20" s="16"/>
      <c r="BSF20" s="2185"/>
      <c r="BSG20" s="16"/>
      <c r="BSH20" s="2185"/>
      <c r="BSI20" s="16"/>
      <c r="BSJ20" s="2185"/>
      <c r="BSK20" s="16"/>
      <c r="BSL20" s="2185"/>
      <c r="BSM20" s="16"/>
      <c r="BSN20" s="2185"/>
      <c r="BSO20" s="16"/>
      <c r="BSP20" s="2185"/>
      <c r="BSQ20" s="16"/>
      <c r="BSR20" s="2185"/>
      <c r="BSS20" s="16"/>
      <c r="BST20" s="2185"/>
      <c r="BSU20" s="16"/>
      <c r="BSV20" s="2185"/>
      <c r="BSW20" s="16"/>
      <c r="BSX20" s="2185"/>
      <c r="BSY20" s="16"/>
      <c r="BSZ20" s="2185"/>
      <c r="BTA20" s="16"/>
      <c r="BTB20" s="2185"/>
      <c r="BTC20" s="16"/>
      <c r="BTD20" s="2185"/>
      <c r="BTE20" s="16"/>
      <c r="BTF20" s="2185"/>
      <c r="BTG20" s="16"/>
      <c r="BTH20" s="2185"/>
      <c r="BTI20" s="16"/>
      <c r="BTJ20" s="2185"/>
      <c r="BTK20" s="16"/>
      <c r="BTL20" s="2185"/>
      <c r="BTM20" s="16"/>
      <c r="BTN20" s="2185"/>
      <c r="BTO20" s="16"/>
      <c r="BTP20" s="2185"/>
      <c r="BTQ20" s="16"/>
      <c r="BTR20" s="2185"/>
      <c r="BTS20" s="16"/>
      <c r="BTT20" s="2185"/>
      <c r="BTU20" s="16"/>
      <c r="BTV20" s="2185"/>
      <c r="BTW20" s="16"/>
      <c r="BTX20" s="2185"/>
      <c r="BTY20" s="16"/>
      <c r="BTZ20" s="2185"/>
      <c r="BUA20" s="16"/>
      <c r="BUB20" s="2185"/>
      <c r="BUC20" s="16"/>
      <c r="BUD20" s="2185"/>
      <c r="BUE20" s="16"/>
      <c r="BUF20" s="2185"/>
      <c r="BUG20" s="16"/>
      <c r="BUH20" s="2185"/>
      <c r="BUI20" s="16"/>
      <c r="BUJ20" s="2185"/>
      <c r="BUK20" s="16"/>
      <c r="BUL20" s="2185"/>
      <c r="BUM20" s="16"/>
      <c r="BUN20" s="2185"/>
      <c r="BUO20" s="16"/>
      <c r="BUP20" s="2185"/>
      <c r="BUQ20" s="16"/>
      <c r="BUR20" s="2185"/>
      <c r="BUS20" s="16"/>
      <c r="BUT20" s="2185"/>
      <c r="BUU20" s="16"/>
      <c r="BUV20" s="2185"/>
      <c r="BUW20" s="16"/>
      <c r="BUX20" s="2185"/>
      <c r="BUY20" s="16"/>
      <c r="BUZ20" s="2185"/>
      <c r="BVA20" s="16"/>
      <c r="BVB20" s="2185"/>
      <c r="BVC20" s="16"/>
      <c r="BVD20" s="2185"/>
      <c r="BVE20" s="16"/>
      <c r="BVF20" s="2185"/>
      <c r="BVG20" s="16"/>
      <c r="BVH20" s="2185"/>
      <c r="BVI20" s="16"/>
      <c r="BVJ20" s="2185"/>
      <c r="BVK20" s="16"/>
      <c r="BVL20" s="2185"/>
      <c r="BVM20" s="16"/>
      <c r="BVN20" s="2185"/>
      <c r="BVO20" s="16"/>
      <c r="BVP20" s="2185"/>
      <c r="BVQ20" s="16"/>
      <c r="BVR20" s="2185"/>
      <c r="BVS20" s="16"/>
      <c r="BVT20" s="2185"/>
      <c r="BVU20" s="16"/>
      <c r="BVV20" s="2185"/>
      <c r="BVW20" s="16"/>
      <c r="BVX20" s="2185"/>
      <c r="BVY20" s="16"/>
      <c r="BVZ20" s="2185"/>
      <c r="BWA20" s="16"/>
      <c r="BWB20" s="2185"/>
      <c r="BWC20" s="16"/>
      <c r="BWD20" s="2185"/>
      <c r="BWE20" s="16"/>
      <c r="BWF20" s="2185"/>
      <c r="BWG20" s="16"/>
      <c r="BWH20" s="2185"/>
      <c r="BWI20" s="16"/>
      <c r="BWJ20" s="2185"/>
      <c r="BWK20" s="16"/>
      <c r="BWL20" s="2185"/>
      <c r="BWM20" s="16"/>
      <c r="BWN20" s="2185"/>
      <c r="BWO20" s="16"/>
      <c r="BWP20" s="2185"/>
      <c r="BWQ20" s="16"/>
      <c r="BWR20" s="2185"/>
      <c r="BWS20" s="16"/>
      <c r="BWT20" s="2185"/>
      <c r="BWU20" s="16"/>
      <c r="BWV20" s="2185"/>
      <c r="BWW20" s="16"/>
      <c r="BWX20" s="2185"/>
      <c r="BWY20" s="16"/>
      <c r="BWZ20" s="2185"/>
      <c r="BXA20" s="16"/>
      <c r="BXB20" s="2185"/>
      <c r="BXC20" s="16"/>
      <c r="BXD20" s="2185"/>
      <c r="BXE20" s="16"/>
      <c r="BXF20" s="2185"/>
      <c r="BXG20" s="16"/>
      <c r="BXH20" s="2185"/>
      <c r="BXI20" s="16"/>
      <c r="BXJ20" s="2185"/>
      <c r="BXK20" s="16"/>
      <c r="BXL20" s="2185"/>
      <c r="BXM20" s="16"/>
      <c r="BXN20" s="2185"/>
      <c r="BXO20" s="16"/>
      <c r="BXP20" s="2185"/>
      <c r="BXQ20" s="16"/>
      <c r="BXR20" s="2185"/>
      <c r="BXS20" s="16"/>
      <c r="BXT20" s="2185"/>
      <c r="BXU20" s="16"/>
      <c r="BXV20" s="2185"/>
      <c r="BXW20" s="16"/>
      <c r="BXX20" s="2185"/>
      <c r="BXY20" s="16"/>
      <c r="BXZ20" s="2185"/>
      <c r="BYA20" s="16"/>
      <c r="BYB20" s="2185"/>
      <c r="BYC20" s="16"/>
      <c r="BYD20" s="2185"/>
      <c r="BYE20" s="16"/>
      <c r="BYF20" s="2185"/>
      <c r="BYG20" s="16"/>
      <c r="BYH20" s="2185"/>
      <c r="BYI20" s="16"/>
      <c r="BYJ20" s="2185"/>
      <c r="BYK20" s="16"/>
      <c r="BYL20" s="2185"/>
      <c r="BYM20" s="16"/>
      <c r="BYN20" s="2185"/>
      <c r="BYO20" s="16"/>
      <c r="BYP20" s="2185"/>
      <c r="BYQ20" s="16"/>
      <c r="BYR20" s="2185"/>
      <c r="BYS20" s="16"/>
      <c r="BYT20" s="2185"/>
      <c r="BYU20" s="16"/>
      <c r="BYV20" s="2185"/>
      <c r="BYW20" s="16"/>
      <c r="BYX20" s="2185"/>
      <c r="BYY20" s="16"/>
      <c r="BYZ20" s="2185"/>
      <c r="BZA20" s="16"/>
      <c r="BZB20" s="2185"/>
      <c r="BZC20" s="16"/>
      <c r="BZD20" s="2185"/>
      <c r="BZE20" s="16"/>
      <c r="BZF20" s="2185"/>
      <c r="BZG20" s="16"/>
      <c r="BZH20" s="2185"/>
      <c r="BZI20" s="16"/>
      <c r="BZJ20" s="2185"/>
      <c r="BZK20" s="16"/>
      <c r="BZL20" s="2185"/>
      <c r="BZM20" s="16"/>
      <c r="BZN20" s="2185"/>
      <c r="BZO20" s="16"/>
      <c r="BZP20" s="2185"/>
      <c r="BZQ20" s="16"/>
      <c r="BZR20" s="2185"/>
      <c r="BZS20" s="16"/>
      <c r="BZT20" s="2185"/>
      <c r="BZU20" s="16"/>
      <c r="BZV20" s="2185"/>
      <c r="BZW20" s="16"/>
      <c r="BZX20" s="2185"/>
      <c r="BZY20" s="16"/>
      <c r="BZZ20" s="2185"/>
      <c r="CAA20" s="16"/>
      <c r="CAB20" s="2185"/>
      <c r="CAC20" s="16"/>
      <c r="CAD20" s="2185"/>
      <c r="CAE20" s="16"/>
      <c r="CAF20" s="2185"/>
      <c r="CAG20" s="16"/>
      <c r="CAH20" s="2185"/>
      <c r="CAI20" s="16"/>
      <c r="CAJ20" s="2185"/>
      <c r="CAK20" s="16"/>
      <c r="CAL20" s="2185"/>
      <c r="CAM20" s="16"/>
      <c r="CAN20" s="2185"/>
      <c r="CAO20" s="16"/>
      <c r="CAP20" s="2185"/>
      <c r="CAQ20" s="16"/>
      <c r="CAR20" s="2185"/>
      <c r="CAS20" s="16"/>
      <c r="CAT20" s="2185"/>
      <c r="CAU20" s="16"/>
      <c r="CAV20" s="2185"/>
      <c r="CAW20" s="16"/>
      <c r="CAX20" s="2185"/>
      <c r="CAY20" s="16"/>
      <c r="CAZ20" s="2185"/>
      <c r="CBA20" s="16"/>
      <c r="CBB20" s="2185"/>
      <c r="CBC20" s="16"/>
      <c r="CBD20" s="2185"/>
      <c r="CBE20" s="16"/>
      <c r="CBF20" s="2185"/>
      <c r="CBG20" s="16"/>
      <c r="CBH20" s="2185"/>
      <c r="CBI20" s="16"/>
      <c r="CBJ20" s="2185"/>
      <c r="CBK20" s="16"/>
      <c r="CBL20" s="2185"/>
      <c r="CBM20" s="16"/>
      <c r="CBN20" s="2185"/>
      <c r="CBO20" s="16"/>
      <c r="CBP20" s="2185"/>
      <c r="CBQ20" s="16"/>
      <c r="CBR20" s="2185"/>
      <c r="CBS20" s="16"/>
      <c r="CBT20" s="2185"/>
      <c r="CBU20" s="16"/>
      <c r="CBV20" s="2185"/>
      <c r="CBW20" s="16"/>
      <c r="CBX20" s="2185"/>
      <c r="CBY20" s="16"/>
      <c r="CBZ20" s="2185"/>
      <c r="CCA20" s="16"/>
      <c r="CCB20" s="2185"/>
      <c r="CCC20" s="16"/>
      <c r="CCD20" s="2185"/>
      <c r="CCE20" s="16"/>
      <c r="CCF20" s="2185"/>
      <c r="CCG20" s="16"/>
      <c r="CCH20" s="2185"/>
      <c r="CCI20" s="16"/>
      <c r="CCJ20" s="2185"/>
      <c r="CCK20" s="16"/>
      <c r="CCL20" s="2185"/>
      <c r="CCM20" s="16"/>
      <c r="CCN20" s="2185"/>
      <c r="CCO20" s="16"/>
      <c r="CCP20" s="2185"/>
      <c r="CCQ20" s="16"/>
      <c r="CCR20" s="2185"/>
      <c r="CCS20" s="16"/>
      <c r="CCT20" s="2185"/>
      <c r="CCU20" s="16"/>
      <c r="CCV20" s="2185"/>
      <c r="CCW20" s="16"/>
      <c r="CCX20" s="2185"/>
      <c r="CCY20" s="16"/>
      <c r="CCZ20" s="2185"/>
      <c r="CDA20" s="16"/>
      <c r="CDB20" s="2185"/>
      <c r="CDC20" s="16"/>
      <c r="CDD20" s="2185"/>
      <c r="CDE20" s="16"/>
      <c r="CDF20" s="2185"/>
      <c r="CDG20" s="16"/>
      <c r="CDH20" s="2185"/>
      <c r="CDI20" s="16"/>
      <c r="CDJ20" s="2185"/>
      <c r="CDK20" s="16"/>
      <c r="CDL20" s="2185"/>
      <c r="CDM20" s="16"/>
      <c r="CDN20" s="2185"/>
      <c r="CDO20" s="16"/>
      <c r="CDP20" s="2185"/>
      <c r="CDQ20" s="16"/>
      <c r="CDR20" s="2185"/>
      <c r="CDS20" s="16"/>
      <c r="CDT20" s="2185"/>
      <c r="CDU20" s="16"/>
      <c r="CDV20" s="2185"/>
      <c r="CDW20" s="16"/>
      <c r="CDX20" s="2185"/>
      <c r="CDY20" s="16"/>
      <c r="CDZ20" s="2185"/>
      <c r="CEA20" s="16"/>
      <c r="CEB20" s="2185"/>
      <c r="CEC20" s="16"/>
      <c r="CED20" s="2185"/>
      <c r="CEE20" s="16"/>
      <c r="CEF20" s="2185"/>
      <c r="CEG20" s="16"/>
      <c r="CEH20" s="2185"/>
      <c r="CEI20" s="16"/>
      <c r="CEJ20" s="2185"/>
      <c r="CEK20" s="16"/>
      <c r="CEL20" s="2185"/>
      <c r="CEM20" s="16"/>
      <c r="CEN20" s="2185"/>
      <c r="CEO20" s="16"/>
      <c r="CEP20" s="2185"/>
      <c r="CEQ20" s="16"/>
      <c r="CER20" s="2185"/>
      <c r="CES20" s="16"/>
      <c r="CET20" s="2185"/>
      <c r="CEU20" s="16"/>
      <c r="CEV20" s="2185"/>
      <c r="CEW20" s="16"/>
      <c r="CEX20" s="2185"/>
      <c r="CEY20" s="16"/>
      <c r="CEZ20" s="2185"/>
      <c r="CFA20" s="16"/>
      <c r="CFB20" s="2185"/>
      <c r="CFC20" s="16"/>
      <c r="CFD20" s="2185"/>
      <c r="CFE20" s="16"/>
      <c r="CFF20" s="2185"/>
      <c r="CFG20" s="16"/>
      <c r="CFH20" s="2185"/>
      <c r="CFI20" s="16"/>
      <c r="CFJ20" s="2185"/>
      <c r="CFK20" s="16"/>
      <c r="CFL20" s="2185"/>
      <c r="CFM20" s="16"/>
      <c r="CFN20" s="2185"/>
      <c r="CFO20" s="16"/>
      <c r="CFP20" s="2185"/>
      <c r="CFQ20" s="16"/>
      <c r="CFR20" s="2185"/>
      <c r="CFS20" s="16"/>
      <c r="CFT20" s="2185"/>
      <c r="CFU20" s="16"/>
      <c r="CFV20" s="2185"/>
      <c r="CFW20" s="16"/>
      <c r="CFX20" s="2185"/>
      <c r="CFY20" s="16"/>
      <c r="CFZ20" s="2185"/>
      <c r="CGA20" s="16"/>
      <c r="CGB20" s="2185"/>
      <c r="CGC20" s="16"/>
      <c r="CGD20" s="2185"/>
      <c r="CGE20" s="16"/>
      <c r="CGF20" s="2185"/>
      <c r="CGG20" s="16"/>
      <c r="CGH20" s="2185"/>
      <c r="CGI20" s="16"/>
      <c r="CGJ20" s="2185"/>
      <c r="CGK20" s="16"/>
      <c r="CGL20" s="2185"/>
      <c r="CGM20" s="16"/>
      <c r="CGN20" s="2185"/>
      <c r="CGO20" s="16"/>
      <c r="CGP20" s="2185"/>
      <c r="CGQ20" s="16"/>
      <c r="CGR20" s="2185"/>
      <c r="CGS20" s="16"/>
      <c r="CGT20" s="2185"/>
      <c r="CGU20" s="16"/>
      <c r="CGV20" s="2185"/>
      <c r="CGW20" s="16"/>
      <c r="CGX20" s="2185"/>
      <c r="CGY20" s="16"/>
      <c r="CGZ20" s="2185"/>
      <c r="CHA20" s="16"/>
      <c r="CHB20" s="2185"/>
      <c r="CHC20" s="16"/>
      <c r="CHD20" s="2185"/>
      <c r="CHE20" s="16"/>
      <c r="CHF20" s="2185"/>
      <c r="CHG20" s="16"/>
      <c r="CHH20" s="2185"/>
      <c r="CHI20" s="16"/>
      <c r="CHJ20" s="2185"/>
      <c r="CHK20" s="16"/>
      <c r="CHL20" s="2185"/>
      <c r="CHM20" s="16"/>
      <c r="CHN20" s="2185"/>
      <c r="CHO20" s="16"/>
      <c r="CHP20" s="2185"/>
      <c r="CHQ20" s="16"/>
      <c r="CHR20" s="2185"/>
      <c r="CHS20" s="16"/>
      <c r="CHT20" s="2185"/>
      <c r="CHU20" s="16"/>
      <c r="CHV20" s="2185"/>
      <c r="CHW20" s="16"/>
      <c r="CHX20" s="2185"/>
      <c r="CHY20" s="16"/>
      <c r="CHZ20" s="2185"/>
      <c r="CIA20" s="16"/>
      <c r="CIB20" s="2185"/>
      <c r="CIC20" s="16"/>
      <c r="CID20" s="2185"/>
      <c r="CIE20" s="16"/>
      <c r="CIF20" s="2185"/>
      <c r="CIG20" s="16"/>
      <c r="CIH20" s="2185"/>
      <c r="CII20" s="16"/>
      <c r="CIJ20" s="2185"/>
      <c r="CIK20" s="16"/>
      <c r="CIL20" s="2185"/>
      <c r="CIM20" s="16"/>
      <c r="CIN20" s="2185"/>
      <c r="CIO20" s="16"/>
      <c r="CIP20" s="2185"/>
      <c r="CIQ20" s="16"/>
      <c r="CIR20" s="2185"/>
      <c r="CIS20" s="16"/>
      <c r="CIT20" s="2185"/>
      <c r="CIU20" s="16"/>
      <c r="CIV20" s="2185"/>
      <c r="CIW20" s="16"/>
      <c r="CIX20" s="2185"/>
      <c r="CIY20" s="16"/>
      <c r="CIZ20" s="2185"/>
      <c r="CJA20" s="16"/>
      <c r="CJB20" s="2185"/>
      <c r="CJC20" s="16"/>
      <c r="CJD20" s="2185"/>
      <c r="CJE20" s="16"/>
      <c r="CJF20" s="2185"/>
      <c r="CJG20" s="16"/>
      <c r="CJH20" s="2185"/>
      <c r="CJI20" s="16"/>
      <c r="CJJ20" s="2185"/>
      <c r="CJK20" s="16"/>
      <c r="CJL20" s="2185"/>
      <c r="CJM20" s="16"/>
      <c r="CJN20" s="2185"/>
      <c r="CJO20" s="16"/>
      <c r="CJP20" s="2185"/>
      <c r="CJQ20" s="16"/>
      <c r="CJR20" s="2185"/>
      <c r="CJS20" s="16"/>
      <c r="CJT20" s="2185"/>
      <c r="CJU20" s="16"/>
      <c r="CJV20" s="2185"/>
      <c r="CJW20" s="16"/>
      <c r="CJX20" s="2185"/>
      <c r="CJY20" s="16"/>
      <c r="CJZ20" s="2185"/>
      <c r="CKA20" s="16"/>
      <c r="CKB20" s="2185"/>
      <c r="CKC20" s="16"/>
      <c r="CKD20" s="2185"/>
      <c r="CKE20" s="16"/>
      <c r="CKF20" s="2185"/>
      <c r="CKG20" s="16"/>
      <c r="CKH20" s="2185"/>
      <c r="CKI20" s="16"/>
      <c r="CKJ20" s="2185"/>
      <c r="CKK20" s="16"/>
      <c r="CKL20" s="2185"/>
      <c r="CKM20" s="16"/>
      <c r="CKN20" s="2185"/>
      <c r="CKO20" s="16"/>
      <c r="CKP20" s="2185"/>
      <c r="CKQ20" s="16"/>
      <c r="CKR20" s="2185"/>
      <c r="CKS20" s="16"/>
      <c r="CKT20" s="2185"/>
      <c r="CKU20" s="16"/>
      <c r="CKV20" s="2185"/>
      <c r="CKW20" s="16"/>
      <c r="CKX20" s="2185"/>
      <c r="CKY20" s="16"/>
      <c r="CKZ20" s="2185"/>
      <c r="CLA20" s="16"/>
      <c r="CLB20" s="2185"/>
      <c r="CLC20" s="16"/>
      <c r="CLD20" s="2185"/>
      <c r="CLE20" s="16"/>
      <c r="CLF20" s="2185"/>
      <c r="CLG20" s="16"/>
      <c r="CLH20" s="2185"/>
      <c r="CLI20" s="16"/>
      <c r="CLJ20" s="2185"/>
      <c r="CLK20" s="16"/>
      <c r="CLL20" s="2185"/>
      <c r="CLM20" s="16"/>
      <c r="CLN20" s="2185"/>
      <c r="CLO20" s="16"/>
      <c r="CLP20" s="2185"/>
      <c r="CLQ20" s="16"/>
      <c r="CLR20" s="2185"/>
      <c r="CLS20" s="16"/>
      <c r="CLT20" s="2185"/>
      <c r="CLU20" s="16"/>
      <c r="CLV20" s="2185"/>
      <c r="CLW20" s="16"/>
      <c r="CLX20" s="2185"/>
      <c r="CLY20" s="16"/>
      <c r="CLZ20" s="2185"/>
      <c r="CMA20" s="16"/>
      <c r="CMB20" s="2185"/>
      <c r="CMC20" s="16"/>
      <c r="CMD20" s="2185"/>
      <c r="CME20" s="16"/>
      <c r="CMF20" s="2185"/>
      <c r="CMG20" s="16"/>
      <c r="CMH20" s="2185"/>
      <c r="CMI20" s="16"/>
      <c r="CMJ20" s="2185"/>
      <c r="CMK20" s="16"/>
      <c r="CML20" s="2185"/>
      <c r="CMM20" s="16"/>
      <c r="CMN20" s="2185"/>
      <c r="CMO20" s="16"/>
      <c r="CMP20" s="2185"/>
      <c r="CMQ20" s="16"/>
      <c r="CMR20" s="2185"/>
      <c r="CMS20" s="16"/>
      <c r="CMT20" s="2185"/>
      <c r="CMU20" s="16"/>
      <c r="CMV20" s="2185"/>
      <c r="CMW20" s="16"/>
      <c r="CMX20" s="2185"/>
      <c r="CMY20" s="16"/>
      <c r="CMZ20" s="2185"/>
      <c r="CNA20" s="16"/>
      <c r="CNB20" s="2185"/>
      <c r="CNC20" s="16"/>
      <c r="CND20" s="2185"/>
      <c r="CNE20" s="16"/>
      <c r="CNF20" s="2185"/>
      <c r="CNG20" s="16"/>
      <c r="CNH20" s="2185"/>
      <c r="CNI20" s="16"/>
      <c r="CNJ20" s="2185"/>
      <c r="CNK20" s="16"/>
      <c r="CNL20" s="2185"/>
      <c r="CNM20" s="16"/>
      <c r="CNN20" s="2185"/>
      <c r="CNO20" s="16"/>
      <c r="CNP20" s="2185"/>
      <c r="CNQ20" s="16"/>
      <c r="CNR20" s="2185"/>
      <c r="CNS20" s="16"/>
      <c r="CNT20" s="2185"/>
      <c r="CNU20" s="16"/>
      <c r="CNV20" s="2185"/>
      <c r="CNW20" s="16"/>
      <c r="CNX20" s="2185"/>
      <c r="CNY20" s="16"/>
      <c r="CNZ20" s="2185"/>
      <c r="COA20" s="16"/>
      <c r="COB20" s="2185"/>
      <c r="COC20" s="16"/>
      <c r="COD20" s="2185"/>
      <c r="COE20" s="16"/>
      <c r="COF20" s="2185"/>
      <c r="COG20" s="16"/>
      <c r="COH20" s="2185"/>
      <c r="COI20" s="16"/>
      <c r="COJ20" s="2185"/>
      <c r="COK20" s="16"/>
      <c r="COL20" s="2185"/>
      <c r="COM20" s="16"/>
      <c r="CON20" s="2185"/>
      <c r="COO20" s="16"/>
      <c r="COP20" s="2185"/>
      <c r="COQ20" s="16"/>
      <c r="COR20" s="2185"/>
      <c r="COS20" s="16"/>
      <c r="COT20" s="2185"/>
      <c r="COU20" s="16"/>
      <c r="COV20" s="2185"/>
      <c r="COW20" s="16"/>
      <c r="COX20" s="2185"/>
      <c r="COY20" s="16"/>
      <c r="COZ20" s="2185"/>
      <c r="CPA20" s="16"/>
      <c r="CPB20" s="2185"/>
      <c r="CPC20" s="16"/>
      <c r="CPD20" s="2185"/>
      <c r="CPE20" s="16"/>
      <c r="CPF20" s="2185"/>
      <c r="CPG20" s="16"/>
      <c r="CPH20" s="2185"/>
      <c r="CPI20" s="16"/>
      <c r="CPJ20" s="2185"/>
      <c r="CPK20" s="16"/>
      <c r="CPL20" s="2185"/>
      <c r="CPM20" s="16"/>
      <c r="CPN20" s="2185"/>
      <c r="CPO20" s="16"/>
      <c r="CPP20" s="2185"/>
      <c r="CPQ20" s="16"/>
      <c r="CPR20" s="2185"/>
      <c r="CPS20" s="16"/>
      <c r="CPT20" s="2185"/>
      <c r="CPU20" s="16"/>
      <c r="CPV20" s="2185"/>
      <c r="CPW20" s="16"/>
      <c r="CPX20" s="2185"/>
      <c r="CPY20" s="16"/>
      <c r="CPZ20" s="2185"/>
      <c r="CQA20" s="16"/>
      <c r="CQB20" s="2185"/>
      <c r="CQC20" s="16"/>
      <c r="CQD20" s="2185"/>
      <c r="CQE20" s="16"/>
      <c r="CQF20" s="2185"/>
      <c r="CQG20" s="16"/>
      <c r="CQH20" s="2185"/>
      <c r="CQI20" s="16"/>
      <c r="CQJ20" s="2185"/>
      <c r="CQK20" s="16"/>
      <c r="CQL20" s="2185"/>
      <c r="CQM20" s="16"/>
      <c r="CQN20" s="2185"/>
      <c r="CQO20" s="16"/>
      <c r="CQP20" s="2185"/>
      <c r="CQQ20" s="16"/>
      <c r="CQR20" s="2185"/>
      <c r="CQS20" s="16"/>
      <c r="CQT20" s="2185"/>
      <c r="CQU20" s="16"/>
      <c r="CQV20" s="2185"/>
      <c r="CQW20" s="16"/>
      <c r="CQX20" s="2185"/>
      <c r="CQY20" s="16"/>
      <c r="CQZ20" s="2185"/>
      <c r="CRA20" s="16"/>
      <c r="CRB20" s="2185"/>
      <c r="CRC20" s="16"/>
      <c r="CRD20" s="2185"/>
      <c r="CRE20" s="16"/>
      <c r="CRF20" s="2185"/>
      <c r="CRG20" s="16"/>
      <c r="CRH20" s="2185"/>
      <c r="CRI20" s="16"/>
      <c r="CRJ20" s="2185"/>
      <c r="CRK20" s="16"/>
      <c r="CRL20" s="2185"/>
      <c r="CRM20" s="16"/>
      <c r="CRN20" s="2185"/>
      <c r="CRO20" s="16"/>
      <c r="CRP20" s="2185"/>
      <c r="CRQ20" s="16"/>
      <c r="CRR20" s="2185"/>
      <c r="CRS20" s="16"/>
      <c r="CRT20" s="2185"/>
      <c r="CRU20" s="16"/>
      <c r="CRV20" s="2185"/>
      <c r="CRW20" s="16"/>
      <c r="CRX20" s="2185"/>
      <c r="CRY20" s="16"/>
      <c r="CRZ20" s="2185"/>
      <c r="CSA20" s="16"/>
      <c r="CSB20" s="2185"/>
      <c r="CSC20" s="16"/>
      <c r="CSD20" s="2185"/>
      <c r="CSE20" s="16"/>
      <c r="CSF20" s="2185"/>
      <c r="CSG20" s="16"/>
      <c r="CSH20" s="2185"/>
      <c r="CSI20" s="16"/>
      <c r="CSJ20" s="2185"/>
      <c r="CSK20" s="16"/>
      <c r="CSL20" s="2185"/>
      <c r="CSM20" s="16"/>
      <c r="CSN20" s="2185"/>
      <c r="CSO20" s="16"/>
      <c r="CSP20" s="2185"/>
      <c r="CSQ20" s="16"/>
      <c r="CSR20" s="2185"/>
      <c r="CSS20" s="16"/>
      <c r="CST20" s="2185"/>
      <c r="CSU20" s="16"/>
      <c r="CSV20" s="2185"/>
      <c r="CSW20" s="16"/>
      <c r="CSX20" s="2185"/>
      <c r="CSY20" s="16"/>
      <c r="CSZ20" s="2185"/>
      <c r="CTA20" s="16"/>
      <c r="CTB20" s="2185"/>
      <c r="CTC20" s="16"/>
      <c r="CTD20" s="2185"/>
      <c r="CTE20" s="16"/>
      <c r="CTF20" s="2185"/>
      <c r="CTG20" s="16"/>
      <c r="CTH20" s="2185"/>
      <c r="CTI20" s="16"/>
      <c r="CTJ20" s="2185"/>
      <c r="CTK20" s="16"/>
      <c r="CTL20" s="2185"/>
      <c r="CTM20" s="16"/>
      <c r="CTN20" s="2185"/>
      <c r="CTO20" s="16"/>
      <c r="CTP20" s="2185"/>
      <c r="CTQ20" s="16"/>
      <c r="CTR20" s="2185"/>
      <c r="CTS20" s="16"/>
      <c r="CTT20" s="2185"/>
      <c r="CTU20" s="16"/>
      <c r="CTV20" s="2185"/>
      <c r="CTW20" s="16"/>
      <c r="CTX20" s="2185"/>
      <c r="CTY20" s="16"/>
      <c r="CTZ20" s="2185"/>
      <c r="CUA20" s="16"/>
      <c r="CUB20" s="2185"/>
      <c r="CUC20" s="16"/>
      <c r="CUD20" s="2185"/>
      <c r="CUE20" s="16"/>
      <c r="CUF20" s="2185"/>
      <c r="CUG20" s="16"/>
      <c r="CUH20" s="2185"/>
      <c r="CUI20" s="16"/>
      <c r="CUJ20" s="2185"/>
      <c r="CUK20" s="16"/>
      <c r="CUL20" s="2185"/>
      <c r="CUM20" s="16"/>
      <c r="CUN20" s="2185"/>
      <c r="CUO20" s="16"/>
      <c r="CUP20" s="2185"/>
      <c r="CUQ20" s="16"/>
      <c r="CUR20" s="2185"/>
      <c r="CUS20" s="16"/>
      <c r="CUT20" s="2185"/>
      <c r="CUU20" s="16"/>
      <c r="CUV20" s="2185"/>
      <c r="CUW20" s="16"/>
      <c r="CUX20" s="2185"/>
      <c r="CUY20" s="16"/>
      <c r="CUZ20" s="2185"/>
      <c r="CVA20" s="16"/>
      <c r="CVB20" s="2185"/>
      <c r="CVC20" s="16"/>
      <c r="CVD20" s="2185"/>
      <c r="CVE20" s="16"/>
      <c r="CVF20" s="2185"/>
      <c r="CVG20" s="16"/>
      <c r="CVH20" s="2185"/>
      <c r="CVI20" s="16"/>
      <c r="CVJ20" s="2185"/>
      <c r="CVK20" s="16"/>
      <c r="CVL20" s="2185"/>
      <c r="CVM20" s="16"/>
      <c r="CVN20" s="2185"/>
      <c r="CVO20" s="16"/>
      <c r="CVP20" s="2185"/>
      <c r="CVQ20" s="16"/>
      <c r="CVR20" s="2185"/>
      <c r="CVS20" s="16"/>
      <c r="CVT20" s="2185"/>
      <c r="CVU20" s="16"/>
      <c r="CVV20" s="2185"/>
      <c r="CVW20" s="16"/>
      <c r="CVX20" s="2185"/>
      <c r="CVY20" s="16"/>
      <c r="CVZ20" s="2185"/>
      <c r="CWA20" s="16"/>
      <c r="CWB20" s="2185"/>
      <c r="CWC20" s="16"/>
      <c r="CWD20" s="2185"/>
      <c r="CWE20" s="16"/>
      <c r="CWF20" s="2185"/>
      <c r="CWG20" s="16"/>
      <c r="CWH20" s="2185"/>
      <c r="CWI20" s="16"/>
      <c r="CWJ20" s="2185"/>
      <c r="CWK20" s="16"/>
      <c r="CWL20" s="2185"/>
      <c r="CWM20" s="16"/>
      <c r="CWN20" s="2185"/>
      <c r="CWO20" s="16"/>
      <c r="CWP20" s="2185"/>
      <c r="CWQ20" s="16"/>
      <c r="CWR20" s="2185"/>
      <c r="CWS20" s="16"/>
      <c r="CWT20" s="2185"/>
      <c r="CWU20" s="16"/>
      <c r="CWV20" s="2185"/>
      <c r="CWW20" s="16"/>
      <c r="CWX20" s="2185"/>
      <c r="CWY20" s="16"/>
      <c r="CWZ20" s="2185"/>
      <c r="CXA20" s="16"/>
      <c r="CXB20" s="2185"/>
      <c r="CXC20" s="16"/>
      <c r="CXD20" s="2185"/>
      <c r="CXE20" s="16"/>
      <c r="CXF20" s="2185"/>
      <c r="CXG20" s="16"/>
      <c r="CXH20" s="2185"/>
      <c r="CXI20" s="16"/>
      <c r="CXJ20" s="2185"/>
      <c r="CXK20" s="16"/>
      <c r="CXL20" s="2185"/>
      <c r="CXM20" s="16"/>
      <c r="CXN20" s="2185"/>
      <c r="CXO20" s="16"/>
      <c r="CXP20" s="2185"/>
      <c r="CXQ20" s="16"/>
      <c r="CXR20" s="2185"/>
      <c r="CXS20" s="16"/>
      <c r="CXT20" s="2185"/>
      <c r="CXU20" s="16"/>
      <c r="CXV20" s="2185"/>
      <c r="CXW20" s="16"/>
      <c r="CXX20" s="2185"/>
      <c r="CXY20" s="16"/>
      <c r="CXZ20" s="2185"/>
      <c r="CYA20" s="16"/>
      <c r="CYB20" s="2185"/>
      <c r="CYC20" s="16"/>
      <c r="CYD20" s="2185"/>
      <c r="CYE20" s="16"/>
      <c r="CYF20" s="2185"/>
      <c r="CYG20" s="16"/>
      <c r="CYH20" s="2185"/>
      <c r="CYI20" s="16"/>
      <c r="CYJ20" s="2185"/>
      <c r="CYK20" s="16"/>
      <c r="CYL20" s="2185"/>
      <c r="CYM20" s="16"/>
      <c r="CYN20" s="2185"/>
      <c r="CYO20" s="16"/>
      <c r="CYP20" s="2185"/>
      <c r="CYQ20" s="16"/>
      <c r="CYR20" s="2185"/>
      <c r="CYS20" s="16"/>
      <c r="CYT20" s="2185"/>
      <c r="CYU20" s="16"/>
      <c r="CYV20" s="2185"/>
      <c r="CYW20" s="16"/>
      <c r="CYX20" s="2185"/>
      <c r="CYY20" s="16"/>
      <c r="CYZ20" s="2185"/>
      <c r="CZA20" s="16"/>
      <c r="CZB20" s="2185"/>
      <c r="CZC20" s="16"/>
      <c r="CZD20" s="2185"/>
      <c r="CZE20" s="16"/>
      <c r="CZF20" s="2185"/>
      <c r="CZG20" s="16"/>
      <c r="CZH20" s="2185"/>
      <c r="CZI20" s="16"/>
      <c r="CZJ20" s="2185"/>
      <c r="CZK20" s="16"/>
      <c r="CZL20" s="2185"/>
      <c r="CZM20" s="16"/>
      <c r="CZN20" s="2185"/>
      <c r="CZO20" s="16"/>
      <c r="CZP20" s="2185"/>
      <c r="CZQ20" s="16"/>
      <c r="CZR20" s="2185"/>
      <c r="CZS20" s="16"/>
      <c r="CZT20" s="2185"/>
      <c r="CZU20" s="16"/>
      <c r="CZV20" s="2185"/>
      <c r="CZW20" s="16"/>
      <c r="CZX20" s="2185"/>
      <c r="CZY20" s="16"/>
      <c r="CZZ20" s="2185"/>
      <c r="DAA20" s="16"/>
      <c r="DAB20" s="2185"/>
      <c r="DAC20" s="16"/>
      <c r="DAD20" s="2185"/>
      <c r="DAE20" s="16"/>
      <c r="DAF20" s="2185"/>
      <c r="DAG20" s="16"/>
      <c r="DAH20" s="2185"/>
      <c r="DAI20" s="16"/>
      <c r="DAJ20" s="2185"/>
      <c r="DAK20" s="16"/>
      <c r="DAL20" s="2185"/>
      <c r="DAM20" s="16"/>
      <c r="DAN20" s="2185"/>
      <c r="DAO20" s="16"/>
      <c r="DAP20" s="2185"/>
      <c r="DAQ20" s="16"/>
      <c r="DAR20" s="2185"/>
      <c r="DAS20" s="16"/>
      <c r="DAT20" s="2185"/>
      <c r="DAU20" s="16"/>
      <c r="DAV20" s="2185"/>
      <c r="DAW20" s="16"/>
      <c r="DAX20" s="2185"/>
      <c r="DAY20" s="16"/>
      <c r="DAZ20" s="2185"/>
      <c r="DBA20" s="16"/>
      <c r="DBB20" s="2185"/>
      <c r="DBC20" s="16"/>
      <c r="DBD20" s="2185"/>
      <c r="DBE20" s="16"/>
      <c r="DBF20" s="2185"/>
      <c r="DBG20" s="16"/>
      <c r="DBH20" s="2185"/>
      <c r="DBI20" s="16"/>
      <c r="DBJ20" s="2185"/>
      <c r="DBK20" s="16"/>
      <c r="DBL20" s="2185"/>
      <c r="DBM20" s="16"/>
      <c r="DBN20" s="2185"/>
      <c r="DBO20" s="16"/>
      <c r="DBP20" s="2185"/>
      <c r="DBQ20" s="16"/>
      <c r="DBR20" s="2185"/>
      <c r="DBS20" s="16"/>
      <c r="DBT20" s="2185"/>
      <c r="DBU20" s="16"/>
      <c r="DBV20" s="2185"/>
      <c r="DBW20" s="16"/>
      <c r="DBX20" s="2185"/>
      <c r="DBY20" s="16"/>
      <c r="DBZ20" s="2185"/>
      <c r="DCA20" s="16"/>
      <c r="DCB20" s="2185"/>
      <c r="DCC20" s="16"/>
      <c r="DCD20" s="2185"/>
      <c r="DCE20" s="16"/>
      <c r="DCF20" s="2185"/>
      <c r="DCG20" s="16"/>
      <c r="DCH20" s="2185"/>
      <c r="DCI20" s="16"/>
      <c r="DCJ20" s="2185"/>
      <c r="DCK20" s="16"/>
      <c r="DCL20" s="2185"/>
      <c r="DCM20" s="16"/>
      <c r="DCN20" s="2185"/>
      <c r="DCO20" s="16"/>
      <c r="DCP20" s="2185"/>
      <c r="DCQ20" s="16"/>
      <c r="DCR20" s="2185"/>
      <c r="DCS20" s="16"/>
      <c r="DCT20" s="2185"/>
      <c r="DCU20" s="16"/>
      <c r="DCV20" s="2185"/>
      <c r="DCW20" s="16"/>
      <c r="DCX20" s="2185"/>
      <c r="DCY20" s="16"/>
      <c r="DCZ20" s="2185"/>
      <c r="DDA20" s="16"/>
      <c r="DDB20" s="2185"/>
      <c r="DDC20" s="16"/>
      <c r="DDD20" s="2185"/>
      <c r="DDE20" s="16"/>
      <c r="DDF20" s="2185"/>
      <c r="DDG20" s="16"/>
      <c r="DDH20" s="2185"/>
      <c r="DDI20" s="16"/>
      <c r="DDJ20" s="2185"/>
      <c r="DDK20" s="16"/>
      <c r="DDL20" s="2185"/>
      <c r="DDM20" s="16"/>
      <c r="DDN20" s="2185"/>
      <c r="DDO20" s="16"/>
      <c r="DDP20" s="2185"/>
      <c r="DDQ20" s="16"/>
      <c r="DDR20" s="2185"/>
      <c r="DDS20" s="16"/>
      <c r="DDT20" s="2185"/>
      <c r="DDU20" s="16"/>
      <c r="DDV20" s="2185"/>
      <c r="DDW20" s="16"/>
      <c r="DDX20" s="2185"/>
      <c r="DDY20" s="16"/>
      <c r="DDZ20" s="2185"/>
      <c r="DEA20" s="16"/>
      <c r="DEB20" s="2185"/>
      <c r="DEC20" s="16"/>
      <c r="DED20" s="2185"/>
      <c r="DEE20" s="16"/>
      <c r="DEF20" s="2185"/>
      <c r="DEG20" s="16"/>
      <c r="DEH20" s="2185"/>
      <c r="DEI20" s="16"/>
      <c r="DEJ20" s="2185"/>
      <c r="DEK20" s="16"/>
      <c r="DEL20" s="2185"/>
      <c r="DEM20" s="16"/>
      <c r="DEN20" s="2185"/>
      <c r="DEO20" s="16"/>
      <c r="DEP20" s="2185"/>
      <c r="DEQ20" s="16"/>
      <c r="DER20" s="2185"/>
      <c r="DES20" s="16"/>
      <c r="DET20" s="2185"/>
      <c r="DEU20" s="16"/>
      <c r="DEV20" s="2185"/>
      <c r="DEW20" s="16"/>
      <c r="DEX20" s="2185"/>
      <c r="DEY20" s="16"/>
      <c r="DEZ20" s="2185"/>
      <c r="DFA20" s="16"/>
      <c r="DFB20" s="2185"/>
      <c r="DFC20" s="16"/>
      <c r="DFD20" s="2185"/>
      <c r="DFE20" s="16"/>
      <c r="DFF20" s="2185"/>
      <c r="DFG20" s="16"/>
      <c r="DFH20" s="2185"/>
      <c r="DFI20" s="16"/>
      <c r="DFJ20" s="2185"/>
      <c r="DFK20" s="16"/>
      <c r="DFL20" s="2185"/>
      <c r="DFM20" s="16"/>
      <c r="DFN20" s="2185"/>
      <c r="DFO20" s="16"/>
      <c r="DFP20" s="2185"/>
      <c r="DFQ20" s="16"/>
      <c r="DFR20" s="2185"/>
      <c r="DFS20" s="16"/>
      <c r="DFT20" s="2185"/>
      <c r="DFU20" s="16"/>
      <c r="DFV20" s="2185"/>
      <c r="DFW20" s="16"/>
      <c r="DFX20" s="2185"/>
      <c r="DFY20" s="16"/>
      <c r="DFZ20" s="2185"/>
      <c r="DGA20" s="16"/>
      <c r="DGB20" s="2185"/>
      <c r="DGC20" s="16"/>
      <c r="DGD20" s="2185"/>
      <c r="DGE20" s="16"/>
      <c r="DGF20" s="2185"/>
      <c r="DGG20" s="16"/>
      <c r="DGH20" s="2185"/>
      <c r="DGI20" s="16"/>
      <c r="DGJ20" s="2185"/>
      <c r="DGK20" s="16"/>
      <c r="DGL20" s="2185"/>
      <c r="DGM20" s="16"/>
      <c r="DGN20" s="2185"/>
      <c r="DGO20" s="16"/>
      <c r="DGP20" s="2185"/>
      <c r="DGQ20" s="16"/>
      <c r="DGR20" s="2185"/>
      <c r="DGS20" s="16"/>
      <c r="DGT20" s="2185"/>
      <c r="DGU20" s="16"/>
      <c r="DGV20" s="2185"/>
      <c r="DGW20" s="16"/>
      <c r="DGX20" s="2185"/>
      <c r="DGY20" s="16"/>
      <c r="DGZ20" s="2185"/>
      <c r="DHA20" s="16"/>
      <c r="DHB20" s="2185"/>
      <c r="DHC20" s="16"/>
      <c r="DHD20" s="2185"/>
      <c r="DHE20" s="16"/>
      <c r="DHF20" s="2185"/>
      <c r="DHG20" s="16"/>
      <c r="DHH20" s="2185"/>
      <c r="DHI20" s="16"/>
      <c r="DHJ20" s="2185"/>
      <c r="DHK20" s="16"/>
      <c r="DHL20" s="2185"/>
      <c r="DHM20" s="16"/>
      <c r="DHN20" s="2185"/>
      <c r="DHO20" s="16"/>
      <c r="DHP20" s="2185"/>
      <c r="DHQ20" s="16"/>
      <c r="DHR20" s="2185"/>
      <c r="DHS20" s="16"/>
      <c r="DHT20" s="2185"/>
      <c r="DHU20" s="16"/>
      <c r="DHV20" s="2185"/>
      <c r="DHW20" s="16"/>
      <c r="DHX20" s="2185"/>
      <c r="DHY20" s="16"/>
      <c r="DHZ20" s="2185"/>
      <c r="DIA20" s="16"/>
      <c r="DIB20" s="2185"/>
      <c r="DIC20" s="16"/>
      <c r="DID20" s="2185"/>
      <c r="DIE20" s="16"/>
      <c r="DIF20" s="2185"/>
      <c r="DIG20" s="16"/>
      <c r="DIH20" s="2185"/>
      <c r="DII20" s="16"/>
      <c r="DIJ20" s="2185"/>
      <c r="DIK20" s="16"/>
      <c r="DIL20" s="2185"/>
      <c r="DIM20" s="16"/>
      <c r="DIN20" s="2185"/>
      <c r="DIO20" s="16"/>
      <c r="DIP20" s="2185"/>
      <c r="DIQ20" s="16"/>
      <c r="DIR20" s="2185"/>
      <c r="DIS20" s="16"/>
      <c r="DIT20" s="2185"/>
      <c r="DIU20" s="16"/>
      <c r="DIV20" s="2185"/>
      <c r="DIW20" s="16"/>
      <c r="DIX20" s="2185"/>
      <c r="DIY20" s="16"/>
      <c r="DIZ20" s="2185"/>
      <c r="DJA20" s="16"/>
      <c r="DJB20" s="2185"/>
      <c r="DJC20" s="16"/>
      <c r="DJD20" s="2185"/>
      <c r="DJE20" s="16"/>
      <c r="DJF20" s="2185"/>
      <c r="DJG20" s="16"/>
      <c r="DJH20" s="2185"/>
      <c r="DJI20" s="16"/>
      <c r="DJJ20" s="2185"/>
      <c r="DJK20" s="16"/>
      <c r="DJL20" s="2185"/>
      <c r="DJM20" s="16"/>
      <c r="DJN20" s="2185"/>
      <c r="DJO20" s="16"/>
      <c r="DJP20" s="2185"/>
      <c r="DJQ20" s="16"/>
      <c r="DJR20" s="2185"/>
      <c r="DJS20" s="16"/>
      <c r="DJT20" s="2185"/>
      <c r="DJU20" s="16"/>
      <c r="DJV20" s="2185"/>
      <c r="DJW20" s="16"/>
      <c r="DJX20" s="2185"/>
      <c r="DJY20" s="16"/>
      <c r="DJZ20" s="2185"/>
      <c r="DKA20" s="16"/>
      <c r="DKB20" s="2185"/>
      <c r="DKC20" s="16"/>
      <c r="DKD20" s="2185"/>
      <c r="DKE20" s="16"/>
      <c r="DKF20" s="2185"/>
      <c r="DKG20" s="16"/>
      <c r="DKH20" s="2185"/>
      <c r="DKI20" s="16"/>
      <c r="DKJ20" s="2185"/>
      <c r="DKK20" s="16"/>
      <c r="DKL20" s="2185"/>
      <c r="DKM20" s="16"/>
      <c r="DKN20" s="2185"/>
      <c r="DKO20" s="16"/>
      <c r="DKP20" s="2185"/>
      <c r="DKQ20" s="16"/>
      <c r="DKR20" s="2185"/>
      <c r="DKS20" s="16"/>
      <c r="DKT20" s="2185"/>
      <c r="DKU20" s="16"/>
      <c r="DKV20" s="2185"/>
      <c r="DKW20" s="16"/>
      <c r="DKX20" s="2185"/>
      <c r="DKY20" s="16"/>
      <c r="DKZ20" s="2185"/>
      <c r="DLA20" s="16"/>
      <c r="DLB20" s="2185"/>
      <c r="DLC20" s="16"/>
      <c r="DLD20" s="2185"/>
      <c r="DLE20" s="16"/>
      <c r="DLF20" s="2185"/>
      <c r="DLG20" s="16"/>
      <c r="DLH20" s="2185"/>
      <c r="DLI20" s="16"/>
      <c r="DLJ20" s="2185"/>
      <c r="DLK20" s="16"/>
      <c r="DLL20" s="2185"/>
      <c r="DLM20" s="16"/>
      <c r="DLN20" s="2185"/>
      <c r="DLO20" s="16"/>
      <c r="DLP20" s="2185"/>
      <c r="DLQ20" s="16"/>
      <c r="DLR20" s="2185"/>
      <c r="DLS20" s="16"/>
      <c r="DLT20" s="2185"/>
      <c r="DLU20" s="16"/>
      <c r="DLV20" s="2185"/>
      <c r="DLW20" s="16"/>
      <c r="DLX20" s="2185"/>
      <c r="DLY20" s="16"/>
      <c r="DLZ20" s="2185"/>
      <c r="DMA20" s="16"/>
      <c r="DMB20" s="2185"/>
      <c r="DMC20" s="16"/>
      <c r="DMD20" s="2185"/>
      <c r="DME20" s="16"/>
      <c r="DMF20" s="2185"/>
      <c r="DMG20" s="16"/>
      <c r="DMH20" s="2185"/>
      <c r="DMI20" s="16"/>
      <c r="DMJ20" s="2185"/>
      <c r="DMK20" s="16"/>
      <c r="DML20" s="2185"/>
      <c r="DMM20" s="16"/>
      <c r="DMN20" s="2185"/>
      <c r="DMO20" s="16"/>
      <c r="DMP20" s="2185"/>
      <c r="DMQ20" s="16"/>
      <c r="DMR20" s="2185"/>
      <c r="DMS20" s="16"/>
      <c r="DMT20" s="2185"/>
      <c r="DMU20" s="16"/>
      <c r="DMV20" s="2185"/>
      <c r="DMW20" s="16"/>
      <c r="DMX20" s="2185"/>
      <c r="DMY20" s="16"/>
      <c r="DMZ20" s="2185"/>
      <c r="DNA20" s="16"/>
      <c r="DNB20" s="2185"/>
      <c r="DNC20" s="16"/>
      <c r="DND20" s="2185"/>
      <c r="DNE20" s="16"/>
      <c r="DNF20" s="2185"/>
      <c r="DNG20" s="16"/>
      <c r="DNH20" s="2185"/>
      <c r="DNI20" s="16"/>
      <c r="DNJ20" s="2185"/>
      <c r="DNK20" s="16"/>
      <c r="DNL20" s="2185"/>
      <c r="DNM20" s="16"/>
      <c r="DNN20" s="2185"/>
      <c r="DNO20" s="16"/>
      <c r="DNP20" s="2185"/>
      <c r="DNQ20" s="16"/>
      <c r="DNR20" s="2185"/>
      <c r="DNS20" s="16"/>
      <c r="DNT20" s="2185"/>
      <c r="DNU20" s="16"/>
      <c r="DNV20" s="2185"/>
      <c r="DNW20" s="16"/>
      <c r="DNX20" s="2185"/>
      <c r="DNY20" s="16"/>
      <c r="DNZ20" s="2185"/>
      <c r="DOA20" s="16"/>
      <c r="DOB20" s="2185"/>
      <c r="DOC20" s="16"/>
      <c r="DOD20" s="2185"/>
      <c r="DOE20" s="16"/>
      <c r="DOF20" s="2185"/>
      <c r="DOG20" s="16"/>
      <c r="DOH20" s="2185"/>
      <c r="DOI20" s="16"/>
      <c r="DOJ20" s="2185"/>
      <c r="DOK20" s="16"/>
      <c r="DOL20" s="2185"/>
      <c r="DOM20" s="16"/>
      <c r="DON20" s="2185"/>
      <c r="DOO20" s="16"/>
      <c r="DOP20" s="2185"/>
      <c r="DOQ20" s="16"/>
      <c r="DOR20" s="2185"/>
      <c r="DOS20" s="16"/>
      <c r="DOT20" s="2185"/>
      <c r="DOU20" s="16"/>
      <c r="DOV20" s="2185"/>
      <c r="DOW20" s="16"/>
      <c r="DOX20" s="2185"/>
      <c r="DOY20" s="16"/>
      <c r="DOZ20" s="2185"/>
      <c r="DPA20" s="16"/>
      <c r="DPB20" s="2185"/>
      <c r="DPC20" s="16"/>
      <c r="DPD20" s="2185"/>
      <c r="DPE20" s="16"/>
      <c r="DPF20" s="2185"/>
      <c r="DPG20" s="16"/>
      <c r="DPH20" s="2185"/>
      <c r="DPI20" s="16"/>
      <c r="DPJ20" s="2185"/>
      <c r="DPK20" s="16"/>
      <c r="DPL20" s="2185"/>
      <c r="DPM20" s="16"/>
      <c r="DPN20" s="2185"/>
      <c r="DPO20" s="16"/>
      <c r="DPP20" s="2185"/>
      <c r="DPQ20" s="16"/>
      <c r="DPR20" s="2185"/>
      <c r="DPS20" s="16"/>
      <c r="DPT20" s="2185"/>
      <c r="DPU20" s="16"/>
      <c r="DPV20" s="2185"/>
      <c r="DPW20" s="16"/>
      <c r="DPX20" s="2185"/>
      <c r="DPY20" s="16"/>
      <c r="DPZ20" s="2185"/>
      <c r="DQA20" s="16"/>
      <c r="DQB20" s="2185"/>
      <c r="DQC20" s="16"/>
      <c r="DQD20" s="2185"/>
      <c r="DQE20" s="16"/>
      <c r="DQF20" s="2185"/>
      <c r="DQG20" s="16"/>
      <c r="DQH20" s="2185"/>
      <c r="DQI20" s="16"/>
      <c r="DQJ20" s="2185"/>
      <c r="DQK20" s="16"/>
      <c r="DQL20" s="2185"/>
      <c r="DQM20" s="16"/>
      <c r="DQN20" s="2185"/>
      <c r="DQO20" s="16"/>
      <c r="DQP20" s="2185"/>
      <c r="DQQ20" s="16"/>
      <c r="DQR20" s="2185"/>
      <c r="DQS20" s="16"/>
      <c r="DQT20" s="2185"/>
      <c r="DQU20" s="16"/>
      <c r="DQV20" s="2185"/>
      <c r="DQW20" s="16"/>
      <c r="DQX20" s="2185"/>
      <c r="DQY20" s="16"/>
      <c r="DQZ20" s="2185"/>
      <c r="DRA20" s="16"/>
      <c r="DRB20" s="2185"/>
      <c r="DRC20" s="16"/>
      <c r="DRD20" s="2185"/>
      <c r="DRE20" s="16"/>
      <c r="DRF20" s="2185"/>
      <c r="DRG20" s="16"/>
      <c r="DRH20" s="2185"/>
      <c r="DRI20" s="16"/>
      <c r="DRJ20" s="2185"/>
      <c r="DRK20" s="16"/>
      <c r="DRL20" s="2185"/>
      <c r="DRM20" s="16"/>
      <c r="DRN20" s="2185"/>
      <c r="DRO20" s="16"/>
      <c r="DRP20" s="2185"/>
      <c r="DRQ20" s="16"/>
      <c r="DRR20" s="2185"/>
      <c r="DRS20" s="16"/>
      <c r="DRT20" s="2185"/>
      <c r="DRU20" s="16"/>
      <c r="DRV20" s="2185"/>
      <c r="DRW20" s="16"/>
      <c r="DRX20" s="2185"/>
      <c r="DRY20" s="16"/>
      <c r="DRZ20" s="2185"/>
      <c r="DSA20" s="16"/>
      <c r="DSB20" s="2185"/>
      <c r="DSC20" s="16"/>
      <c r="DSD20" s="2185"/>
      <c r="DSE20" s="16"/>
      <c r="DSF20" s="2185"/>
      <c r="DSG20" s="16"/>
      <c r="DSH20" s="2185"/>
      <c r="DSI20" s="16"/>
      <c r="DSJ20" s="2185"/>
      <c r="DSK20" s="16"/>
      <c r="DSL20" s="2185"/>
      <c r="DSM20" s="16"/>
      <c r="DSN20" s="2185"/>
      <c r="DSO20" s="16"/>
      <c r="DSP20" s="2185"/>
      <c r="DSQ20" s="16"/>
      <c r="DSR20" s="2185"/>
      <c r="DSS20" s="16"/>
      <c r="DST20" s="2185"/>
      <c r="DSU20" s="16"/>
      <c r="DSV20" s="2185"/>
      <c r="DSW20" s="16"/>
      <c r="DSX20" s="2185"/>
      <c r="DSY20" s="16"/>
      <c r="DSZ20" s="2185"/>
      <c r="DTA20" s="16"/>
      <c r="DTB20" s="2185"/>
      <c r="DTC20" s="16"/>
      <c r="DTD20" s="2185"/>
      <c r="DTE20" s="16"/>
      <c r="DTF20" s="2185"/>
      <c r="DTG20" s="16"/>
      <c r="DTH20" s="2185"/>
      <c r="DTI20" s="16"/>
      <c r="DTJ20" s="2185"/>
      <c r="DTK20" s="16"/>
      <c r="DTL20" s="2185"/>
      <c r="DTM20" s="16"/>
      <c r="DTN20" s="2185"/>
      <c r="DTO20" s="16"/>
      <c r="DTP20" s="2185"/>
      <c r="DTQ20" s="16"/>
      <c r="DTR20" s="2185"/>
      <c r="DTS20" s="16"/>
      <c r="DTT20" s="2185"/>
      <c r="DTU20" s="16"/>
      <c r="DTV20" s="2185"/>
      <c r="DTW20" s="16"/>
      <c r="DTX20" s="2185"/>
      <c r="DTY20" s="16"/>
      <c r="DTZ20" s="2185"/>
      <c r="DUA20" s="16"/>
      <c r="DUB20" s="2185"/>
      <c r="DUC20" s="16"/>
      <c r="DUD20" s="2185"/>
      <c r="DUE20" s="16"/>
      <c r="DUF20" s="2185"/>
      <c r="DUG20" s="16"/>
      <c r="DUH20" s="2185"/>
      <c r="DUI20" s="16"/>
      <c r="DUJ20" s="2185"/>
      <c r="DUK20" s="16"/>
      <c r="DUL20" s="2185"/>
      <c r="DUM20" s="16"/>
      <c r="DUN20" s="2185"/>
      <c r="DUO20" s="16"/>
      <c r="DUP20" s="2185"/>
      <c r="DUQ20" s="16"/>
      <c r="DUR20" s="2185"/>
      <c r="DUS20" s="16"/>
      <c r="DUT20" s="2185"/>
      <c r="DUU20" s="16"/>
      <c r="DUV20" s="2185"/>
      <c r="DUW20" s="16"/>
      <c r="DUX20" s="2185"/>
      <c r="DUY20" s="16"/>
      <c r="DUZ20" s="2185"/>
      <c r="DVA20" s="16"/>
      <c r="DVB20" s="2185"/>
      <c r="DVC20" s="16"/>
      <c r="DVD20" s="2185"/>
      <c r="DVE20" s="16"/>
      <c r="DVF20" s="2185"/>
      <c r="DVG20" s="16"/>
      <c r="DVH20" s="2185"/>
      <c r="DVI20" s="16"/>
      <c r="DVJ20" s="2185"/>
      <c r="DVK20" s="16"/>
      <c r="DVL20" s="2185"/>
      <c r="DVM20" s="16"/>
      <c r="DVN20" s="2185"/>
      <c r="DVO20" s="16"/>
      <c r="DVP20" s="2185"/>
      <c r="DVQ20" s="16"/>
      <c r="DVR20" s="2185"/>
      <c r="DVS20" s="16"/>
      <c r="DVT20" s="2185"/>
      <c r="DVU20" s="16"/>
      <c r="DVV20" s="2185"/>
      <c r="DVW20" s="16"/>
      <c r="DVX20" s="2185"/>
      <c r="DVY20" s="16"/>
      <c r="DVZ20" s="2185"/>
      <c r="DWA20" s="16"/>
      <c r="DWB20" s="2185"/>
      <c r="DWC20" s="16"/>
      <c r="DWD20" s="2185"/>
      <c r="DWE20" s="16"/>
      <c r="DWF20" s="2185"/>
      <c r="DWG20" s="16"/>
      <c r="DWH20" s="2185"/>
      <c r="DWI20" s="16"/>
      <c r="DWJ20" s="2185"/>
      <c r="DWK20" s="16"/>
      <c r="DWL20" s="2185"/>
      <c r="DWM20" s="16"/>
      <c r="DWN20" s="2185"/>
      <c r="DWO20" s="16"/>
      <c r="DWP20" s="2185"/>
      <c r="DWQ20" s="16"/>
      <c r="DWR20" s="2185"/>
      <c r="DWS20" s="16"/>
      <c r="DWT20" s="2185"/>
      <c r="DWU20" s="16"/>
      <c r="DWV20" s="2185"/>
      <c r="DWW20" s="16"/>
      <c r="DWX20" s="2185"/>
      <c r="DWY20" s="16"/>
      <c r="DWZ20" s="2185"/>
      <c r="DXA20" s="16"/>
      <c r="DXB20" s="2185"/>
      <c r="DXC20" s="16"/>
      <c r="DXD20" s="2185"/>
      <c r="DXE20" s="16"/>
      <c r="DXF20" s="2185"/>
      <c r="DXG20" s="16"/>
      <c r="DXH20" s="2185"/>
      <c r="DXI20" s="16"/>
      <c r="DXJ20" s="2185"/>
      <c r="DXK20" s="16"/>
      <c r="DXL20" s="2185"/>
      <c r="DXM20" s="16"/>
      <c r="DXN20" s="2185"/>
      <c r="DXO20" s="16"/>
      <c r="DXP20" s="2185"/>
      <c r="DXQ20" s="16"/>
      <c r="DXR20" s="2185"/>
      <c r="DXS20" s="16"/>
      <c r="DXT20" s="2185"/>
      <c r="DXU20" s="16"/>
      <c r="DXV20" s="2185"/>
      <c r="DXW20" s="16"/>
      <c r="DXX20" s="2185"/>
      <c r="DXY20" s="16"/>
      <c r="DXZ20" s="2185"/>
      <c r="DYA20" s="16"/>
      <c r="DYB20" s="2185"/>
      <c r="DYC20" s="16"/>
      <c r="DYD20" s="2185"/>
      <c r="DYE20" s="16"/>
      <c r="DYF20" s="2185"/>
      <c r="DYG20" s="16"/>
      <c r="DYH20" s="2185"/>
      <c r="DYI20" s="16"/>
      <c r="DYJ20" s="2185"/>
      <c r="DYK20" s="16"/>
      <c r="DYL20" s="2185"/>
      <c r="DYM20" s="16"/>
      <c r="DYN20" s="2185"/>
      <c r="DYO20" s="16"/>
      <c r="DYP20" s="2185"/>
      <c r="DYQ20" s="16"/>
      <c r="DYR20" s="2185"/>
      <c r="DYS20" s="16"/>
      <c r="DYT20" s="2185"/>
      <c r="DYU20" s="16"/>
      <c r="DYV20" s="2185"/>
      <c r="DYW20" s="16"/>
      <c r="DYX20" s="2185"/>
      <c r="DYY20" s="16"/>
      <c r="DYZ20" s="2185"/>
      <c r="DZA20" s="16"/>
      <c r="DZB20" s="2185"/>
      <c r="DZC20" s="16"/>
      <c r="DZD20" s="2185"/>
      <c r="DZE20" s="16"/>
      <c r="DZF20" s="2185"/>
      <c r="DZG20" s="16"/>
      <c r="DZH20" s="2185"/>
      <c r="DZI20" s="16"/>
      <c r="DZJ20" s="2185"/>
      <c r="DZK20" s="16"/>
      <c r="DZL20" s="2185"/>
      <c r="DZM20" s="16"/>
      <c r="DZN20" s="2185"/>
      <c r="DZO20" s="16"/>
      <c r="DZP20" s="2185"/>
      <c r="DZQ20" s="16"/>
      <c r="DZR20" s="2185"/>
      <c r="DZS20" s="16"/>
      <c r="DZT20" s="2185"/>
      <c r="DZU20" s="16"/>
      <c r="DZV20" s="2185"/>
      <c r="DZW20" s="16"/>
      <c r="DZX20" s="2185"/>
      <c r="DZY20" s="16"/>
      <c r="DZZ20" s="2185"/>
      <c r="EAA20" s="16"/>
      <c r="EAB20" s="2185"/>
      <c r="EAC20" s="16"/>
      <c r="EAD20" s="2185"/>
      <c r="EAE20" s="16"/>
      <c r="EAF20" s="2185"/>
      <c r="EAG20" s="16"/>
      <c r="EAH20" s="2185"/>
      <c r="EAI20" s="16"/>
      <c r="EAJ20" s="2185"/>
      <c r="EAK20" s="16"/>
      <c r="EAL20" s="2185"/>
      <c r="EAM20" s="16"/>
      <c r="EAN20" s="2185"/>
      <c r="EAO20" s="16"/>
      <c r="EAP20" s="2185"/>
      <c r="EAQ20" s="16"/>
      <c r="EAR20" s="2185"/>
      <c r="EAS20" s="16"/>
      <c r="EAT20" s="2185"/>
      <c r="EAU20" s="16"/>
      <c r="EAV20" s="2185"/>
      <c r="EAW20" s="16"/>
      <c r="EAX20" s="2185"/>
      <c r="EAY20" s="16"/>
      <c r="EAZ20" s="2185"/>
      <c r="EBA20" s="16"/>
      <c r="EBB20" s="2185"/>
      <c r="EBC20" s="16"/>
      <c r="EBD20" s="2185"/>
      <c r="EBE20" s="16"/>
      <c r="EBF20" s="2185"/>
      <c r="EBG20" s="16"/>
      <c r="EBH20" s="2185"/>
      <c r="EBI20" s="16"/>
      <c r="EBJ20" s="2185"/>
      <c r="EBK20" s="16"/>
      <c r="EBL20" s="2185"/>
      <c r="EBM20" s="16"/>
      <c r="EBN20" s="2185"/>
      <c r="EBO20" s="16"/>
      <c r="EBP20" s="2185"/>
      <c r="EBQ20" s="16"/>
      <c r="EBR20" s="2185"/>
      <c r="EBS20" s="16"/>
      <c r="EBT20" s="2185"/>
      <c r="EBU20" s="16"/>
      <c r="EBV20" s="2185"/>
      <c r="EBW20" s="16"/>
      <c r="EBX20" s="2185"/>
      <c r="EBY20" s="16"/>
      <c r="EBZ20" s="2185"/>
      <c r="ECA20" s="16"/>
      <c r="ECB20" s="2185"/>
      <c r="ECC20" s="16"/>
      <c r="ECD20" s="2185"/>
      <c r="ECE20" s="16"/>
      <c r="ECF20" s="2185"/>
      <c r="ECG20" s="16"/>
      <c r="ECH20" s="2185"/>
      <c r="ECI20" s="16"/>
      <c r="ECJ20" s="2185"/>
      <c r="ECK20" s="16"/>
      <c r="ECL20" s="2185"/>
      <c r="ECM20" s="16"/>
      <c r="ECN20" s="2185"/>
      <c r="ECO20" s="16"/>
      <c r="ECP20" s="2185"/>
      <c r="ECQ20" s="16"/>
      <c r="ECR20" s="2185"/>
      <c r="ECS20" s="16"/>
      <c r="ECT20" s="2185"/>
      <c r="ECU20" s="16"/>
      <c r="ECV20" s="2185"/>
      <c r="ECW20" s="16"/>
      <c r="ECX20" s="2185"/>
      <c r="ECY20" s="16"/>
      <c r="ECZ20" s="2185"/>
      <c r="EDA20" s="16"/>
      <c r="EDB20" s="2185"/>
      <c r="EDC20" s="16"/>
      <c r="EDD20" s="2185"/>
      <c r="EDE20" s="16"/>
      <c r="EDF20" s="2185"/>
      <c r="EDG20" s="16"/>
      <c r="EDH20" s="2185"/>
      <c r="EDI20" s="16"/>
      <c r="EDJ20" s="2185"/>
      <c r="EDK20" s="16"/>
      <c r="EDL20" s="2185"/>
      <c r="EDM20" s="16"/>
      <c r="EDN20" s="2185"/>
      <c r="EDO20" s="16"/>
      <c r="EDP20" s="2185"/>
      <c r="EDQ20" s="16"/>
      <c r="EDR20" s="2185"/>
      <c r="EDS20" s="16"/>
      <c r="EDT20" s="2185"/>
      <c r="EDU20" s="16"/>
      <c r="EDV20" s="2185"/>
      <c r="EDW20" s="16"/>
      <c r="EDX20" s="2185"/>
      <c r="EDY20" s="16"/>
      <c r="EDZ20" s="2185"/>
      <c r="EEA20" s="16"/>
      <c r="EEB20" s="2185"/>
      <c r="EEC20" s="16"/>
      <c r="EED20" s="2185"/>
      <c r="EEE20" s="16"/>
      <c r="EEF20" s="2185"/>
      <c r="EEG20" s="16"/>
      <c r="EEH20" s="2185"/>
      <c r="EEI20" s="16"/>
      <c r="EEJ20" s="2185"/>
      <c r="EEK20" s="16"/>
      <c r="EEL20" s="2185"/>
      <c r="EEM20" s="16"/>
      <c r="EEN20" s="2185"/>
      <c r="EEO20" s="16"/>
      <c r="EEP20" s="2185"/>
      <c r="EEQ20" s="16"/>
      <c r="EER20" s="2185"/>
      <c r="EES20" s="16"/>
      <c r="EET20" s="2185"/>
      <c r="EEU20" s="16"/>
      <c r="EEV20" s="2185"/>
      <c r="EEW20" s="16"/>
      <c r="EEX20" s="2185"/>
      <c r="EEY20" s="16"/>
      <c r="EEZ20" s="2185"/>
      <c r="EFA20" s="16"/>
      <c r="EFB20" s="2185"/>
      <c r="EFC20" s="16"/>
      <c r="EFD20" s="2185"/>
      <c r="EFE20" s="16"/>
      <c r="EFF20" s="2185"/>
      <c r="EFG20" s="16"/>
      <c r="EFH20" s="2185"/>
      <c r="EFI20" s="16"/>
      <c r="EFJ20" s="2185"/>
      <c r="EFK20" s="16"/>
      <c r="EFL20" s="2185"/>
      <c r="EFM20" s="16"/>
      <c r="EFN20" s="2185"/>
      <c r="EFO20" s="16"/>
      <c r="EFP20" s="2185"/>
      <c r="EFQ20" s="16"/>
      <c r="EFR20" s="2185"/>
      <c r="EFS20" s="16"/>
      <c r="EFT20" s="2185"/>
      <c r="EFU20" s="16"/>
      <c r="EFV20" s="2185"/>
      <c r="EFW20" s="16"/>
      <c r="EFX20" s="2185"/>
      <c r="EFY20" s="16"/>
      <c r="EFZ20" s="2185"/>
      <c r="EGA20" s="16"/>
      <c r="EGB20" s="2185"/>
      <c r="EGC20" s="16"/>
      <c r="EGD20" s="2185"/>
      <c r="EGE20" s="16"/>
      <c r="EGF20" s="2185"/>
      <c r="EGG20" s="16"/>
      <c r="EGH20" s="2185"/>
      <c r="EGI20" s="16"/>
      <c r="EGJ20" s="2185"/>
      <c r="EGK20" s="16"/>
      <c r="EGL20" s="2185"/>
      <c r="EGM20" s="16"/>
      <c r="EGN20" s="2185"/>
      <c r="EGO20" s="16"/>
      <c r="EGP20" s="2185"/>
      <c r="EGQ20" s="16"/>
      <c r="EGR20" s="2185"/>
      <c r="EGS20" s="16"/>
      <c r="EGT20" s="2185"/>
      <c r="EGU20" s="16"/>
      <c r="EGV20" s="2185"/>
      <c r="EGW20" s="16"/>
      <c r="EGX20" s="2185"/>
      <c r="EGY20" s="16"/>
      <c r="EGZ20" s="2185"/>
      <c r="EHA20" s="16"/>
      <c r="EHB20" s="2185"/>
      <c r="EHC20" s="16"/>
      <c r="EHD20" s="2185"/>
      <c r="EHE20" s="16"/>
      <c r="EHF20" s="2185"/>
      <c r="EHG20" s="16"/>
      <c r="EHH20" s="2185"/>
      <c r="EHI20" s="16"/>
      <c r="EHJ20" s="2185"/>
      <c r="EHK20" s="16"/>
      <c r="EHL20" s="2185"/>
      <c r="EHM20" s="16"/>
      <c r="EHN20" s="2185"/>
      <c r="EHO20" s="16"/>
      <c r="EHP20" s="2185"/>
      <c r="EHQ20" s="16"/>
      <c r="EHR20" s="2185"/>
      <c r="EHS20" s="16"/>
      <c r="EHT20" s="2185"/>
      <c r="EHU20" s="16"/>
      <c r="EHV20" s="2185"/>
      <c r="EHW20" s="16"/>
      <c r="EHX20" s="2185"/>
      <c r="EHY20" s="16"/>
      <c r="EHZ20" s="2185"/>
      <c r="EIA20" s="16"/>
      <c r="EIB20" s="2185"/>
      <c r="EIC20" s="16"/>
      <c r="EID20" s="2185"/>
      <c r="EIE20" s="16"/>
      <c r="EIF20" s="2185"/>
      <c r="EIG20" s="16"/>
      <c r="EIH20" s="2185"/>
      <c r="EII20" s="16"/>
      <c r="EIJ20" s="2185"/>
      <c r="EIK20" s="16"/>
      <c r="EIL20" s="2185"/>
      <c r="EIM20" s="16"/>
      <c r="EIN20" s="2185"/>
      <c r="EIO20" s="16"/>
      <c r="EIP20" s="2185"/>
      <c r="EIQ20" s="16"/>
      <c r="EIR20" s="2185"/>
      <c r="EIS20" s="16"/>
      <c r="EIT20" s="2185"/>
      <c r="EIU20" s="16"/>
      <c r="EIV20" s="2185"/>
      <c r="EIW20" s="16"/>
      <c r="EIX20" s="2185"/>
      <c r="EIY20" s="16"/>
      <c r="EIZ20" s="2185"/>
      <c r="EJA20" s="16"/>
      <c r="EJB20" s="2185"/>
      <c r="EJC20" s="16"/>
      <c r="EJD20" s="2185"/>
      <c r="EJE20" s="16"/>
      <c r="EJF20" s="2185"/>
      <c r="EJG20" s="16"/>
      <c r="EJH20" s="2185"/>
      <c r="EJI20" s="16"/>
      <c r="EJJ20" s="2185"/>
      <c r="EJK20" s="16"/>
      <c r="EJL20" s="2185"/>
      <c r="EJM20" s="16"/>
      <c r="EJN20" s="2185"/>
      <c r="EJO20" s="16"/>
      <c r="EJP20" s="2185"/>
      <c r="EJQ20" s="16"/>
      <c r="EJR20" s="2185"/>
      <c r="EJS20" s="16"/>
      <c r="EJT20" s="2185"/>
      <c r="EJU20" s="16"/>
      <c r="EJV20" s="2185"/>
      <c r="EJW20" s="16"/>
      <c r="EJX20" s="2185"/>
      <c r="EJY20" s="16"/>
      <c r="EJZ20" s="2185"/>
      <c r="EKA20" s="16"/>
      <c r="EKB20" s="2185"/>
      <c r="EKC20" s="16"/>
      <c r="EKD20" s="2185"/>
      <c r="EKE20" s="16"/>
      <c r="EKF20" s="2185"/>
      <c r="EKG20" s="16"/>
      <c r="EKH20" s="2185"/>
      <c r="EKI20" s="16"/>
      <c r="EKJ20" s="2185"/>
      <c r="EKK20" s="16"/>
      <c r="EKL20" s="2185"/>
      <c r="EKM20" s="16"/>
      <c r="EKN20" s="2185"/>
      <c r="EKO20" s="16"/>
      <c r="EKP20" s="2185"/>
      <c r="EKQ20" s="16"/>
      <c r="EKR20" s="2185"/>
      <c r="EKS20" s="16"/>
      <c r="EKT20" s="2185"/>
      <c r="EKU20" s="16"/>
      <c r="EKV20" s="2185"/>
      <c r="EKW20" s="16"/>
      <c r="EKX20" s="2185"/>
      <c r="EKY20" s="16"/>
      <c r="EKZ20" s="2185"/>
      <c r="ELA20" s="16"/>
      <c r="ELB20" s="2185"/>
      <c r="ELC20" s="16"/>
      <c r="ELD20" s="2185"/>
      <c r="ELE20" s="16"/>
      <c r="ELF20" s="2185"/>
      <c r="ELG20" s="16"/>
      <c r="ELH20" s="2185"/>
      <c r="ELI20" s="16"/>
      <c r="ELJ20" s="2185"/>
      <c r="ELK20" s="16"/>
      <c r="ELL20" s="2185"/>
      <c r="ELM20" s="16"/>
      <c r="ELN20" s="2185"/>
      <c r="ELO20" s="16"/>
      <c r="ELP20" s="2185"/>
      <c r="ELQ20" s="16"/>
      <c r="ELR20" s="2185"/>
      <c r="ELS20" s="16"/>
      <c r="ELT20" s="2185"/>
      <c r="ELU20" s="16"/>
      <c r="ELV20" s="2185"/>
      <c r="ELW20" s="16"/>
      <c r="ELX20" s="2185"/>
      <c r="ELY20" s="16"/>
      <c r="ELZ20" s="2185"/>
      <c r="EMA20" s="16"/>
      <c r="EMB20" s="2185"/>
      <c r="EMC20" s="16"/>
      <c r="EMD20" s="2185"/>
      <c r="EME20" s="16"/>
      <c r="EMF20" s="2185"/>
      <c r="EMG20" s="16"/>
      <c r="EMH20" s="2185"/>
      <c r="EMI20" s="16"/>
      <c r="EMJ20" s="2185"/>
      <c r="EMK20" s="16"/>
      <c r="EML20" s="2185"/>
      <c r="EMM20" s="16"/>
      <c r="EMN20" s="2185"/>
      <c r="EMO20" s="16"/>
      <c r="EMP20" s="2185"/>
      <c r="EMQ20" s="16"/>
      <c r="EMR20" s="2185"/>
      <c r="EMS20" s="16"/>
      <c r="EMT20" s="2185"/>
      <c r="EMU20" s="16"/>
      <c r="EMV20" s="2185"/>
      <c r="EMW20" s="16"/>
      <c r="EMX20" s="2185"/>
      <c r="EMY20" s="16"/>
      <c r="EMZ20" s="2185"/>
      <c r="ENA20" s="16"/>
      <c r="ENB20" s="2185"/>
      <c r="ENC20" s="16"/>
      <c r="END20" s="2185"/>
      <c r="ENE20" s="16"/>
      <c r="ENF20" s="2185"/>
      <c r="ENG20" s="16"/>
      <c r="ENH20" s="2185"/>
      <c r="ENI20" s="16"/>
      <c r="ENJ20" s="2185"/>
      <c r="ENK20" s="16"/>
      <c r="ENL20" s="2185"/>
      <c r="ENM20" s="16"/>
      <c r="ENN20" s="2185"/>
      <c r="ENO20" s="16"/>
      <c r="ENP20" s="2185"/>
      <c r="ENQ20" s="16"/>
      <c r="ENR20" s="2185"/>
      <c r="ENS20" s="16"/>
      <c r="ENT20" s="2185"/>
      <c r="ENU20" s="16"/>
      <c r="ENV20" s="2185"/>
      <c r="ENW20" s="16"/>
      <c r="ENX20" s="2185"/>
      <c r="ENY20" s="16"/>
      <c r="ENZ20" s="2185"/>
      <c r="EOA20" s="16"/>
      <c r="EOB20" s="2185"/>
      <c r="EOC20" s="16"/>
      <c r="EOD20" s="2185"/>
      <c r="EOE20" s="16"/>
      <c r="EOF20" s="2185"/>
      <c r="EOG20" s="16"/>
      <c r="EOH20" s="2185"/>
      <c r="EOI20" s="16"/>
      <c r="EOJ20" s="2185"/>
      <c r="EOK20" s="16"/>
      <c r="EOL20" s="2185"/>
      <c r="EOM20" s="16"/>
      <c r="EON20" s="2185"/>
      <c r="EOO20" s="16"/>
      <c r="EOP20" s="2185"/>
      <c r="EOQ20" s="16"/>
      <c r="EOR20" s="2185"/>
      <c r="EOS20" s="16"/>
      <c r="EOT20" s="2185"/>
      <c r="EOU20" s="16"/>
      <c r="EOV20" s="2185"/>
      <c r="EOW20" s="16"/>
      <c r="EOX20" s="2185"/>
      <c r="EOY20" s="16"/>
      <c r="EOZ20" s="2185"/>
      <c r="EPA20" s="16"/>
      <c r="EPB20" s="2185"/>
      <c r="EPC20" s="16"/>
      <c r="EPD20" s="2185"/>
      <c r="EPE20" s="16"/>
      <c r="EPF20" s="2185"/>
      <c r="EPG20" s="16"/>
      <c r="EPH20" s="2185"/>
      <c r="EPI20" s="16"/>
      <c r="EPJ20" s="2185"/>
      <c r="EPK20" s="16"/>
      <c r="EPL20" s="2185"/>
      <c r="EPM20" s="16"/>
      <c r="EPN20" s="2185"/>
      <c r="EPO20" s="16"/>
      <c r="EPP20" s="2185"/>
      <c r="EPQ20" s="16"/>
      <c r="EPR20" s="2185"/>
      <c r="EPS20" s="16"/>
      <c r="EPT20" s="2185"/>
      <c r="EPU20" s="16"/>
      <c r="EPV20" s="2185"/>
      <c r="EPW20" s="16"/>
      <c r="EPX20" s="2185"/>
      <c r="EPY20" s="16"/>
      <c r="EPZ20" s="2185"/>
      <c r="EQA20" s="16"/>
      <c r="EQB20" s="2185"/>
      <c r="EQC20" s="16"/>
      <c r="EQD20" s="2185"/>
      <c r="EQE20" s="16"/>
      <c r="EQF20" s="2185"/>
      <c r="EQG20" s="16"/>
      <c r="EQH20" s="2185"/>
      <c r="EQI20" s="16"/>
      <c r="EQJ20" s="2185"/>
      <c r="EQK20" s="16"/>
      <c r="EQL20" s="2185"/>
      <c r="EQM20" s="16"/>
      <c r="EQN20" s="2185"/>
      <c r="EQO20" s="16"/>
      <c r="EQP20" s="2185"/>
      <c r="EQQ20" s="16"/>
      <c r="EQR20" s="2185"/>
      <c r="EQS20" s="16"/>
      <c r="EQT20" s="2185"/>
      <c r="EQU20" s="16"/>
      <c r="EQV20" s="2185"/>
      <c r="EQW20" s="16"/>
      <c r="EQX20" s="2185"/>
      <c r="EQY20" s="16"/>
      <c r="EQZ20" s="2185"/>
      <c r="ERA20" s="16"/>
      <c r="ERB20" s="2185"/>
      <c r="ERC20" s="16"/>
      <c r="ERD20" s="2185"/>
      <c r="ERE20" s="16"/>
      <c r="ERF20" s="2185"/>
      <c r="ERG20" s="16"/>
      <c r="ERH20" s="2185"/>
      <c r="ERI20" s="16"/>
      <c r="ERJ20" s="2185"/>
      <c r="ERK20" s="16"/>
      <c r="ERL20" s="2185"/>
      <c r="ERM20" s="16"/>
      <c r="ERN20" s="2185"/>
      <c r="ERO20" s="16"/>
      <c r="ERP20" s="2185"/>
      <c r="ERQ20" s="16"/>
      <c r="ERR20" s="2185"/>
      <c r="ERS20" s="16"/>
      <c r="ERT20" s="2185"/>
      <c r="ERU20" s="16"/>
      <c r="ERV20" s="2185"/>
      <c r="ERW20" s="16"/>
      <c r="ERX20" s="2185"/>
      <c r="ERY20" s="16"/>
      <c r="ERZ20" s="2185"/>
      <c r="ESA20" s="16"/>
      <c r="ESB20" s="2185"/>
      <c r="ESC20" s="16"/>
      <c r="ESD20" s="2185"/>
      <c r="ESE20" s="16"/>
      <c r="ESF20" s="2185"/>
      <c r="ESG20" s="16"/>
      <c r="ESH20" s="2185"/>
      <c r="ESI20" s="16"/>
      <c r="ESJ20" s="2185"/>
      <c r="ESK20" s="16"/>
      <c r="ESL20" s="2185"/>
      <c r="ESM20" s="16"/>
      <c r="ESN20" s="2185"/>
      <c r="ESO20" s="16"/>
      <c r="ESP20" s="2185"/>
      <c r="ESQ20" s="16"/>
      <c r="ESR20" s="2185"/>
      <c r="ESS20" s="16"/>
      <c r="EST20" s="2185"/>
      <c r="ESU20" s="16"/>
      <c r="ESV20" s="2185"/>
      <c r="ESW20" s="16"/>
      <c r="ESX20" s="2185"/>
      <c r="ESY20" s="16"/>
      <c r="ESZ20" s="2185"/>
      <c r="ETA20" s="16"/>
      <c r="ETB20" s="2185"/>
      <c r="ETC20" s="16"/>
      <c r="ETD20" s="2185"/>
      <c r="ETE20" s="16"/>
      <c r="ETF20" s="2185"/>
      <c r="ETG20" s="16"/>
      <c r="ETH20" s="2185"/>
      <c r="ETI20" s="16"/>
      <c r="ETJ20" s="2185"/>
      <c r="ETK20" s="16"/>
      <c r="ETL20" s="2185"/>
      <c r="ETM20" s="16"/>
      <c r="ETN20" s="2185"/>
      <c r="ETO20" s="16"/>
      <c r="ETP20" s="2185"/>
      <c r="ETQ20" s="16"/>
      <c r="ETR20" s="2185"/>
      <c r="ETS20" s="16"/>
      <c r="ETT20" s="2185"/>
      <c r="ETU20" s="16"/>
      <c r="ETV20" s="2185"/>
      <c r="ETW20" s="16"/>
      <c r="ETX20" s="2185"/>
      <c r="ETY20" s="16"/>
      <c r="ETZ20" s="2185"/>
      <c r="EUA20" s="16"/>
      <c r="EUB20" s="2185"/>
      <c r="EUC20" s="16"/>
      <c r="EUD20" s="2185"/>
      <c r="EUE20" s="16"/>
      <c r="EUF20" s="2185"/>
      <c r="EUG20" s="16"/>
      <c r="EUH20" s="2185"/>
      <c r="EUI20" s="16"/>
      <c r="EUJ20" s="2185"/>
      <c r="EUK20" s="16"/>
      <c r="EUL20" s="2185"/>
      <c r="EUM20" s="16"/>
      <c r="EUN20" s="2185"/>
      <c r="EUO20" s="16"/>
      <c r="EUP20" s="2185"/>
      <c r="EUQ20" s="16"/>
      <c r="EUR20" s="2185"/>
      <c r="EUS20" s="16"/>
      <c r="EUT20" s="2185"/>
      <c r="EUU20" s="16"/>
      <c r="EUV20" s="2185"/>
      <c r="EUW20" s="16"/>
      <c r="EUX20" s="2185"/>
      <c r="EUY20" s="16"/>
      <c r="EUZ20" s="2185"/>
      <c r="EVA20" s="16"/>
      <c r="EVB20" s="2185"/>
      <c r="EVC20" s="16"/>
      <c r="EVD20" s="2185"/>
      <c r="EVE20" s="16"/>
      <c r="EVF20" s="2185"/>
      <c r="EVG20" s="16"/>
      <c r="EVH20" s="2185"/>
      <c r="EVI20" s="16"/>
      <c r="EVJ20" s="2185"/>
      <c r="EVK20" s="16"/>
      <c r="EVL20" s="2185"/>
      <c r="EVM20" s="16"/>
      <c r="EVN20" s="2185"/>
      <c r="EVO20" s="16"/>
      <c r="EVP20" s="2185"/>
      <c r="EVQ20" s="16"/>
      <c r="EVR20" s="2185"/>
      <c r="EVS20" s="16"/>
      <c r="EVT20" s="2185"/>
      <c r="EVU20" s="16"/>
      <c r="EVV20" s="2185"/>
      <c r="EVW20" s="16"/>
      <c r="EVX20" s="2185"/>
      <c r="EVY20" s="16"/>
      <c r="EVZ20" s="2185"/>
      <c r="EWA20" s="16"/>
      <c r="EWB20" s="2185"/>
      <c r="EWC20" s="16"/>
      <c r="EWD20" s="2185"/>
      <c r="EWE20" s="16"/>
      <c r="EWF20" s="2185"/>
      <c r="EWG20" s="16"/>
      <c r="EWH20" s="2185"/>
      <c r="EWI20" s="16"/>
      <c r="EWJ20" s="2185"/>
      <c r="EWK20" s="16"/>
      <c r="EWL20" s="2185"/>
      <c r="EWM20" s="16"/>
      <c r="EWN20" s="2185"/>
      <c r="EWO20" s="16"/>
      <c r="EWP20" s="2185"/>
      <c r="EWQ20" s="16"/>
      <c r="EWR20" s="2185"/>
      <c r="EWS20" s="16"/>
      <c r="EWT20" s="2185"/>
      <c r="EWU20" s="16"/>
      <c r="EWV20" s="2185"/>
      <c r="EWW20" s="16"/>
      <c r="EWX20" s="2185"/>
      <c r="EWY20" s="16"/>
      <c r="EWZ20" s="2185"/>
      <c r="EXA20" s="16"/>
      <c r="EXB20" s="2185"/>
      <c r="EXC20" s="16"/>
      <c r="EXD20" s="2185"/>
      <c r="EXE20" s="16"/>
      <c r="EXF20" s="2185"/>
      <c r="EXG20" s="16"/>
      <c r="EXH20" s="2185"/>
      <c r="EXI20" s="16"/>
      <c r="EXJ20" s="2185"/>
      <c r="EXK20" s="16"/>
      <c r="EXL20" s="2185"/>
      <c r="EXM20" s="16"/>
      <c r="EXN20" s="2185"/>
      <c r="EXO20" s="16"/>
      <c r="EXP20" s="2185"/>
      <c r="EXQ20" s="16"/>
      <c r="EXR20" s="2185"/>
      <c r="EXS20" s="16"/>
      <c r="EXT20" s="2185"/>
      <c r="EXU20" s="16"/>
      <c r="EXV20" s="2185"/>
      <c r="EXW20" s="16"/>
      <c r="EXX20" s="2185"/>
      <c r="EXY20" s="16"/>
      <c r="EXZ20" s="2185"/>
      <c r="EYA20" s="16"/>
      <c r="EYB20" s="2185"/>
      <c r="EYC20" s="16"/>
      <c r="EYD20" s="2185"/>
      <c r="EYE20" s="16"/>
      <c r="EYF20" s="2185"/>
      <c r="EYG20" s="16"/>
      <c r="EYH20" s="2185"/>
      <c r="EYI20" s="16"/>
      <c r="EYJ20" s="2185"/>
      <c r="EYK20" s="16"/>
      <c r="EYL20" s="2185"/>
      <c r="EYM20" s="16"/>
      <c r="EYN20" s="2185"/>
      <c r="EYO20" s="16"/>
      <c r="EYP20" s="2185"/>
      <c r="EYQ20" s="16"/>
      <c r="EYR20" s="2185"/>
      <c r="EYS20" s="16"/>
      <c r="EYT20" s="2185"/>
      <c r="EYU20" s="16"/>
      <c r="EYV20" s="2185"/>
      <c r="EYW20" s="16"/>
      <c r="EYX20" s="2185"/>
      <c r="EYY20" s="16"/>
      <c r="EYZ20" s="2185"/>
      <c r="EZA20" s="16"/>
      <c r="EZB20" s="2185"/>
      <c r="EZC20" s="16"/>
      <c r="EZD20" s="2185"/>
      <c r="EZE20" s="16"/>
      <c r="EZF20" s="2185"/>
      <c r="EZG20" s="16"/>
      <c r="EZH20" s="2185"/>
      <c r="EZI20" s="16"/>
      <c r="EZJ20" s="2185"/>
      <c r="EZK20" s="16"/>
      <c r="EZL20" s="2185"/>
      <c r="EZM20" s="16"/>
      <c r="EZN20" s="2185"/>
      <c r="EZO20" s="16"/>
      <c r="EZP20" s="2185"/>
      <c r="EZQ20" s="16"/>
      <c r="EZR20" s="2185"/>
      <c r="EZS20" s="16"/>
      <c r="EZT20" s="2185"/>
      <c r="EZU20" s="16"/>
      <c r="EZV20" s="2185"/>
      <c r="EZW20" s="16"/>
      <c r="EZX20" s="2185"/>
      <c r="EZY20" s="16"/>
      <c r="EZZ20" s="2185"/>
      <c r="FAA20" s="16"/>
      <c r="FAB20" s="2185"/>
      <c r="FAC20" s="16"/>
      <c r="FAD20" s="2185"/>
      <c r="FAE20" s="16"/>
      <c r="FAF20" s="2185"/>
      <c r="FAG20" s="16"/>
      <c r="FAH20" s="2185"/>
      <c r="FAI20" s="16"/>
      <c r="FAJ20" s="2185"/>
      <c r="FAK20" s="16"/>
      <c r="FAL20" s="2185"/>
      <c r="FAM20" s="16"/>
      <c r="FAN20" s="2185"/>
      <c r="FAO20" s="16"/>
      <c r="FAP20" s="2185"/>
      <c r="FAQ20" s="16"/>
      <c r="FAR20" s="2185"/>
      <c r="FAS20" s="16"/>
      <c r="FAT20" s="2185"/>
      <c r="FAU20" s="16"/>
      <c r="FAV20" s="2185"/>
      <c r="FAW20" s="16"/>
      <c r="FAX20" s="2185"/>
      <c r="FAY20" s="16"/>
      <c r="FAZ20" s="2185"/>
      <c r="FBA20" s="16"/>
      <c r="FBB20" s="2185"/>
      <c r="FBC20" s="16"/>
      <c r="FBD20" s="2185"/>
      <c r="FBE20" s="16"/>
      <c r="FBF20" s="2185"/>
      <c r="FBG20" s="16"/>
      <c r="FBH20" s="2185"/>
      <c r="FBI20" s="16"/>
      <c r="FBJ20" s="2185"/>
      <c r="FBK20" s="16"/>
      <c r="FBL20" s="2185"/>
      <c r="FBM20" s="16"/>
      <c r="FBN20" s="2185"/>
      <c r="FBO20" s="16"/>
      <c r="FBP20" s="2185"/>
      <c r="FBQ20" s="16"/>
      <c r="FBR20" s="2185"/>
      <c r="FBS20" s="16"/>
      <c r="FBT20" s="2185"/>
      <c r="FBU20" s="16"/>
      <c r="FBV20" s="2185"/>
      <c r="FBW20" s="16"/>
      <c r="FBX20" s="2185"/>
      <c r="FBY20" s="16"/>
      <c r="FBZ20" s="2185"/>
      <c r="FCA20" s="16"/>
      <c r="FCB20" s="2185"/>
      <c r="FCC20" s="16"/>
      <c r="FCD20" s="2185"/>
      <c r="FCE20" s="16"/>
      <c r="FCF20" s="2185"/>
      <c r="FCG20" s="16"/>
      <c r="FCH20" s="2185"/>
      <c r="FCI20" s="16"/>
      <c r="FCJ20" s="2185"/>
      <c r="FCK20" s="16"/>
      <c r="FCL20" s="2185"/>
      <c r="FCM20" s="16"/>
      <c r="FCN20" s="2185"/>
      <c r="FCO20" s="16"/>
      <c r="FCP20" s="2185"/>
      <c r="FCQ20" s="16"/>
      <c r="FCR20" s="2185"/>
      <c r="FCS20" s="16"/>
      <c r="FCT20" s="2185"/>
      <c r="FCU20" s="16"/>
      <c r="FCV20" s="2185"/>
      <c r="FCW20" s="16"/>
      <c r="FCX20" s="2185"/>
      <c r="FCY20" s="16"/>
      <c r="FCZ20" s="2185"/>
      <c r="FDA20" s="16"/>
      <c r="FDB20" s="2185"/>
      <c r="FDC20" s="16"/>
      <c r="FDD20" s="2185"/>
      <c r="FDE20" s="16"/>
      <c r="FDF20" s="2185"/>
      <c r="FDG20" s="16"/>
      <c r="FDH20" s="2185"/>
      <c r="FDI20" s="16"/>
      <c r="FDJ20" s="2185"/>
      <c r="FDK20" s="16"/>
      <c r="FDL20" s="2185"/>
      <c r="FDM20" s="16"/>
      <c r="FDN20" s="2185"/>
      <c r="FDO20" s="16"/>
      <c r="FDP20" s="2185"/>
      <c r="FDQ20" s="16"/>
      <c r="FDR20" s="2185"/>
      <c r="FDS20" s="16"/>
      <c r="FDT20" s="2185"/>
      <c r="FDU20" s="16"/>
      <c r="FDV20" s="2185"/>
      <c r="FDW20" s="16"/>
      <c r="FDX20" s="2185"/>
      <c r="FDY20" s="16"/>
      <c r="FDZ20" s="2185"/>
      <c r="FEA20" s="16"/>
      <c r="FEB20" s="2185"/>
      <c r="FEC20" s="16"/>
      <c r="FED20" s="2185"/>
      <c r="FEE20" s="16"/>
      <c r="FEF20" s="2185"/>
      <c r="FEG20" s="16"/>
      <c r="FEH20" s="2185"/>
      <c r="FEI20" s="16"/>
      <c r="FEJ20" s="2185"/>
      <c r="FEK20" s="16"/>
      <c r="FEL20" s="2185"/>
      <c r="FEM20" s="16"/>
      <c r="FEN20" s="2185"/>
      <c r="FEO20" s="16"/>
      <c r="FEP20" s="2185"/>
      <c r="FEQ20" s="16"/>
      <c r="FER20" s="2185"/>
      <c r="FES20" s="16"/>
      <c r="FET20" s="2185"/>
      <c r="FEU20" s="16"/>
      <c r="FEV20" s="2185"/>
      <c r="FEW20" s="16"/>
      <c r="FEX20" s="2185"/>
      <c r="FEY20" s="16"/>
      <c r="FEZ20" s="2185"/>
      <c r="FFA20" s="16"/>
      <c r="FFB20" s="2185"/>
      <c r="FFC20" s="16"/>
      <c r="FFD20" s="2185"/>
      <c r="FFE20" s="16"/>
      <c r="FFF20" s="2185"/>
      <c r="FFG20" s="16"/>
      <c r="FFH20" s="2185"/>
      <c r="FFI20" s="16"/>
      <c r="FFJ20" s="2185"/>
      <c r="FFK20" s="16"/>
      <c r="FFL20" s="2185"/>
      <c r="FFM20" s="16"/>
      <c r="FFN20" s="2185"/>
      <c r="FFO20" s="16"/>
      <c r="FFP20" s="2185"/>
      <c r="FFQ20" s="16"/>
      <c r="FFR20" s="2185"/>
      <c r="FFS20" s="16"/>
      <c r="FFT20" s="2185"/>
      <c r="FFU20" s="16"/>
      <c r="FFV20" s="2185"/>
      <c r="FFW20" s="16"/>
      <c r="FFX20" s="2185"/>
      <c r="FFY20" s="16"/>
      <c r="FFZ20" s="2185"/>
      <c r="FGA20" s="16"/>
      <c r="FGB20" s="2185"/>
      <c r="FGC20" s="16"/>
      <c r="FGD20" s="2185"/>
      <c r="FGE20" s="16"/>
      <c r="FGF20" s="2185"/>
      <c r="FGG20" s="16"/>
      <c r="FGH20" s="2185"/>
      <c r="FGI20" s="16"/>
      <c r="FGJ20" s="2185"/>
      <c r="FGK20" s="16"/>
      <c r="FGL20" s="2185"/>
      <c r="FGM20" s="16"/>
      <c r="FGN20" s="2185"/>
      <c r="FGO20" s="16"/>
      <c r="FGP20" s="2185"/>
      <c r="FGQ20" s="16"/>
      <c r="FGR20" s="2185"/>
      <c r="FGS20" s="16"/>
      <c r="FGT20" s="2185"/>
      <c r="FGU20" s="16"/>
      <c r="FGV20" s="2185"/>
      <c r="FGW20" s="16"/>
      <c r="FGX20" s="2185"/>
      <c r="FGY20" s="16"/>
      <c r="FGZ20" s="2185"/>
      <c r="FHA20" s="16"/>
      <c r="FHB20" s="2185"/>
      <c r="FHC20" s="16"/>
      <c r="FHD20" s="2185"/>
      <c r="FHE20" s="16"/>
      <c r="FHF20" s="2185"/>
      <c r="FHG20" s="16"/>
      <c r="FHH20" s="2185"/>
      <c r="FHI20" s="16"/>
      <c r="FHJ20" s="2185"/>
      <c r="FHK20" s="16"/>
      <c r="FHL20" s="2185"/>
      <c r="FHM20" s="16"/>
      <c r="FHN20" s="2185"/>
      <c r="FHO20" s="16"/>
      <c r="FHP20" s="2185"/>
      <c r="FHQ20" s="16"/>
      <c r="FHR20" s="2185"/>
      <c r="FHS20" s="16"/>
      <c r="FHT20" s="2185"/>
      <c r="FHU20" s="16"/>
      <c r="FHV20" s="2185"/>
      <c r="FHW20" s="16"/>
      <c r="FHX20" s="2185"/>
      <c r="FHY20" s="16"/>
      <c r="FHZ20" s="2185"/>
      <c r="FIA20" s="16"/>
      <c r="FIB20" s="2185"/>
      <c r="FIC20" s="16"/>
      <c r="FID20" s="2185"/>
      <c r="FIE20" s="16"/>
      <c r="FIF20" s="2185"/>
      <c r="FIG20" s="16"/>
      <c r="FIH20" s="2185"/>
      <c r="FII20" s="16"/>
      <c r="FIJ20" s="2185"/>
      <c r="FIK20" s="16"/>
      <c r="FIL20" s="2185"/>
      <c r="FIM20" s="16"/>
      <c r="FIN20" s="2185"/>
      <c r="FIO20" s="16"/>
      <c r="FIP20" s="2185"/>
      <c r="FIQ20" s="16"/>
      <c r="FIR20" s="2185"/>
      <c r="FIS20" s="16"/>
      <c r="FIT20" s="2185"/>
      <c r="FIU20" s="16"/>
      <c r="FIV20" s="2185"/>
      <c r="FIW20" s="16"/>
      <c r="FIX20" s="2185"/>
      <c r="FIY20" s="16"/>
      <c r="FIZ20" s="2185"/>
      <c r="FJA20" s="16"/>
      <c r="FJB20" s="2185"/>
      <c r="FJC20" s="16"/>
      <c r="FJD20" s="2185"/>
      <c r="FJE20" s="16"/>
      <c r="FJF20" s="2185"/>
      <c r="FJG20" s="16"/>
      <c r="FJH20" s="2185"/>
      <c r="FJI20" s="16"/>
      <c r="FJJ20" s="2185"/>
      <c r="FJK20" s="16"/>
      <c r="FJL20" s="2185"/>
      <c r="FJM20" s="16"/>
      <c r="FJN20" s="2185"/>
      <c r="FJO20" s="16"/>
      <c r="FJP20" s="2185"/>
      <c r="FJQ20" s="16"/>
      <c r="FJR20" s="2185"/>
      <c r="FJS20" s="16"/>
      <c r="FJT20" s="2185"/>
      <c r="FJU20" s="16"/>
      <c r="FJV20" s="2185"/>
      <c r="FJW20" s="16"/>
      <c r="FJX20" s="2185"/>
      <c r="FJY20" s="16"/>
      <c r="FJZ20" s="2185"/>
      <c r="FKA20" s="16"/>
      <c r="FKB20" s="2185"/>
      <c r="FKC20" s="16"/>
      <c r="FKD20" s="2185"/>
      <c r="FKE20" s="16"/>
      <c r="FKF20" s="2185"/>
      <c r="FKG20" s="16"/>
      <c r="FKH20" s="2185"/>
      <c r="FKI20" s="16"/>
      <c r="FKJ20" s="2185"/>
      <c r="FKK20" s="16"/>
      <c r="FKL20" s="2185"/>
      <c r="FKM20" s="16"/>
      <c r="FKN20" s="2185"/>
      <c r="FKO20" s="16"/>
      <c r="FKP20" s="2185"/>
      <c r="FKQ20" s="16"/>
      <c r="FKR20" s="2185"/>
      <c r="FKS20" s="16"/>
      <c r="FKT20" s="2185"/>
      <c r="FKU20" s="16"/>
      <c r="FKV20" s="2185"/>
      <c r="FKW20" s="16"/>
      <c r="FKX20" s="2185"/>
      <c r="FKY20" s="16"/>
      <c r="FKZ20" s="2185"/>
      <c r="FLA20" s="16"/>
      <c r="FLB20" s="2185"/>
      <c r="FLC20" s="16"/>
      <c r="FLD20" s="2185"/>
      <c r="FLE20" s="16"/>
      <c r="FLF20" s="2185"/>
      <c r="FLG20" s="16"/>
      <c r="FLH20" s="2185"/>
      <c r="FLI20" s="16"/>
      <c r="FLJ20" s="2185"/>
      <c r="FLK20" s="16"/>
      <c r="FLL20" s="2185"/>
      <c r="FLM20" s="16"/>
      <c r="FLN20" s="2185"/>
      <c r="FLO20" s="16"/>
      <c r="FLP20" s="2185"/>
      <c r="FLQ20" s="16"/>
      <c r="FLR20" s="2185"/>
      <c r="FLS20" s="16"/>
      <c r="FLT20" s="2185"/>
      <c r="FLU20" s="16"/>
      <c r="FLV20" s="2185"/>
      <c r="FLW20" s="16"/>
      <c r="FLX20" s="2185"/>
      <c r="FLY20" s="16"/>
      <c r="FLZ20" s="2185"/>
      <c r="FMA20" s="16"/>
      <c r="FMB20" s="2185"/>
      <c r="FMC20" s="16"/>
      <c r="FMD20" s="2185"/>
      <c r="FME20" s="16"/>
      <c r="FMF20" s="2185"/>
      <c r="FMG20" s="16"/>
      <c r="FMH20" s="2185"/>
      <c r="FMI20" s="16"/>
      <c r="FMJ20" s="2185"/>
      <c r="FMK20" s="16"/>
      <c r="FML20" s="2185"/>
      <c r="FMM20" s="16"/>
      <c r="FMN20" s="2185"/>
      <c r="FMO20" s="16"/>
      <c r="FMP20" s="2185"/>
      <c r="FMQ20" s="16"/>
      <c r="FMR20" s="2185"/>
      <c r="FMS20" s="16"/>
      <c r="FMT20" s="2185"/>
      <c r="FMU20" s="16"/>
      <c r="FMV20" s="2185"/>
      <c r="FMW20" s="16"/>
      <c r="FMX20" s="2185"/>
      <c r="FMY20" s="16"/>
      <c r="FMZ20" s="2185"/>
      <c r="FNA20" s="16"/>
      <c r="FNB20" s="2185"/>
      <c r="FNC20" s="16"/>
      <c r="FND20" s="2185"/>
      <c r="FNE20" s="16"/>
      <c r="FNF20" s="2185"/>
      <c r="FNG20" s="16"/>
      <c r="FNH20" s="2185"/>
      <c r="FNI20" s="16"/>
      <c r="FNJ20" s="2185"/>
      <c r="FNK20" s="16"/>
      <c r="FNL20" s="2185"/>
      <c r="FNM20" s="16"/>
      <c r="FNN20" s="2185"/>
      <c r="FNO20" s="16"/>
      <c r="FNP20" s="2185"/>
      <c r="FNQ20" s="16"/>
      <c r="FNR20" s="2185"/>
      <c r="FNS20" s="16"/>
      <c r="FNT20" s="2185"/>
      <c r="FNU20" s="16"/>
      <c r="FNV20" s="2185"/>
      <c r="FNW20" s="16"/>
      <c r="FNX20" s="2185"/>
      <c r="FNY20" s="16"/>
      <c r="FNZ20" s="2185"/>
      <c r="FOA20" s="16"/>
      <c r="FOB20" s="2185"/>
      <c r="FOC20" s="16"/>
      <c r="FOD20" s="2185"/>
      <c r="FOE20" s="16"/>
      <c r="FOF20" s="2185"/>
      <c r="FOG20" s="16"/>
      <c r="FOH20" s="2185"/>
      <c r="FOI20" s="16"/>
      <c r="FOJ20" s="2185"/>
      <c r="FOK20" s="16"/>
      <c r="FOL20" s="2185"/>
      <c r="FOM20" s="16"/>
      <c r="FON20" s="2185"/>
      <c r="FOO20" s="16"/>
      <c r="FOP20" s="2185"/>
      <c r="FOQ20" s="16"/>
      <c r="FOR20" s="2185"/>
      <c r="FOS20" s="16"/>
      <c r="FOT20" s="2185"/>
      <c r="FOU20" s="16"/>
      <c r="FOV20" s="2185"/>
      <c r="FOW20" s="16"/>
      <c r="FOX20" s="2185"/>
      <c r="FOY20" s="16"/>
      <c r="FOZ20" s="2185"/>
      <c r="FPA20" s="16"/>
      <c r="FPB20" s="2185"/>
      <c r="FPC20" s="16"/>
      <c r="FPD20" s="2185"/>
      <c r="FPE20" s="16"/>
      <c r="FPF20" s="2185"/>
      <c r="FPG20" s="16"/>
      <c r="FPH20" s="2185"/>
      <c r="FPI20" s="16"/>
      <c r="FPJ20" s="2185"/>
      <c r="FPK20" s="16"/>
      <c r="FPL20" s="2185"/>
      <c r="FPM20" s="16"/>
      <c r="FPN20" s="2185"/>
      <c r="FPO20" s="16"/>
      <c r="FPP20" s="2185"/>
      <c r="FPQ20" s="16"/>
      <c r="FPR20" s="2185"/>
      <c r="FPS20" s="16"/>
      <c r="FPT20" s="2185"/>
      <c r="FPU20" s="16"/>
      <c r="FPV20" s="2185"/>
      <c r="FPW20" s="16"/>
      <c r="FPX20" s="2185"/>
      <c r="FPY20" s="16"/>
      <c r="FPZ20" s="2185"/>
      <c r="FQA20" s="16"/>
      <c r="FQB20" s="2185"/>
      <c r="FQC20" s="16"/>
      <c r="FQD20" s="2185"/>
      <c r="FQE20" s="16"/>
      <c r="FQF20" s="2185"/>
      <c r="FQG20" s="16"/>
      <c r="FQH20" s="2185"/>
      <c r="FQI20" s="16"/>
      <c r="FQJ20" s="2185"/>
      <c r="FQK20" s="16"/>
      <c r="FQL20" s="2185"/>
      <c r="FQM20" s="16"/>
      <c r="FQN20" s="2185"/>
      <c r="FQO20" s="16"/>
      <c r="FQP20" s="2185"/>
      <c r="FQQ20" s="16"/>
      <c r="FQR20" s="2185"/>
      <c r="FQS20" s="16"/>
      <c r="FQT20" s="2185"/>
      <c r="FQU20" s="16"/>
      <c r="FQV20" s="2185"/>
      <c r="FQW20" s="16"/>
      <c r="FQX20" s="2185"/>
      <c r="FQY20" s="16"/>
      <c r="FQZ20" s="2185"/>
      <c r="FRA20" s="16"/>
      <c r="FRB20" s="2185"/>
      <c r="FRC20" s="16"/>
      <c r="FRD20" s="2185"/>
      <c r="FRE20" s="16"/>
      <c r="FRF20" s="2185"/>
      <c r="FRG20" s="16"/>
      <c r="FRH20" s="2185"/>
      <c r="FRI20" s="16"/>
      <c r="FRJ20" s="2185"/>
      <c r="FRK20" s="16"/>
      <c r="FRL20" s="2185"/>
      <c r="FRM20" s="16"/>
      <c r="FRN20" s="2185"/>
      <c r="FRO20" s="16"/>
      <c r="FRP20" s="2185"/>
      <c r="FRQ20" s="16"/>
      <c r="FRR20" s="2185"/>
      <c r="FRS20" s="16"/>
      <c r="FRT20" s="2185"/>
      <c r="FRU20" s="16"/>
      <c r="FRV20" s="2185"/>
      <c r="FRW20" s="16"/>
      <c r="FRX20" s="2185"/>
      <c r="FRY20" s="16"/>
      <c r="FRZ20" s="2185"/>
      <c r="FSA20" s="16"/>
      <c r="FSB20" s="2185"/>
      <c r="FSC20" s="16"/>
      <c r="FSD20" s="2185"/>
      <c r="FSE20" s="16"/>
      <c r="FSF20" s="2185"/>
      <c r="FSG20" s="16"/>
      <c r="FSH20" s="2185"/>
      <c r="FSI20" s="16"/>
      <c r="FSJ20" s="2185"/>
      <c r="FSK20" s="16"/>
      <c r="FSL20" s="2185"/>
      <c r="FSM20" s="16"/>
      <c r="FSN20" s="2185"/>
      <c r="FSO20" s="16"/>
      <c r="FSP20" s="2185"/>
      <c r="FSQ20" s="16"/>
      <c r="FSR20" s="2185"/>
      <c r="FSS20" s="16"/>
      <c r="FST20" s="2185"/>
      <c r="FSU20" s="16"/>
      <c r="FSV20" s="2185"/>
      <c r="FSW20" s="16"/>
      <c r="FSX20" s="2185"/>
      <c r="FSY20" s="16"/>
      <c r="FSZ20" s="2185"/>
      <c r="FTA20" s="16"/>
      <c r="FTB20" s="2185"/>
      <c r="FTC20" s="16"/>
      <c r="FTD20" s="2185"/>
      <c r="FTE20" s="16"/>
      <c r="FTF20" s="2185"/>
      <c r="FTG20" s="16"/>
      <c r="FTH20" s="2185"/>
      <c r="FTI20" s="16"/>
      <c r="FTJ20" s="2185"/>
      <c r="FTK20" s="16"/>
      <c r="FTL20" s="2185"/>
      <c r="FTM20" s="16"/>
      <c r="FTN20" s="2185"/>
      <c r="FTO20" s="16"/>
      <c r="FTP20" s="2185"/>
      <c r="FTQ20" s="16"/>
      <c r="FTR20" s="2185"/>
      <c r="FTS20" s="16"/>
      <c r="FTT20" s="2185"/>
      <c r="FTU20" s="16"/>
      <c r="FTV20" s="2185"/>
      <c r="FTW20" s="16"/>
      <c r="FTX20" s="2185"/>
      <c r="FTY20" s="16"/>
      <c r="FTZ20" s="2185"/>
      <c r="FUA20" s="16"/>
      <c r="FUB20" s="2185"/>
      <c r="FUC20" s="16"/>
      <c r="FUD20" s="2185"/>
      <c r="FUE20" s="16"/>
      <c r="FUF20" s="2185"/>
      <c r="FUG20" s="16"/>
      <c r="FUH20" s="2185"/>
      <c r="FUI20" s="16"/>
      <c r="FUJ20" s="2185"/>
      <c r="FUK20" s="16"/>
      <c r="FUL20" s="2185"/>
      <c r="FUM20" s="16"/>
      <c r="FUN20" s="2185"/>
      <c r="FUO20" s="16"/>
      <c r="FUP20" s="2185"/>
      <c r="FUQ20" s="16"/>
      <c r="FUR20" s="2185"/>
      <c r="FUS20" s="16"/>
      <c r="FUT20" s="2185"/>
      <c r="FUU20" s="16"/>
      <c r="FUV20" s="2185"/>
      <c r="FUW20" s="16"/>
      <c r="FUX20" s="2185"/>
      <c r="FUY20" s="16"/>
      <c r="FUZ20" s="2185"/>
      <c r="FVA20" s="16"/>
      <c r="FVB20" s="2185"/>
      <c r="FVC20" s="16"/>
      <c r="FVD20" s="2185"/>
      <c r="FVE20" s="16"/>
      <c r="FVF20" s="2185"/>
      <c r="FVG20" s="16"/>
      <c r="FVH20" s="2185"/>
      <c r="FVI20" s="16"/>
      <c r="FVJ20" s="2185"/>
      <c r="FVK20" s="16"/>
      <c r="FVL20" s="2185"/>
      <c r="FVM20" s="16"/>
      <c r="FVN20" s="2185"/>
      <c r="FVO20" s="16"/>
      <c r="FVP20" s="2185"/>
      <c r="FVQ20" s="16"/>
      <c r="FVR20" s="2185"/>
      <c r="FVS20" s="16"/>
      <c r="FVT20" s="2185"/>
      <c r="FVU20" s="16"/>
      <c r="FVV20" s="2185"/>
      <c r="FVW20" s="16"/>
      <c r="FVX20" s="2185"/>
      <c r="FVY20" s="16"/>
      <c r="FVZ20" s="2185"/>
      <c r="FWA20" s="16"/>
      <c r="FWB20" s="2185"/>
      <c r="FWC20" s="16"/>
      <c r="FWD20" s="2185"/>
      <c r="FWE20" s="16"/>
      <c r="FWF20" s="2185"/>
      <c r="FWG20" s="16"/>
      <c r="FWH20" s="2185"/>
      <c r="FWI20" s="16"/>
      <c r="FWJ20" s="2185"/>
      <c r="FWK20" s="16"/>
      <c r="FWL20" s="2185"/>
      <c r="FWM20" s="16"/>
      <c r="FWN20" s="2185"/>
      <c r="FWO20" s="16"/>
      <c r="FWP20" s="2185"/>
      <c r="FWQ20" s="16"/>
      <c r="FWR20" s="2185"/>
      <c r="FWS20" s="16"/>
      <c r="FWT20" s="2185"/>
      <c r="FWU20" s="16"/>
      <c r="FWV20" s="2185"/>
      <c r="FWW20" s="16"/>
      <c r="FWX20" s="2185"/>
      <c r="FWY20" s="16"/>
      <c r="FWZ20" s="2185"/>
      <c r="FXA20" s="16"/>
      <c r="FXB20" s="2185"/>
      <c r="FXC20" s="16"/>
      <c r="FXD20" s="2185"/>
      <c r="FXE20" s="16"/>
      <c r="FXF20" s="2185"/>
      <c r="FXG20" s="16"/>
      <c r="FXH20" s="2185"/>
      <c r="FXI20" s="16"/>
      <c r="FXJ20" s="2185"/>
      <c r="FXK20" s="16"/>
      <c r="FXL20" s="2185"/>
      <c r="FXM20" s="16"/>
      <c r="FXN20" s="2185"/>
      <c r="FXO20" s="16"/>
      <c r="FXP20" s="2185"/>
      <c r="FXQ20" s="16"/>
      <c r="FXR20" s="2185"/>
      <c r="FXS20" s="16"/>
      <c r="FXT20" s="2185"/>
      <c r="FXU20" s="16"/>
      <c r="FXV20" s="2185"/>
      <c r="FXW20" s="16"/>
      <c r="FXX20" s="2185"/>
      <c r="FXY20" s="16"/>
      <c r="FXZ20" s="2185"/>
      <c r="FYA20" s="16"/>
      <c r="FYB20" s="2185"/>
      <c r="FYC20" s="16"/>
      <c r="FYD20" s="2185"/>
      <c r="FYE20" s="16"/>
      <c r="FYF20" s="2185"/>
      <c r="FYG20" s="16"/>
      <c r="FYH20" s="2185"/>
      <c r="FYI20" s="16"/>
      <c r="FYJ20" s="2185"/>
      <c r="FYK20" s="16"/>
      <c r="FYL20" s="2185"/>
      <c r="FYM20" s="16"/>
      <c r="FYN20" s="2185"/>
      <c r="FYO20" s="16"/>
      <c r="FYP20" s="2185"/>
      <c r="FYQ20" s="16"/>
      <c r="FYR20" s="2185"/>
      <c r="FYS20" s="16"/>
      <c r="FYT20" s="2185"/>
      <c r="FYU20" s="16"/>
      <c r="FYV20" s="2185"/>
      <c r="FYW20" s="16"/>
      <c r="FYX20" s="2185"/>
      <c r="FYY20" s="16"/>
      <c r="FYZ20" s="2185"/>
      <c r="FZA20" s="16"/>
      <c r="FZB20" s="2185"/>
      <c r="FZC20" s="16"/>
      <c r="FZD20" s="2185"/>
      <c r="FZE20" s="16"/>
      <c r="FZF20" s="2185"/>
      <c r="FZG20" s="16"/>
      <c r="FZH20" s="2185"/>
      <c r="FZI20" s="16"/>
      <c r="FZJ20" s="2185"/>
      <c r="FZK20" s="16"/>
      <c r="FZL20" s="2185"/>
      <c r="FZM20" s="16"/>
      <c r="FZN20" s="2185"/>
      <c r="FZO20" s="16"/>
      <c r="FZP20" s="2185"/>
      <c r="FZQ20" s="16"/>
      <c r="FZR20" s="2185"/>
      <c r="FZS20" s="16"/>
      <c r="FZT20" s="2185"/>
      <c r="FZU20" s="16"/>
      <c r="FZV20" s="2185"/>
      <c r="FZW20" s="16"/>
      <c r="FZX20" s="2185"/>
      <c r="FZY20" s="16"/>
      <c r="FZZ20" s="2185"/>
      <c r="GAA20" s="16"/>
      <c r="GAB20" s="2185"/>
      <c r="GAC20" s="16"/>
      <c r="GAD20" s="2185"/>
      <c r="GAE20" s="16"/>
      <c r="GAF20" s="2185"/>
      <c r="GAG20" s="16"/>
      <c r="GAH20" s="2185"/>
      <c r="GAI20" s="16"/>
      <c r="GAJ20" s="2185"/>
      <c r="GAK20" s="16"/>
      <c r="GAL20" s="2185"/>
      <c r="GAM20" s="16"/>
      <c r="GAN20" s="2185"/>
      <c r="GAO20" s="16"/>
      <c r="GAP20" s="2185"/>
      <c r="GAQ20" s="16"/>
      <c r="GAR20" s="2185"/>
      <c r="GAS20" s="16"/>
      <c r="GAT20" s="2185"/>
      <c r="GAU20" s="16"/>
      <c r="GAV20" s="2185"/>
      <c r="GAW20" s="16"/>
      <c r="GAX20" s="2185"/>
      <c r="GAY20" s="16"/>
      <c r="GAZ20" s="2185"/>
      <c r="GBA20" s="16"/>
      <c r="GBB20" s="2185"/>
      <c r="GBC20" s="16"/>
      <c r="GBD20" s="2185"/>
      <c r="GBE20" s="16"/>
      <c r="GBF20" s="2185"/>
      <c r="GBG20" s="16"/>
      <c r="GBH20" s="2185"/>
      <c r="GBI20" s="16"/>
      <c r="GBJ20" s="2185"/>
      <c r="GBK20" s="16"/>
      <c r="GBL20" s="2185"/>
      <c r="GBM20" s="16"/>
      <c r="GBN20" s="2185"/>
      <c r="GBO20" s="16"/>
      <c r="GBP20" s="2185"/>
      <c r="GBQ20" s="16"/>
      <c r="GBR20" s="2185"/>
      <c r="GBS20" s="16"/>
      <c r="GBT20" s="2185"/>
      <c r="GBU20" s="16"/>
      <c r="GBV20" s="2185"/>
      <c r="GBW20" s="16"/>
      <c r="GBX20" s="2185"/>
      <c r="GBY20" s="16"/>
      <c r="GBZ20" s="2185"/>
      <c r="GCA20" s="16"/>
      <c r="GCB20" s="2185"/>
      <c r="GCC20" s="16"/>
      <c r="GCD20" s="2185"/>
      <c r="GCE20" s="16"/>
      <c r="GCF20" s="2185"/>
      <c r="GCG20" s="16"/>
      <c r="GCH20" s="2185"/>
      <c r="GCI20" s="16"/>
      <c r="GCJ20" s="2185"/>
      <c r="GCK20" s="16"/>
      <c r="GCL20" s="2185"/>
      <c r="GCM20" s="16"/>
      <c r="GCN20" s="2185"/>
      <c r="GCO20" s="16"/>
      <c r="GCP20" s="2185"/>
      <c r="GCQ20" s="16"/>
      <c r="GCR20" s="2185"/>
      <c r="GCS20" s="16"/>
      <c r="GCT20" s="2185"/>
      <c r="GCU20" s="16"/>
      <c r="GCV20" s="2185"/>
      <c r="GCW20" s="16"/>
      <c r="GCX20" s="2185"/>
      <c r="GCY20" s="16"/>
      <c r="GCZ20" s="2185"/>
      <c r="GDA20" s="16"/>
      <c r="GDB20" s="2185"/>
      <c r="GDC20" s="16"/>
      <c r="GDD20" s="2185"/>
      <c r="GDE20" s="16"/>
      <c r="GDF20" s="2185"/>
      <c r="GDG20" s="16"/>
      <c r="GDH20" s="2185"/>
      <c r="GDI20" s="16"/>
      <c r="GDJ20" s="2185"/>
      <c r="GDK20" s="16"/>
      <c r="GDL20" s="2185"/>
      <c r="GDM20" s="16"/>
      <c r="GDN20" s="2185"/>
      <c r="GDO20" s="16"/>
      <c r="GDP20" s="2185"/>
      <c r="GDQ20" s="16"/>
      <c r="GDR20" s="2185"/>
      <c r="GDS20" s="16"/>
      <c r="GDT20" s="2185"/>
      <c r="GDU20" s="16"/>
      <c r="GDV20" s="2185"/>
      <c r="GDW20" s="16"/>
      <c r="GDX20" s="2185"/>
      <c r="GDY20" s="16"/>
      <c r="GDZ20" s="2185"/>
      <c r="GEA20" s="16"/>
      <c r="GEB20" s="2185"/>
      <c r="GEC20" s="16"/>
      <c r="GED20" s="2185"/>
      <c r="GEE20" s="16"/>
      <c r="GEF20" s="2185"/>
      <c r="GEG20" s="16"/>
      <c r="GEH20" s="2185"/>
      <c r="GEI20" s="16"/>
      <c r="GEJ20" s="2185"/>
      <c r="GEK20" s="16"/>
      <c r="GEL20" s="2185"/>
      <c r="GEM20" s="16"/>
      <c r="GEN20" s="2185"/>
      <c r="GEO20" s="16"/>
      <c r="GEP20" s="2185"/>
      <c r="GEQ20" s="16"/>
      <c r="GER20" s="2185"/>
      <c r="GES20" s="16"/>
      <c r="GET20" s="2185"/>
      <c r="GEU20" s="16"/>
      <c r="GEV20" s="2185"/>
      <c r="GEW20" s="16"/>
      <c r="GEX20" s="2185"/>
      <c r="GEY20" s="16"/>
      <c r="GEZ20" s="2185"/>
      <c r="GFA20" s="16"/>
      <c r="GFB20" s="2185"/>
      <c r="GFC20" s="16"/>
      <c r="GFD20" s="2185"/>
      <c r="GFE20" s="16"/>
      <c r="GFF20" s="2185"/>
      <c r="GFG20" s="16"/>
      <c r="GFH20" s="2185"/>
      <c r="GFI20" s="16"/>
      <c r="GFJ20" s="2185"/>
      <c r="GFK20" s="16"/>
      <c r="GFL20" s="2185"/>
      <c r="GFM20" s="16"/>
      <c r="GFN20" s="2185"/>
      <c r="GFO20" s="16"/>
      <c r="GFP20" s="2185"/>
      <c r="GFQ20" s="16"/>
      <c r="GFR20" s="2185"/>
      <c r="GFS20" s="16"/>
      <c r="GFT20" s="2185"/>
      <c r="GFU20" s="16"/>
      <c r="GFV20" s="2185"/>
      <c r="GFW20" s="16"/>
      <c r="GFX20" s="2185"/>
      <c r="GFY20" s="16"/>
      <c r="GFZ20" s="2185"/>
      <c r="GGA20" s="16"/>
      <c r="GGB20" s="2185"/>
      <c r="GGC20" s="16"/>
      <c r="GGD20" s="2185"/>
      <c r="GGE20" s="16"/>
      <c r="GGF20" s="2185"/>
      <c r="GGG20" s="16"/>
      <c r="GGH20" s="2185"/>
      <c r="GGI20" s="16"/>
      <c r="GGJ20" s="2185"/>
      <c r="GGK20" s="16"/>
      <c r="GGL20" s="2185"/>
      <c r="GGM20" s="16"/>
      <c r="GGN20" s="2185"/>
      <c r="GGO20" s="16"/>
      <c r="GGP20" s="2185"/>
      <c r="GGQ20" s="16"/>
      <c r="GGR20" s="2185"/>
      <c r="GGS20" s="16"/>
      <c r="GGT20" s="2185"/>
      <c r="GGU20" s="16"/>
      <c r="GGV20" s="2185"/>
      <c r="GGW20" s="16"/>
      <c r="GGX20" s="2185"/>
      <c r="GGY20" s="16"/>
      <c r="GGZ20" s="2185"/>
      <c r="GHA20" s="16"/>
      <c r="GHB20" s="2185"/>
      <c r="GHC20" s="16"/>
      <c r="GHD20" s="2185"/>
      <c r="GHE20" s="16"/>
      <c r="GHF20" s="2185"/>
      <c r="GHG20" s="16"/>
      <c r="GHH20" s="2185"/>
      <c r="GHI20" s="16"/>
      <c r="GHJ20" s="2185"/>
      <c r="GHK20" s="16"/>
      <c r="GHL20" s="2185"/>
      <c r="GHM20" s="16"/>
      <c r="GHN20" s="2185"/>
      <c r="GHO20" s="16"/>
      <c r="GHP20" s="2185"/>
      <c r="GHQ20" s="16"/>
      <c r="GHR20" s="2185"/>
      <c r="GHS20" s="16"/>
      <c r="GHT20" s="2185"/>
      <c r="GHU20" s="16"/>
      <c r="GHV20" s="2185"/>
      <c r="GHW20" s="16"/>
      <c r="GHX20" s="2185"/>
      <c r="GHY20" s="16"/>
      <c r="GHZ20" s="2185"/>
      <c r="GIA20" s="16"/>
      <c r="GIB20" s="2185"/>
      <c r="GIC20" s="16"/>
      <c r="GID20" s="2185"/>
      <c r="GIE20" s="16"/>
      <c r="GIF20" s="2185"/>
      <c r="GIG20" s="16"/>
      <c r="GIH20" s="2185"/>
      <c r="GII20" s="16"/>
      <c r="GIJ20" s="2185"/>
      <c r="GIK20" s="16"/>
      <c r="GIL20" s="2185"/>
      <c r="GIM20" s="16"/>
      <c r="GIN20" s="2185"/>
      <c r="GIO20" s="16"/>
      <c r="GIP20" s="2185"/>
      <c r="GIQ20" s="16"/>
      <c r="GIR20" s="2185"/>
      <c r="GIS20" s="16"/>
      <c r="GIT20" s="2185"/>
      <c r="GIU20" s="16"/>
      <c r="GIV20" s="2185"/>
      <c r="GIW20" s="16"/>
      <c r="GIX20" s="2185"/>
      <c r="GIY20" s="16"/>
      <c r="GIZ20" s="2185"/>
      <c r="GJA20" s="16"/>
      <c r="GJB20" s="2185"/>
      <c r="GJC20" s="16"/>
      <c r="GJD20" s="2185"/>
      <c r="GJE20" s="16"/>
      <c r="GJF20" s="2185"/>
      <c r="GJG20" s="16"/>
      <c r="GJH20" s="2185"/>
      <c r="GJI20" s="16"/>
      <c r="GJJ20" s="2185"/>
      <c r="GJK20" s="16"/>
      <c r="GJL20" s="2185"/>
      <c r="GJM20" s="16"/>
      <c r="GJN20" s="2185"/>
      <c r="GJO20" s="16"/>
      <c r="GJP20" s="2185"/>
      <c r="GJQ20" s="16"/>
      <c r="GJR20" s="2185"/>
      <c r="GJS20" s="16"/>
      <c r="GJT20" s="2185"/>
      <c r="GJU20" s="16"/>
      <c r="GJV20" s="2185"/>
      <c r="GJW20" s="16"/>
      <c r="GJX20" s="2185"/>
      <c r="GJY20" s="16"/>
      <c r="GJZ20" s="2185"/>
      <c r="GKA20" s="16"/>
      <c r="GKB20" s="2185"/>
      <c r="GKC20" s="16"/>
      <c r="GKD20" s="2185"/>
      <c r="GKE20" s="16"/>
      <c r="GKF20" s="2185"/>
      <c r="GKG20" s="16"/>
      <c r="GKH20" s="2185"/>
      <c r="GKI20" s="16"/>
      <c r="GKJ20" s="2185"/>
      <c r="GKK20" s="16"/>
      <c r="GKL20" s="2185"/>
      <c r="GKM20" s="16"/>
      <c r="GKN20" s="2185"/>
      <c r="GKO20" s="16"/>
      <c r="GKP20" s="2185"/>
      <c r="GKQ20" s="16"/>
      <c r="GKR20" s="2185"/>
      <c r="GKS20" s="16"/>
      <c r="GKT20" s="2185"/>
      <c r="GKU20" s="16"/>
      <c r="GKV20" s="2185"/>
      <c r="GKW20" s="16"/>
      <c r="GKX20" s="2185"/>
      <c r="GKY20" s="16"/>
      <c r="GKZ20" s="2185"/>
      <c r="GLA20" s="16"/>
      <c r="GLB20" s="2185"/>
      <c r="GLC20" s="16"/>
      <c r="GLD20" s="2185"/>
      <c r="GLE20" s="16"/>
      <c r="GLF20" s="2185"/>
      <c r="GLG20" s="16"/>
      <c r="GLH20" s="2185"/>
      <c r="GLI20" s="16"/>
      <c r="GLJ20" s="2185"/>
      <c r="GLK20" s="16"/>
      <c r="GLL20" s="2185"/>
      <c r="GLM20" s="16"/>
      <c r="GLN20" s="2185"/>
      <c r="GLO20" s="16"/>
      <c r="GLP20" s="2185"/>
      <c r="GLQ20" s="16"/>
      <c r="GLR20" s="2185"/>
      <c r="GLS20" s="16"/>
      <c r="GLT20" s="2185"/>
      <c r="GLU20" s="16"/>
      <c r="GLV20" s="2185"/>
      <c r="GLW20" s="16"/>
      <c r="GLX20" s="2185"/>
      <c r="GLY20" s="16"/>
      <c r="GLZ20" s="2185"/>
      <c r="GMA20" s="16"/>
      <c r="GMB20" s="2185"/>
      <c r="GMC20" s="16"/>
      <c r="GMD20" s="2185"/>
      <c r="GME20" s="16"/>
      <c r="GMF20" s="2185"/>
      <c r="GMG20" s="16"/>
      <c r="GMH20" s="2185"/>
      <c r="GMI20" s="16"/>
      <c r="GMJ20" s="2185"/>
      <c r="GMK20" s="16"/>
      <c r="GML20" s="2185"/>
      <c r="GMM20" s="16"/>
      <c r="GMN20" s="2185"/>
      <c r="GMO20" s="16"/>
      <c r="GMP20" s="2185"/>
      <c r="GMQ20" s="16"/>
      <c r="GMR20" s="2185"/>
      <c r="GMS20" s="16"/>
      <c r="GMT20" s="2185"/>
      <c r="GMU20" s="16"/>
      <c r="GMV20" s="2185"/>
      <c r="GMW20" s="16"/>
      <c r="GMX20" s="2185"/>
      <c r="GMY20" s="16"/>
      <c r="GMZ20" s="2185"/>
      <c r="GNA20" s="16"/>
      <c r="GNB20" s="2185"/>
      <c r="GNC20" s="16"/>
      <c r="GND20" s="2185"/>
      <c r="GNE20" s="16"/>
      <c r="GNF20" s="2185"/>
      <c r="GNG20" s="16"/>
      <c r="GNH20" s="2185"/>
      <c r="GNI20" s="16"/>
      <c r="GNJ20" s="2185"/>
      <c r="GNK20" s="16"/>
      <c r="GNL20" s="2185"/>
      <c r="GNM20" s="16"/>
      <c r="GNN20" s="2185"/>
      <c r="GNO20" s="16"/>
      <c r="GNP20" s="2185"/>
      <c r="GNQ20" s="16"/>
      <c r="GNR20" s="2185"/>
      <c r="GNS20" s="16"/>
      <c r="GNT20" s="2185"/>
      <c r="GNU20" s="16"/>
      <c r="GNV20" s="2185"/>
      <c r="GNW20" s="16"/>
      <c r="GNX20" s="2185"/>
      <c r="GNY20" s="16"/>
      <c r="GNZ20" s="2185"/>
      <c r="GOA20" s="16"/>
      <c r="GOB20" s="2185"/>
      <c r="GOC20" s="16"/>
      <c r="GOD20" s="2185"/>
      <c r="GOE20" s="16"/>
      <c r="GOF20" s="2185"/>
      <c r="GOG20" s="16"/>
      <c r="GOH20" s="2185"/>
      <c r="GOI20" s="16"/>
      <c r="GOJ20" s="2185"/>
      <c r="GOK20" s="16"/>
      <c r="GOL20" s="2185"/>
      <c r="GOM20" s="16"/>
      <c r="GON20" s="2185"/>
      <c r="GOO20" s="16"/>
      <c r="GOP20" s="2185"/>
      <c r="GOQ20" s="16"/>
      <c r="GOR20" s="2185"/>
      <c r="GOS20" s="16"/>
      <c r="GOT20" s="2185"/>
      <c r="GOU20" s="16"/>
      <c r="GOV20" s="2185"/>
      <c r="GOW20" s="16"/>
      <c r="GOX20" s="2185"/>
      <c r="GOY20" s="16"/>
      <c r="GOZ20" s="2185"/>
      <c r="GPA20" s="16"/>
      <c r="GPB20" s="2185"/>
      <c r="GPC20" s="16"/>
      <c r="GPD20" s="2185"/>
      <c r="GPE20" s="16"/>
      <c r="GPF20" s="2185"/>
      <c r="GPG20" s="16"/>
      <c r="GPH20" s="2185"/>
      <c r="GPI20" s="16"/>
      <c r="GPJ20" s="2185"/>
      <c r="GPK20" s="16"/>
      <c r="GPL20" s="2185"/>
      <c r="GPM20" s="16"/>
      <c r="GPN20" s="2185"/>
      <c r="GPO20" s="16"/>
      <c r="GPP20" s="2185"/>
      <c r="GPQ20" s="16"/>
      <c r="GPR20" s="2185"/>
      <c r="GPS20" s="16"/>
      <c r="GPT20" s="2185"/>
      <c r="GPU20" s="16"/>
      <c r="GPV20" s="2185"/>
      <c r="GPW20" s="16"/>
      <c r="GPX20" s="2185"/>
      <c r="GPY20" s="16"/>
      <c r="GPZ20" s="2185"/>
      <c r="GQA20" s="16"/>
      <c r="GQB20" s="2185"/>
      <c r="GQC20" s="16"/>
      <c r="GQD20" s="2185"/>
      <c r="GQE20" s="16"/>
      <c r="GQF20" s="2185"/>
      <c r="GQG20" s="16"/>
      <c r="GQH20" s="2185"/>
      <c r="GQI20" s="16"/>
      <c r="GQJ20" s="2185"/>
      <c r="GQK20" s="16"/>
      <c r="GQL20" s="2185"/>
      <c r="GQM20" s="16"/>
      <c r="GQN20" s="2185"/>
      <c r="GQO20" s="16"/>
      <c r="GQP20" s="2185"/>
      <c r="GQQ20" s="16"/>
      <c r="GQR20" s="2185"/>
      <c r="GQS20" s="16"/>
      <c r="GQT20" s="2185"/>
      <c r="GQU20" s="16"/>
      <c r="GQV20" s="2185"/>
      <c r="GQW20" s="16"/>
      <c r="GQX20" s="2185"/>
      <c r="GQY20" s="16"/>
      <c r="GQZ20" s="2185"/>
      <c r="GRA20" s="16"/>
      <c r="GRB20" s="2185"/>
      <c r="GRC20" s="16"/>
      <c r="GRD20" s="2185"/>
      <c r="GRE20" s="16"/>
      <c r="GRF20" s="2185"/>
      <c r="GRG20" s="16"/>
      <c r="GRH20" s="2185"/>
      <c r="GRI20" s="16"/>
      <c r="GRJ20" s="2185"/>
      <c r="GRK20" s="16"/>
      <c r="GRL20" s="2185"/>
      <c r="GRM20" s="16"/>
      <c r="GRN20" s="2185"/>
      <c r="GRO20" s="16"/>
      <c r="GRP20" s="2185"/>
      <c r="GRQ20" s="16"/>
      <c r="GRR20" s="2185"/>
      <c r="GRS20" s="16"/>
      <c r="GRT20" s="2185"/>
      <c r="GRU20" s="16"/>
      <c r="GRV20" s="2185"/>
      <c r="GRW20" s="16"/>
      <c r="GRX20" s="2185"/>
      <c r="GRY20" s="16"/>
      <c r="GRZ20" s="2185"/>
      <c r="GSA20" s="16"/>
      <c r="GSB20" s="2185"/>
      <c r="GSC20" s="16"/>
      <c r="GSD20" s="2185"/>
      <c r="GSE20" s="16"/>
      <c r="GSF20" s="2185"/>
      <c r="GSG20" s="16"/>
      <c r="GSH20" s="2185"/>
      <c r="GSI20" s="16"/>
      <c r="GSJ20" s="2185"/>
      <c r="GSK20" s="16"/>
      <c r="GSL20" s="2185"/>
      <c r="GSM20" s="16"/>
      <c r="GSN20" s="2185"/>
      <c r="GSO20" s="16"/>
      <c r="GSP20" s="2185"/>
      <c r="GSQ20" s="16"/>
      <c r="GSR20" s="2185"/>
      <c r="GSS20" s="16"/>
      <c r="GST20" s="2185"/>
      <c r="GSU20" s="16"/>
      <c r="GSV20" s="2185"/>
      <c r="GSW20" s="16"/>
      <c r="GSX20" s="2185"/>
      <c r="GSY20" s="16"/>
      <c r="GSZ20" s="2185"/>
      <c r="GTA20" s="16"/>
      <c r="GTB20" s="2185"/>
      <c r="GTC20" s="16"/>
      <c r="GTD20" s="2185"/>
      <c r="GTE20" s="16"/>
      <c r="GTF20" s="2185"/>
      <c r="GTG20" s="16"/>
      <c r="GTH20" s="2185"/>
      <c r="GTI20" s="16"/>
      <c r="GTJ20" s="2185"/>
      <c r="GTK20" s="16"/>
      <c r="GTL20" s="2185"/>
      <c r="GTM20" s="16"/>
      <c r="GTN20" s="2185"/>
      <c r="GTO20" s="16"/>
      <c r="GTP20" s="2185"/>
      <c r="GTQ20" s="16"/>
      <c r="GTR20" s="2185"/>
      <c r="GTS20" s="16"/>
      <c r="GTT20" s="2185"/>
      <c r="GTU20" s="16"/>
      <c r="GTV20" s="2185"/>
      <c r="GTW20" s="16"/>
      <c r="GTX20" s="2185"/>
      <c r="GTY20" s="16"/>
      <c r="GTZ20" s="2185"/>
      <c r="GUA20" s="16"/>
      <c r="GUB20" s="2185"/>
      <c r="GUC20" s="16"/>
      <c r="GUD20" s="2185"/>
      <c r="GUE20" s="16"/>
      <c r="GUF20" s="2185"/>
      <c r="GUG20" s="16"/>
      <c r="GUH20" s="2185"/>
      <c r="GUI20" s="16"/>
      <c r="GUJ20" s="2185"/>
      <c r="GUK20" s="16"/>
      <c r="GUL20" s="2185"/>
      <c r="GUM20" s="16"/>
      <c r="GUN20" s="2185"/>
      <c r="GUO20" s="16"/>
      <c r="GUP20" s="2185"/>
      <c r="GUQ20" s="16"/>
      <c r="GUR20" s="2185"/>
      <c r="GUS20" s="16"/>
      <c r="GUT20" s="2185"/>
      <c r="GUU20" s="16"/>
      <c r="GUV20" s="2185"/>
      <c r="GUW20" s="16"/>
      <c r="GUX20" s="2185"/>
      <c r="GUY20" s="16"/>
      <c r="GUZ20" s="2185"/>
      <c r="GVA20" s="16"/>
      <c r="GVB20" s="2185"/>
      <c r="GVC20" s="16"/>
      <c r="GVD20" s="2185"/>
      <c r="GVE20" s="16"/>
      <c r="GVF20" s="2185"/>
      <c r="GVG20" s="16"/>
      <c r="GVH20" s="2185"/>
      <c r="GVI20" s="16"/>
      <c r="GVJ20" s="2185"/>
      <c r="GVK20" s="16"/>
      <c r="GVL20" s="2185"/>
      <c r="GVM20" s="16"/>
      <c r="GVN20" s="2185"/>
      <c r="GVO20" s="16"/>
      <c r="GVP20" s="2185"/>
      <c r="GVQ20" s="16"/>
      <c r="GVR20" s="2185"/>
      <c r="GVS20" s="16"/>
      <c r="GVT20" s="2185"/>
      <c r="GVU20" s="16"/>
      <c r="GVV20" s="2185"/>
      <c r="GVW20" s="16"/>
      <c r="GVX20" s="2185"/>
      <c r="GVY20" s="16"/>
      <c r="GVZ20" s="2185"/>
      <c r="GWA20" s="16"/>
      <c r="GWB20" s="2185"/>
      <c r="GWC20" s="16"/>
      <c r="GWD20" s="2185"/>
      <c r="GWE20" s="16"/>
      <c r="GWF20" s="2185"/>
      <c r="GWG20" s="16"/>
      <c r="GWH20" s="2185"/>
      <c r="GWI20" s="16"/>
      <c r="GWJ20" s="2185"/>
      <c r="GWK20" s="16"/>
      <c r="GWL20" s="2185"/>
      <c r="GWM20" s="16"/>
      <c r="GWN20" s="2185"/>
      <c r="GWO20" s="16"/>
      <c r="GWP20" s="2185"/>
      <c r="GWQ20" s="16"/>
      <c r="GWR20" s="2185"/>
      <c r="GWS20" s="16"/>
      <c r="GWT20" s="2185"/>
      <c r="GWU20" s="16"/>
      <c r="GWV20" s="2185"/>
      <c r="GWW20" s="16"/>
      <c r="GWX20" s="2185"/>
      <c r="GWY20" s="16"/>
      <c r="GWZ20" s="2185"/>
      <c r="GXA20" s="16"/>
      <c r="GXB20" s="2185"/>
      <c r="GXC20" s="16"/>
      <c r="GXD20" s="2185"/>
      <c r="GXE20" s="16"/>
      <c r="GXF20" s="2185"/>
      <c r="GXG20" s="16"/>
      <c r="GXH20" s="2185"/>
      <c r="GXI20" s="16"/>
      <c r="GXJ20" s="2185"/>
      <c r="GXK20" s="16"/>
      <c r="GXL20" s="2185"/>
      <c r="GXM20" s="16"/>
      <c r="GXN20" s="2185"/>
      <c r="GXO20" s="16"/>
      <c r="GXP20" s="2185"/>
      <c r="GXQ20" s="16"/>
      <c r="GXR20" s="2185"/>
      <c r="GXS20" s="16"/>
      <c r="GXT20" s="2185"/>
      <c r="GXU20" s="16"/>
      <c r="GXV20" s="2185"/>
      <c r="GXW20" s="16"/>
      <c r="GXX20" s="2185"/>
      <c r="GXY20" s="16"/>
      <c r="GXZ20" s="2185"/>
      <c r="GYA20" s="16"/>
      <c r="GYB20" s="2185"/>
      <c r="GYC20" s="16"/>
      <c r="GYD20" s="2185"/>
      <c r="GYE20" s="16"/>
      <c r="GYF20" s="2185"/>
      <c r="GYG20" s="16"/>
      <c r="GYH20" s="2185"/>
      <c r="GYI20" s="16"/>
      <c r="GYJ20" s="2185"/>
      <c r="GYK20" s="16"/>
      <c r="GYL20" s="2185"/>
      <c r="GYM20" s="16"/>
      <c r="GYN20" s="2185"/>
      <c r="GYO20" s="16"/>
      <c r="GYP20" s="2185"/>
      <c r="GYQ20" s="16"/>
      <c r="GYR20" s="2185"/>
      <c r="GYS20" s="16"/>
      <c r="GYT20" s="2185"/>
      <c r="GYU20" s="16"/>
      <c r="GYV20" s="2185"/>
      <c r="GYW20" s="16"/>
      <c r="GYX20" s="2185"/>
      <c r="GYY20" s="16"/>
      <c r="GYZ20" s="2185"/>
      <c r="GZA20" s="16"/>
      <c r="GZB20" s="2185"/>
      <c r="GZC20" s="16"/>
      <c r="GZD20" s="2185"/>
      <c r="GZE20" s="16"/>
      <c r="GZF20" s="2185"/>
      <c r="GZG20" s="16"/>
      <c r="GZH20" s="2185"/>
      <c r="GZI20" s="16"/>
      <c r="GZJ20" s="2185"/>
      <c r="GZK20" s="16"/>
      <c r="GZL20" s="2185"/>
      <c r="GZM20" s="16"/>
      <c r="GZN20" s="2185"/>
      <c r="GZO20" s="16"/>
      <c r="GZP20" s="2185"/>
      <c r="GZQ20" s="16"/>
      <c r="GZR20" s="2185"/>
      <c r="GZS20" s="16"/>
      <c r="GZT20" s="2185"/>
      <c r="GZU20" s="16"/>
      <c r="GZV20" s="2185"/>
      <c r="GZW20" s="16"/>
      <c r="GZX20" s="2185"/>
      <c r="GZY20" s="16"/>
      <c r="GZZ20" s="2185"/>
      <c r="HAA20" s="16"/>
      <c r="HAB20" s="2185"/>
      <c r="HAC20" s="16"/>
      <c r="HAD20" s="2185"/>
      <c r="HAE20" s="16"/>
      <c r="HAF20" s="2185"/>
      <c r="HAG20" s="16"/>
      <c r="HAH20" s="2185"/>
      <c r="HAI20" s="16"/>
      <c r="HAJ20" s="2185"/>
      <c r="HAK20" s="16"/>
      <c r="HAL20" s="2185"/>
      <c r="HAM20" s="16"/>
      <c r="HAN20" s="2185"/>
      <c r="HAO20" s="16"/>
      <c r="HAP20" s="2185"/>
      <c r="HAQ20" s="16"/>
      <c r="HAR20" s="2185"/>
      <c r="HAS20" s="16"/>
      <c r="HAT20" s="2185"/>
      <c r="HAU20" s="16"/>
      <c r="HAV20" s="2185"/>
      <c r="HAW20" s="16"/>
      <c r="HAX20" s="2185"/>
      <c r="HAY20" s="16"/>
      <c r="HAZ20" s="2185"/>
      <c r="HBA20" s="16"/>
      <c r="HBB20" s="2185"/>
      <c r="HBC20" s="16"/>
      <c r="HBD20" s="2185"/>
      <c r="HBE20" s="16"/>
      <c r="HBF20" s="2185"/>
      <c r="HBG20" s="16"/>
      <c r="HBH20" s="2185"/>
      <c r="HBI20" s="16"/>
      <c r="HBJ20" s="2185"/>
      <c r="HBK20" s="16"/>
      <c r="HBL20" s="2185"/>
      <c r="HBM20" s="16"/>
      <c r="HBN20" s="2185"/>
      <c r="HBO20" s="16"/>
      <c r="HBP20" s="2185"/>
      <c r="HBQ20" s="16"/>
      <c r="HBR20" s="2185"/>
      <c r="HBS20" s="16"/>
      <c r="HBT20" s="2185"/>
      <c r="HBU20" s="16"/>
      <c r="HBV20" s="2185"/>
      <c r="HBW20" s="16"/>
      <c r="HBX20" s="2185"/>
      <c r="HBY20" s="16"/>
      <c r="HBZ20" s="2185"/>
      <c r="HCA20" s="16"/>
      <c r="HCB20" s="2185"/>
      <c r="HCC20" s="16"/>
      <c r="HCD20" s="2185"/>
      <c r="HCE20" s="16"/>
      <c r="HCF20" s="2185"/>
      <c r="HCG20" s="16"/>
      <c r="HCH20" s="2185"/>
      <c r="HCI20" s="16"/>
      <c r="HCJ20" s="2185"/>
      <c r="HCK20" s="16"/>
      <c r="HCL20" s="2185"/>
      <c r="HCM20" s="16"/>
      <c r="HCN20" s="2185"/>
      <c r="HCO20" s="16"/>
      <c r="HCP20" s="2185"/>
      <c r="HCQ20" s="16"/>
      <c r="HCR20" s="2185"/>
      <c r="HCS20" s="16"/>
      <c r="HCT20" s="2185"/>
      <c r="HCU20" s="16"/>
      <c r="HCV20" s="2185"/>
      <c r="HCW20" s="16"/>
      <c r="HCX20" s="2185"/>
      <c r="HCY20" s="16"/>
      <c r="HCZ20" s="2185"/>
      <c r="HDA20" s="16"/>
      <c r="HDB20" s="2185"/>
      <c r="HDC20" s="16"/>
      <c r="HDD20" s="2185"/>
      <c r="HDE20" s="16"/>
      <c r="HDF20" s="2185"/>
      <c r="HDG20" s="16"/>
      <c r="HDH20" s="2185"/>
      <c r="HDI20" s="16"/>
      <c r="HDJ20" s="2185"/>
      <c r="HDK20" s="16"/>
      <c r="HDL20" s="2185"/>
      <c r="HDM20" s="16"/>
      <c r="HDN20" s="2185"/>
      <c r="HDO20" s="16"/>
      <c r="HDP20" s="2185"/>
      <c r="HDQ20" s="16"/>
      <c r="HDR20" s="2185"/>
      <c r="HDS20" s="16"/>
      <c r="HDT20" s="2185"/>
      <c r="HDU20" s="16"/>
      <c r="HDV20" s="2185"/>
      <c r="HDW20" s="16"/>
      <c r="HDX20" s="2185"/>
      <c r="HDY20" s="16"/>
      <c r="HDZ20" s="2185"/>
      <c r="HEA20" s="16"/>
      <c r="HEB20" s="2185"/>
      <c r="HEC20" s="16"/>
      <c r="HED20" s="2185"/>
      <c r="HEE20" s="16"/>
      <c r="HEF20" s="2185"/>
      <c r="HEG20" s="16"/>
      <c r="HEH20" s="2185"/>
      <c r="HEI20" s="16"/>
      <c r="HEJ20" s="2185"/>
      <c r="HEK20" s="16"/>
      <c r="HEL20" s="2185"/>
      <c r="HEM20" s="16"/>
      <c r="HEN20" s="2185"/>
      <c r="HEO20" s="16"/>
      <c r="HEP20" s="2185"/>
      <c r="HEQ20" s="16"/>
      <c r="HER20" s="2185"/>
      <c r="HES20" s="16"/>
      <c r="HET20" s="2185"/>
      <c r="HEU20" s="16"/>
      <c r="HEV20" s="2185"/>
      <c r="HEW20" s="16"/>
      <c r="HEX20" s="2185"/>
      <c r="HEY20" s="16"/>
      <c r="HEZ20" s="2185"/>
      <c r="HFA20" s="16"/>
      <c r="HFB20" s="2185"/>
      <c r="HFC20" s="16"/>
      <c r="HFD20" s="2185"/>
      <c r="HFE20" s="16"/>
      <c r="HFF20" s="2185"/>
      <c r="HFG20" s="16"/>
      <c r="HFH20" s="2185"/>
      <c r="HFI20" s="16"/>
      <c r="HFJ20" s="2185"/>
      <c r="HFK20" s="16"/>
      <c r="HFL20" s="2185"/>
      <c r="HFM20" s="16"/>
      <c r="HFN20" s="2185"/>
      <c r="HFO20" s="16"/>
      <c r="HFP20" s="2185"/>
      <c r="HFQ20" s="16"/>
      <c r="HFR20" s="2185"/>
      <c r="HFS20" s="16"/>
      <c r="HFT20" s="2185"/>
      <c r="HFU20" s="16"/>
      <c r="HFV20" s="2185"/>
      <c r="HFW20" s="16"/>
      <c r="HFX20" s="2185"/>
      <c r="HFY20" s="16"/>
      <c r="HFZ20" s="2185"/>
      <c r="HGA20" s="16"/>
      <c r="HGB20" s="2185"/>
      <c r="HGC20" s="16"/>
      <c r="HGD20" s="2185"/>
      <c r="HGE20" s="16"/>
      <c r="HGF20" s="2185"/>
      <c r="HGG20" s="16"/>
      <c r="HGH20" s="2185"/>
      <c r="HGI20" s="16"/>
      <c r="HGJ20" s="2185"/>
      <c r="HGK20" s="16"/>
      <c r="HGL20" s="2185"/>
      <c r="HGM20" s="16"/>
      <c r="HGN20" s="2185"/>
      <c r="HGO20" s="16"/>
      <c r="HGP20" s="2185"/>
      <c r="HGQ20" s="16"/>
      <c r="HGR20" s="2185"/>
      <c r="HGS20" s="16"/>
      <c r="HGT20" s="2185"/>
      <c r="HGU20" s="16"/>
      <c r="HGV20" s="2185"/>
      <c r="HGW20" s="16"/>
      <c r="HGX20" s="2185"/>
      <c r="HGY20" s="16"/>
      <c r="HGZ20" s="2185"/>
      <c r="HHA20" s="16"/>
      <c r="HHB20" s="2185"/>
      <c r="HHC20" s="16"/>
      <c r="HHD20" s="2185"/>
      <c r="HHE20" s="16"/>
      <c r="HHF20" s="2185"/>
      <c r="HHG20" s="16"/>
      <c r="HHH20" s="2185"/>
      <c r="HHI20" s="16"/>
      <c r="HHJ20" s="2185"/>
      <c r="HHK20" s="16"/>
      <c r="HHL20" s="2185"/>
      <c r="HHM20" s="16"/>
      <c r="HHN20" s="2185"/>
      <c r="HHO20" s="16"/>
      <c r="HHP20" s="2185"/>
      <c r="HHQ20" s="16"/>
      <c r="HHR20" s="2185"/>
      <c r="HHS20" s="16"/>
      <c r="HHT20" s="2185"/>
      <c r="HHU20" s="16"/>
      <c r="HHV20" s="2185"/>
      <c r="HHW20" s="16"/>
      <c r="HHX20" s="2185"/>
      <c r="HHY20" s="16"/>
      <c r="HHZ20" s="2185"/>
      <c r="HIA20" s="16"/>
      <c r="HIB20" s="2185"/>
      <c r="HIC20" s="16"/>
      <c r="HID20" s="2185"/>
      <c r="HIE20" s="16"/>
      <c r="HIF20" s="2185"/>
      <c r="HIG20" s="16"/>
      <c r="HIH20" s="2185"/>
      <c r="HII20" s="16"/>
      <c r="HIJ20" s="2185"/>
      <c r="HIK20" s="16"/>
      <c r="HIL20" s="2185"/>
      <c r="HIM20" s="16"/>
      <c r="HIN20" s="2185"/>
      <c r="HIO20" s="16"/>
      <c r="HIP20" s="2185"/>
      <c r="HIQ20" s="16"/>
      <c r="HIR20" s="2185"/>
      <c r="HIS20" s="16"/>
      <c r="HIT20" s="2185"/>
      <c r="HIU20" s="16"/>
      <c r="HIV20" s="2185"/>
      <c r="HIW20" s="16"/>
      <c r="HIX20" s="2185"/>
      <c r="HIY20" s="16"/>
      <c r="HIZ20" s="2185"/>
      <c r="HJA20" s="16"/>
      <c r="HJB20" s="2185"/>
      <c r="HJC20" s="16"/>
      <c r="HJD20" s="2185"/>
      <c r="HJE20" s="16"/>
      <c r="HJF20" s="2185"/>
      <c r="HJG20" s="16"/>
      <c r="HJH20" s="2185"/>
      <c r="HJI20" s="16"/>
      <c r="HJJ20" s="2185"/>
      <c r="HJK20" s="16"/>
      <c r="HJL20" s="2185"/>
      <c r="HJM20" s="16"/>
      <c r="HJN20" s="2185"/>
      <c r="HJO20" s="16"/>
      <c r="HJP20" s="2185"/>
      <c r="HJQ20" s="16"/>
      <c r="HJR20" s="2185"/>
      <c r="HJS20" s="16"/>
      <c r="HJT20" s="2185"/>
      <c r="HJU20" s="16"/>
      <c r="HJV20" s="2185"/>
      <c r="HJW20" s="16"/>
      <c r="HJX20" s="2185"/>
      <c r="HJY20" s="16"/>
      <c r="HJZ20" s="2185"/>
      <c r="HKA20" s="16"/>
      <c r="HKB20" s="2185"/>
      <c r="HKC20" s="16"/>
      <c r="HKD20" s="2185"/>
      <c r="HKE20" s="16"/>
      <c r="HKF20" s="2185"/>
      <c r="HKG20" s="16"/>
      <c r="HKH20" s="2185"/>
      <c r="HKI20" s="16"/>
      <c r="HKJ20" s="2185"/>
      <c r="HKK20" s="16"/>
      <c r="HKL20" s="2185"/>
      <c r="HKM20" s="16"/>
      <c r="HKN20" s="2185"/>
      <c r="HKO20" s="16"/>
      <c r="HKP20" s="2185"/>
      <c r="HKQ20" s="16"/>
      <c r="HKR20" s="2185"/>
      <c r="HKS20" s="16"/>
      <c r="HKT20" s="2185"/>
      <c r="HKU20" s="16"/>
      <c r="HKV20" s="2185"/>
      <c r="HKW20" s="16"/>
      <c r="HKX20" s="2185"/>
      <c r="HKY20" s="16"/>
      <c r="HKZ20" s="2185"/>
      <c r="HLA20" s="16"/>
      <c r="HLB20" s="2185"/>
      <c r="HLC20" s="16"/>
      <c r="HLD20" s="2185"/>
      <c r="HLE20" s="16"/>
      <c r="HLF20" s="2185"/>
      <c r="HLG20" s="16"/>
      <c r="HLH20" s="2185"/>
      <c r="HLI20" s="16"/>
      <c r="HLJ20" s="2185"/>
      <c r="HLK20" s="16"/>
      <c r="HLL20" s="2185"/>
      <c r="HLM20" s="16"/>
      <c r="HLN20" s="2185"/>
      <c r="HLO20" s="16"/>
      <c r="HLP20" s="2185"/>
      <c r="HLQ20" s="16"/>
      <c r="HLR20" s="2185"/>
      <c r="HLS20" s="16"/>
      <c r="HLT20" s="2185"/>
      <c r="HLU20" s="16"/>
      <c r="HLV20" s="2185"/>
      <c r="HLW20" s="16"/>
      <c r="HLX20" s="2185"/>
      <c r="HLY20" s="16"/>
      <c r="HLZ20" s="2185"/>
      <c r="HMA20" s="16"/>
      <c r="HMB20" s="2185"/>
      <c r="HMC20" s="16"/>
      <c r="HMD20" s="2185"/>
      <c r="HME20" s="16"/>
      <c r="HMF20" s="2185"/>
      <c r="HMG20" s="16"/>
      <c r="HMH20" s="2185"/>
      <c r="HMI20" s="16"/>
      <c r="HMJ20" s="2185"/>
      <c r="HMK20" s="16"/>
      <c r="HML20" s="2185"/>
      <c r="HMM20" s="16"/>
      <c r="HMN20" s="2185"/>
      <c r="HMO20" s="16"/>
      <c r="HMP20" s="2185"/>
      <c r="HMQ20" s="16"/>
      <c r="HMR20" s="2185"/>
      <c r="HMS20" s="16"/>
      <c r="HMT20" s="2185"/>
      <c r="HMU20" s="16"/>
      <c r="HMV20" s="2185"/>
      <c r="HMW20" s="16"/>
      <c r="HMX20" s="2185"/>
      <c r="HMY20" s="16"/>
      <c r="HMZ20" s="2185"/>
      <c r="HNA20" s="16"/>
      <c r="HNB20" s="2185"/>
      <c r="HNC20" s="16"/>
      <c r="HND20" s="2185"/>
      <c r="HNE20" s="16"/>
      <c r="HNF20" s="2185"/>
      <c r="HNG20" s="16"/>
      <c r="HNH20" s="2185"/>
      <c r="HNI20" s="16"/>
      <c r="HNJ20" s="2185"/>
      <c r="HNK20" s="16"/>
      <c r="HNL20" s="2185"/>
      <c r="HNM20" s="16"/>
      <c r="HNN20" s="2185"/>
      <c r="HNO20" s="16"/>
      <c r="HNP20" s="2185"/>
      <c r="HNQ20" s="16"/>
      <c r="HNR20" s="2185"/>
      <c r="HNS20" s="16"/>
      <c r="HNT20" s="2185"/>
      <c r="HNU20" s="16"/>
      <c r="HNV20" s="2185"/>
      <c r="HNW20" s="16"/>
      <c r="HNX20" s="2185"/>
      <c r="HNY20" s="16"/>
      <c r="HNZ20" s="2185"/>
      <c r="HOA20" s="16"/>
      <c r="HOB20" s="2185"/>
      <c r="HOC20" s="16"/>
      <c r="HOD20" s="2185"/>
      <c r="HOE20" s="16"/>
      <c r="HOF20" s="2185"/>
      <c r="HOG20" s="16"/>
      <c r="HOH20" s="2185"/>
      <c r="HOI20" s="16"/>
      <c r="HOJ20" s="2185"/>
      <c r="HOK20" s="16"/>
      <c r="HOL20" s="2185"/>
      <c r="HOM20" s="16"/>
      <c r="HON20" s="2185"/>
      <c r="HOO20" s="16"/>
      <c r="HOP20" s="2185"/>
      <c r="HOQ20" s="16"/>
      <c r="HOR20" s="2185"/>
      <c r="HOS20" s="16"/>
      <c r="HOT20" s="2185"/>
      <c r="HOU20" s="16"/>
      <c r="HOV20" s="2185"/>
      <c r="HOW20" s="16"/>
      <c r="HOX20" s="2185"/>
      <c r="HOY20" s="16"/>
      <c r="HOZ20" s="2185"/>
      <c r="HPA20" s="16"/>
      <c r="HPB20" s="2185"/>
      <c r="HPC20" s="16"/>
      <c r="HPD20" s="2185"/>
      <c r="HPE20" s="16"/>
      <c r="HPF20" s="2185"/>
      <c r="HPG20" s="16"/>
      <c r="HPH20" s="2185"/>
      <c r="HPI20" s="16"/>
      <c r="HPJ20" s="2185"/>
      <c r="HPK20" s="16"/>
      <c r="HPL20" s="2185"/>
      <c r="HPM20" s="16"/>
      <c r="HPN20" s="2185"/>
      <c r="HPO20" s="16"/>
      <c r="HPP20" s="2185"/>
      <c r="HPQ20" s="16"/>
      <c r="HPR20" s="2185"/>
      <c r="HPS20" s="16"/>
      <c r="HPT20" s="2185"/>
      <c r="HPU20" s="16"/>
      <c r="HPV20" s="2185"/>
      <c r="HPW20" s="16"/>
      <c r="HPX20" s="2185"/>
      <c r="HPY20" s="16"/>
      <c r="HPZ20" s="2185"/>
      <c r="HQA20" s="16"/>
      <c r="HQB20" s="2185"/>
      <c r="HQC20" s="16"/>
      <c r="HQD20" s="2185"/>
      <c r="HQE20" s="16"/>
      <c r="HQF20" s="2185"/>
      <c r="HQG20" s="16"/>
      <c r="HQH20" s="2185"/>
      <c r="HQI20" s="16"/>
      <c r="HQJ20" s="2185"/>
      <c r="HQK20" s="16"/>
      <c r="HQL20" s="2185"/>
      <c r="HQM20" s="16"/>
      <c r="HQN20" s="2185"/>
      <c r="HQO20" s="16"/>
      <c r="HQP20" s="2185"/>
      <c r="HQQ20" s="16"/>
      <c r="HQR20" s="2185"/>
      <c r="HQS20" s="16"/>
      <c r="HQT20" s="2185"/>
      <c r="HQU20" s="16"/>
      <c r="HQV20" s="2185"/>
      <c r="HQW20" s="16"/>
      <c r="HQX20" s="2185"/>
      <c r="HQY20" s="16"/>
      <c r="HQZ20" s="2185"/>
      <c r="HRA20" s="16"/>
      <c r="HRB20" s="2185"/>
      <c r="HRC20" s="16"/>
      <c r="HRD20" s="2185"/>
      <c r="HRE20" s="16"/>
      <c r="HRF20" s="2185"/>
      <c r="HRG20" s="16"/>
      <c r="HRH20" s="2185"/>
      <c r="HRI20" s="16"/>
      <c r="HRJ20" s="2185"/>
      <c r="HRK20" s="16"/>
      <c r="HRL20" s="2185"/>
      <c r="HRM20" s="16"/>
      <c r="HRN20" s="2185"/>
      <c r="HRO20" s="16"/>
      <c r="HRP20" s="2185"/>
      <c r="HRQ20" s="16"/>
      <c r="HRR20" s="2185"/>
      <c r="HRS20" s="16"/>
      <c r="HRT20" s="2185"/>
      <c r="HRU20" s="16"/>
      <c r="HRV20" s="2185"/>
      <c r="HRW20" s="16"/>
      <c r="HRX20" s="2185"/>
      <c r="HRY20" s="16"/>
      <c r="HRZ20" s="2185"/>
      <c r="HSA20" s="16"/>
      <c r="HSB20" s="2185"/>
      <c r="HSC20" s="16"/>
      <c r="HSD20" s="2185"/>
      <c r="HSE20" s="16"/>
      <c r="HSF20" s="2185"/>
      <c r="HSG20" s="16"/>
      <c r="HSH20" s="2185"/>
      <c r="HSI20" s="16"/>
      <c r="HSJ20" s="2185"/>
      <c r="HSK20" s="16"/>
      <c r="HSL20" s="2185"/>
      <c r="HSM20" s="16"/>
      <c r="HSN20" s="2185"/>
      <c r="HSO20" s="16"/>
      <c r="HSP20" s="2185"/>
      <c r="HSQ20" s="16"/>
      <c r="HSR20" s="2185"/>
      <c r="HSS20" s="16"/>
      <c r="HST20" s="2185"/>
      <c r="HSU20" s="16"/>
      <c r="HSV20" s="2185"/>
      <c r="HSW20" s="16"/>
      <c r="HSX20" s="2185"/>
      <c r="HSY20" s="16"/>
      <c r="HSZ20" s="2185"/>
      <c r="HTA20" s="16"/>
      <c r="HTB20" s="2185"/>
      <c r="HTC20" s="16"/>
      <c r="HTD20" s="2185"/>
      <c r="HTE20" s="16"/>
      <c r="HTF20" s="2185"/>
      <c r="HTG20" s="16"/>
      <c r="HTH20" s="2185"/>
      <c r="HTI20" s="16"/>
      <c r="HTJ20" s="2185"/>
      <c r="HTK20" s="16"/>
      <c r="HTL20" s="2185"/>
      <c r="HTM20" s="16"/>
      <c r="HTN20" s="2185"/>
      <c r="HTO20" s="16"/>
      <c r="HTP20" s="2185"/>
      <c r="HTQ20" s="16"/>
      <c r="HTR20" s="2185"/>
      <c r="HTS20" s="16"/>
      <c r="HTT20" s="2185"/>
      <c r="HTU20" s="16"/>
      <c r="HTV20" s="2185"/>
      <c r="HTW20" s="16"/>
      <c r="HTX20" s="2185"/>
      <c r="HTY20" s="16"/>
      <c r="HTZ20" s="2185"/>
      <c r="HUA20" s="16"/>
      <c r="HUB20" s="2185"/>
      <c r="HUC20" s="16"/>
      <c r="HUD20" s="2185"/>
      <c r="HUE20" s="16"/>
      <c r="HUF20" s="2185"/>
      <c r="HUG20" s="16"/>
      <c r="HUH20" s="2185"/>
      <c r="HUI20" s="16"/>
      <c r="HUJ20" s="2185"/>
      <c r="HUK20" s="16"/>
      <c r="HUL20" s="2185"/>
      <c r="HUM20" s="16"/>
      <c r="HUN20" s="2185"/>
      <c r="HUO20" s="16"/>
      <c r="HUP20" s="2185"/>
      <c r="HUQ20" s="16"/>
      <c r="HUR20" s="2185"/>
      <c r="HUS20" s="16"/>
      <c r="HUT20" s="2185"/>
      <c r="HUU20" s="16"/>
      <c r="HUV20" s="2185"/>
      <c r="HUW20" s="16"/>
      <c r="HUX20" s="2185"/>
      <c r="HUY20" s="16"/>
      <c r="HUZ20" s="2185"/>
      <c r="HVA20" s="16"/>
      <c r="HVB20" s="2185"/>
      <c r="HVC20" s="16"/>
      <c r="HVD20" s="2185"/>
      <c r="HVE20" s="16"/>
      <c r="HVF20" s="2185"/>
      <c r="HVG20" s="16"/>
      <c r="HVH20" s="2185"/>
      <c r="HVI20" s="16"/>
      <c r="HVJ20" s="2185"/>
      <c r="HVK20" s="16"/>
      <c r="HVL20" s="2185"/>
      <c r="HVM20" s="16"/>
      <c r="HVN20" s="2185"/>
      <c r="HVO20" s="16"/>
      <c r="HVP20" s="2185"/>
      <c r="HVQ20" s="16"/>
      <c r="HVR20" s="2185"/>
      <c r="HVS20" s="16"/>
      <c r="HVT20" s="2185"/>
      <c r="HVU20" s="16"/>
      <c r="HVV20" s="2185"/>
      <c r="HVW20" s="16"/>
      <c r="HVX20" s="2185"/>
      <c r="HVY20" s="16"/>
      <c r="HVZ20" s="2185"/>
      <c r="HWA20" s="16"/>
      <c r="HWB20" s="2185"/>
      <c r="HWC20" s="16"/>
      <c r="HWD20" s="2185"/>
      <c r="HWE20" s="16"/>
      <c r="HWF20" s="2185"/>
      <c r="HWG20" s="16"/>
      <c r="HWH20" s="2185"/>
      <c r="HWI20" s="16"/>
      <c r="HWJ20" s="2185"/>
      <c r="HWK20" s="16"/>
      <c r="HWL20" s="2185"/>
      <c r="HWM20" s="16"/>
      <c r="HWN20" s="2185"/>
      <c r="HWO20" s="16"/>
      <c r="HWP20" s="2185"/>
      <c r="HWQ20" s="16"/>
      <c r="HWR20" s="2185"/>
      <c r="HWS20" s="16"/>
      <c r="HWT20" s="2185"/>
      <c r="HWU20" s="16"/>
      <c r="HWV20" s="2185"/>
      <c r="HWW20" s="16"/>
      <c r="HWX20" s="2185"/>
      <c r="HWY20" s="16"/>
      <c r="HWZ20" s="2185"/>
      <c r="HXA20" s="16"/>
      <c r="HXB20" s="2185"/>
      <c r="HXC20" s="16"/>
      <c r="HXD20" s="2185"/>
      <c r="HXE20" s="16"/>
      <c r="HXF20" s="2185"/>
      <c r="HXG20" s="16"/>
      <c r="HXH20" s="2185"/>
      <c r="HXI20" s="16"/>
      <c r="HXJ20" s="2185"/>
      <c r="HXK20" s="16"/>
      <c r="HXL20" s="2185"/>
      <c r="HXM20" s="16"/>
      <c r="HXN20" s="2185"/>
      <c r="HXO20" s="16"/>
      <c r="HXP20" s="2185"/>
      <c r="HXQ20" s="16"/>
      <c r="HXR20" s="2185"/>
      <c r="HXS20" s="16"/>
      <c r="HXT20" s="2185"/>
      <c r="HXU20" s="16"/>
      <c r="HXV20" s="2185"/>
      <c r="HXW20" s="16"/>
      <c r="HXX20" s="2185"/>
      <c r="HXY20" s="16"/>
      <c r="HXZ20" s="2185"/>
      <c r="HYA20" s="16"/>
      <c r="HYB20" s="2185"/>
      <c r="HYC20" s="16"/>
      <c r="HYD20" s="2185"/>
      <c r="HYE20" s="16"/>
      <c r="HYF20" s="2185"/>
      <c r="HYG20" s="16"/>
      <c r="HYH20" s="2185"/>
      <c r="HYI20" s="16"/>
      <c r="HYJ20" s="2185"/>
      <c r="HYK20" s="16"/>
      <c r="HYL20" s="2185"/>
      <c r="HYM20" s="16"/>
      <c r="HYN20" s="2185"/>
      <c r="HYO20" s="16"/>
      <c r="HYP20" s="2185"/>
      <c r="HYQ20" s="16"/>
      <c r="HYR20" s="2185"/>
      <c r="HYS20" s="16"/>
      <c r="HYT20" s="2185"/>
      <c r="HYU20" s="16"/>
      <c r="HYV20" s="2185"/>
      <c r="HYW20" s="16"/>
      <c r="HYX20" s="2185"/>
      <c r="HYY20" s="16"/>
      <c r="HYZ20" s="2185"/>
      <c r="HZA20" s="16"/>
      <c r="HZB20" s="2185"/>
      <c r="HZC20" s="16"/>
      <c r="HZD20" s="2185"/>
      <c r="HZE20" s="16"/>
      <c r="HZF20" s="2185"/>
      <c r="HZG20" s="16"/>
      <c r="HZH20" s="2185"/>
      <c r="HZI20" s="16"/>
      <c r="HZJ20" s="2185"/>
      <c r="HZK20" s="16"/>
      <c r="HZL20" s="2185"/>
      <c r="HZM20" s="16"/>
      <c r="HZN20" s="2185"/>
      <c r="HZO20" s="16"/>
      <c r="HZP20" s="2185"/>
      <c r="HZQ20" s="16"/>
      <c r="HZR20" s="2185"/>
      <c r="HZS20" s="16"/>
      <c r="HZT20" s="2185"/>
      <c r="HZU20" s="16"/>
      <c r="HZV20" s="2185"/>
      <c r="HZW20" s="16"/>
      <c r="HZX20" s="2185"/>
      <c r="HZY20" s="16"/>
      <c r="HZZ20" s="2185"/>
      <c r="IAA20" s="16"/>
      <c r="IAB20" s="2185"/>
      <c r="IAC20" s="16"/>
      <c r="IAD20" s="2185"/>
      <c r="IAE20" s="16"/>
      <c r="IAF20" s="2185"/>
      <c r="IAG20" s="16"/>
      <c r="IAH20" s="2185"/>
      <c r="IAI20" s="16"/>
      <c r="IAJ20" s="2185"/>
      <c r="IAK20" s="16"/>
      <c r="IAL20" s="2185"/>
      <c r="IAM20" s="16"/>
      <c r="IAN20" s="2185"/>
      <c r="IAO20" s="16"/>
      <c r="IAP20" s="2185"/>
      <c r="IAQ20" s="16"/>
      <c r="IAR20" s="2185"/>
      <c r="IAS20" s="16"/>
      <c r="IAT20" s="2185"/>
      <c r="IAU20" s="16"/>
      <c r="IAV20" s="2185"/>
      <c r="IAW20" s="16"/>
      <c r="IAX20" s="2185"/>
      <c r="IAY20" s="16"/>
      <c r="IAZ20" s="2185"/>
      <c r="IBA20" s="16"/>
      <c r="IBB20" s="2185"/>
      <c r="IBC20" s="16"/>
      <c r="IBD20" s="2185"/>
      <c r="IBE20" s="16"/>
      <c r="IBF20" s="2185"/>
      <c r="IBG20" s="16"/>
      <c r="IBH20" s="2185"/>
      <c r="IBI20" s="16"/>
      <c r="IBJ20" s="2185"/>
      <c r="IBK20" s="16"/>
      <c r="IBL20" s="2185"/>
      <c r="IBM20" s="16"/>
      <c r="IBN20" s="2185"/>
      <c r="IBO20" s="16"/>
      <c r="IBP20" s="2185"/>
      <c r="IBQ20" s="16"/>
      <c r="IBR20" s="2185"/>
      <c r="IBS20" s="16"/>
      <c r="IBT20" s="2185"/>
      <c r="IBU20" s="16"/>
      <c r="IBV20" s="2185"/>
      <c r="IBW20" s="16"/>
      <c r="IBX20" s="2185"/>
      <c r="IBY20" s="16"/>
      <c r="IBZ20" s="2185"/>
      <c r="ICA20" s="16"/>
      <c r="ICB20" s="2185"/>
      <c r="ICC20" s="16"/>
      <c r="ICD20" s="2185"/>
      <c r="ICE20" s="16"/>
      <c r="ICF20" s="2185"/>
      <c r="ICG20" s="16"/>
      <c r="ICH20" s="2185"/>
      <c r="ICI20" s="16"/>
      <c r="ICJ20" s="2185"/>
      <c r="ICK20" s="16"/>
      <c r="ICL20" s="2185"/>
      <c r="ICM20" s="16"/>
      <c r="ICN20" s="2185"/>
      <c r="ICO20" s="16"/>
      <c r="ICP20" s="2185"/>
      <c r="ICQ20" s="16"/>
      <c r="ICR20" s="2185"/>
      <c r="ICS20" s="16"/>
      <c r="ICT20" s="2185"/>
      <c r="ICU20" s="16"/>
      <c r="ICV20" s="2185"/>
      <c r="ICW20" s="16"/>
      <c r="ICX20" s="2185"/>
      <c r="ICY20" s="16"/>
      <c r="ICZ20" s="2185"/>
      <c r="IDA20" s="16"/>
      <c r="IDB20" s="2185"/>
      <c r="IDC20" s="16"/>
      <c r="IDD20" s="2185"/>
      <c r="IDE20" s="16"/>
      <c r="IDF20" s="2185"/>
      <c r="IDG20" s="16"/>
      <c r="IDH20" s="2185"/>
      <c r="IDI20" s="16"/>
      <c r="IDJ20" s="2185"/>
      <c r="IDK20" s="16"/>
      <c r="IDL20" s="2185"/>
      <c r="IDM20" s="16"/>
      <c r="IDN20" s="2185"/>
      <c r="IDO20" s="16"/>
      <c r="IDP20" s="2185"/>
      <c r="IDQ20" s="16"/>
      <c r="IDR20" s="2185"/>
      <c r="IDS20" s="16"/>
      <c r="IDT20" s="2185"/>
      <c r="IDU20" s="16"/>
      <c r="IDV20" s="2185"/>
      <c r="IDW20" s="16"/>
      <c r="IDX20" s="2185"/>
      <c r="IDY20" s="16"/>
      <c r="IDZ20" s="2185"/>
      <c r="IEA20" s="16"/>
      <c r="IEB20" s="2185"/>
      <c r="IEC20" s="16"/>
      <c r="IED20" s="2185"/>
      <c r="IEE20" s="16"/>
      <c r="IEF20" s="2185"/>
      <c r="IEG20" s="16"/>
      <c r="IEH20" s="2185"/>
      <c r="IEI20" s="16"/>
      <c r="IEJ20" s="2185"/>
      <c r="IEK20" s="16"/>
      <c r="IEL20" s="2185"/>
      <c r="IEM20" s="16"/>
      <c r="IEN20" s="2185"/>
      <c r="IEO20" s="16"/>
      <c r="IEP20" s="2185"/>
      <c r="IEQ20" s="16"/>
      <c r="IER20" s="2185"/>
      <c r="IES20" s="16"/>
      <c r="IET20" s="2185"/>
      <c r="IEU20" s="16"/>
      <c r="IEV20" s="2185"/>
      <c r="IEW20" s="16"/>
      <c r="IEX20" s="2185"/>
      <c r="IEY20" s="16"/>
      <c r="IEZ20" s="2185"/>
      <c r="IFA20" s="16"/>
      <c r="IFB20" s="2185"/>
      <c r="IFC20" s="16"/>
      <c r="IFD20" s="2185"/>
      <c r="IFE20" s="16"/>
      <c r="IFF20" s="2185"/>
      <c r="IFG20" s="16"/>
      <c r="IFH20" s="2185"/>
      <c r="IFI20" s="16"/>
      <c r="IFJ20" s="2185"/>
      <c r="IFK20" s="16"/>
      <c r="IFL20" s="2185"/>
      <c r="IFM20" s="16"/>
      <c r="IFN20" s="2185"/>
      <c r="IFO20" s="16"/>
      <c r="IFP20" s="2185"/>
      <c r="IFQ20" s="16"/>
      <c r="IFR20" s="2185"/>
      <c r="IFS20" s="16"/>
      <c r="IFT20" s="2185"/>
      <c r="IFU20" s="16"/>
      <c r="IFV20" s="2185"/>
      <c r="IFW20" s="16"/>
      <c r="IFX20" s="2185"/>
      <c r="IFY20" s="16"/>
      <c r="IFZ20" s="2185"/>
      <c r="IGA20" s="16"/>
      <c r="IGB20" s="2185"/>
      <c r="IGC20" s="16"/>
      <c r="IGD20" s="2185"/>
      <c r="IGE20" s="16"/>
      <c r="IGF20" s="2185"/>
      <c r="IGG20" s="16"/>
      <c r="IGH20" s="2185"/>
      <c r="IGI20" s="16"/>
      <c r="IGJ20" s="2185"/>
      <c r="IGK20" s="16"/>
      <c r="IGL20" s="2185"/>
      <c r="IGM20" s="16"/>
      <c r="IGN20" s="2185"/>
      <c r="IGO20" s="16"/>
      <c r="IGP20" s="2185"/>
      <c r="IGQ20" s="16"/>
      <c r="IGR20" s="2185"/>
      <c r="IGS20" s="16"/>
      <c r="IGT20" s="2185"/>
      <c r="IGU20" s="16"/>
      <c r="IGV20" s="2185"/>
      <c r="IGW20" s="16"/>
      <c r="IGX20" s="2185"/>
      <c r="IGY20" s="16"/>
      <c r="IGZ20" s="2185"/>
      <c r="IHA20" s="16"/>
      <c r="IHB20" s="2185"/>
      <c r="IHC20" s="16"/>
      <c r="IHD20" s="2185"/>
      <c r="IHE20" s="16"/>
      <c r="IHF20" s="2185"/>
      <c r="IHG20" s="16"/>
      <c r="IHH20" s="2185"/>
      <c r="IHI20" s="16"/>
      <c r="IHJ20" s="2185"/>
      <c r="IHK20" s="16"/>
      <c r="IHL20" s="2185"/>
      <c r="IHM20" s="16"/>
      <c r="IHN20" s="2185"/>
      <c r="IHO20" s="16"/>
      <c r="IHP20" s="2185"/>
      <c r="IHQ20" s="16"/>
      <c r="IHR20" s="2185"/>
      <c r="IHS20" s="16"/>
      <c r="IHT20" s="2185"/>
      <c r="IHU20" s="16"/>
      <c r="IHV20" s="2185"/>
      <c r="IHW20" s="16"/>
      <c r="IHX20" s="2185"/>
      <c r="IHY20" s="16"/>
      <c r="IHZ20" s="2185"/>
      <c r="IIA20" s="16"/>
      <c r="IIB20" s="2185"/>
      <c r="IIC20" s="16"/>
      <c r="IID20" s="2185"/>
      <c r="IIE20" s="16"/>
      <c r="IIF20" s="2185"/>
      <c r="IIG20" s="16"/>
      <c r="IIH20" s="2185"/>
      <c r="III20" s="16"/>
      <c r="IIJ20" s="2185"/>
      <c r="IIK20" s="16"/>
      <c r="IIL20" s="2185"/>
      <c r="IIM20" s="16"/>
      <c r="IIN20" s="2185"/>
      <c r="IIO20" s="16"/>
      <c r="IIP20" s="2185"/>
      <c r="IIQ20" s="16"/>
      <c r="IIR20" s="2185"/>
      <c r="IIS20" s="16"/>
      <c r="IIT20" s="2185"/>
      <c r="IIU20" s="16"/>
      <c r="IIV20" s="2185"/>
      <c r="IIW20" s="16"/>
      <c r="IIX20" s="2185"/>
      <c r="IIY20" s="16"/>
      <c r="IIZ20" s="2185"/>
      <c r="IJA20" s="16"/>
      <c r="IJB20" s="2185"/>
      <c r="IJC20" s="16"/>
      <c r="IJD20" s="2185"/>
      <c r="IJE20" s="16"/>
      <c r="IJF20" s="2185"/>
      <c r="IJG20" s="16"/>
      <c r="IJH20" s="2185"/>
      <c r="IJI20" s="16"/>
      <c r="IJJ20" s="2185"/>
      <c r="IJK20" s="16"/>
      <c r="IJL20" s="2185"/>
      <c r="IJM20" s="16"/>
      <c r="IJN20" s="2185"/>
      <c r="IJO20" s="16"/>
      <c r="IJP20" s="2185"/>
      <c r="IJQ20" s="16"/>
      <c r="IJR20" s="2185"/>
      <c r="IJS20" s="16"/>
      <c r="IJT20" s="2185"/>
      <c r="IJU20" s="16"/>
      <c r="IJV20" s="2185"/>
      <c r="IJW20" s="16"/>
      <c r="IJX20" s="2185"/>
      <c r="IJY20" s="16"/>
      <c r="IJZ20" s="2185"/>
      <c r="IKA20" s="16"/>
      <c r="IKB20" s="2185"/>
      <c r="IKC20" s="16"/>
      <c r="IKD20" s="2185"/>
      <c r="IKE20" s="16"/>
      <c r="IKF20" s="2185"/>
      <c r="IKG20" s="16"/>
      <c r="IKH20" s="2185"/>
      <c r="IKI20" s="16"/>
      <c r="IKJ20" s="2185"/>
      <c r="IKK20" s="16"/>
      <c r="IKL20" s="2185"/>
      <c r="IKM20" s="16"/>
      <c r="IKN20" s="2185"/>
      <c r="IKO20" s="16"/>
      <c r="IKP20" s="2185"/>
      <c r="IKQ20" s="16"/>
      <c r="IKR20" s="2185"/>
      <c r="IKS20" s="16"/>
      <c r="IKT20" s="2185"/>
      <c r="IKU20" s="16"/>
      <c r="IKV20" s="2185"/>
      <c r="IKW20" s="16"/>
      <c r="IKX20" s="2185"/>
      <c r="IKY20" s="16"/>
      <c r="IKZ20" s="2185"/>
      <c r="ILA20" s="16"/>
      <c r="ILB20" s="2185"/>
      <c r="ILC20" s="16"/>
      <c r="ILD20" s="2185"/>
      <c r="ILE20" s="16"/>
      <c r="ILF20" s="2185"/>
      <c r="ILG20" s="16"/>
      <c r="ILH20" s="2185"/>
      <c r="ILI20" s="16"/>
      <c r="ILJ20" s="2185"/>
      <c r="ILK20" s="16"/>
      <c r="ILL20" s="2185"/>
      <c r="ILM20" s="16"/>
      <c r="ILN20" s="2185"/>
      <c r="ILO20" s="16"/>
      <c r="ILP20" s="2185"/>
      <c r="ILQ20" s="16"/>
      <c r="ILR20" s="2185"/>
      <c r="ILS20" s="16"/>
      <c r="ILT20" s="2185"/>
      <c r="ILU20" s="16"/>
      <c r="ILV20" s="2185"/>
      <c r="ILW20" s="16"/>
      <c r="ILX20" s="2185"/>
      <c r="ILY20" s="16"/>
      <c r="ILZ20" s="2185"/>
      <c r="IMA20" s="16"/>
      <c r="IMB20" s="2185"/>
      <c r="IMC20" s="16"/>
      <c r="IMD20" s="2185"/>
      <c r="IME20" s="16"/>
      <c r="IMF20" s="2185"/>
      <c r="IMG20" s="16"/>
      <c r="IMH20" s="2185"/>
      <c r="IMI20" s="16"/>
      <c r="IMJ20" s="2185"/>
      <c r="IMK20" s="16"/>
      <c r="IML20" s="2185"/>
      <c r="IMM20" s="16"/>
      <c r="IMN20" s="2185"/>
      <c r="IMO20" s="16"/>
      <c r="IMP20" s="2185"/>
      <c r="IMQ20" s="16"/>
      <c r="IMR20" s="2185"/>
      <c r="IMS20" s="16"/>
      <c r="IMT20" s="2185"/>
      <c r="IMU20" s="16"/>
      <c r="IMV20" s="2185"/>
      <c r="IMW20" s="16"/>
      <c r="IMX20" s="2185"/>
      <c r="IMY20" s="16"/>
      <c r="IMZ20" s="2185"/>
      <c r="INA20" s="16"/>
      <c r="INB20" s="2185"/>
      <c r="INC20" s="16"/>
      <c r="IND20" s="2185"/>
      <c r="INE20" s="16"/>
      <c r="INF20" s="2185"/>
      <c r="ING20" s="16"/>
      <c r="INH20" s="2185"/>
      <c r="INI20" s="16"/>
      <c r="INJ20" s="2185"/>
      <c r="INK20" s="16"/>
      <c r="INL20" s="2185"/>
      <c r="INM20" s="16"/>
      <c r="INN20" s="2185"/>
      <c r="INO20" s="16"/>
      <c r="INP20" s="2185"/>
      <c r="INQ20" s="16"/>
      <c r="INR20" s="2185"/>
      <c r="INS20" s="16"/>
      <c r="INT20" s="2185"/>
      <c r="INU20" s="16"/>
      <c r="INV20" s="2185"/>
      <c r="INW20" s="16"/>
      <c r="INX20" s="2185"/>
      <c r="INY20" s="16"/>
      <c r="INZ20" s="2185"/>
      <c r="IOA20" s="16"/>
      <c r="IOB20" s="2185"/>
      <c r="IOC20" s="16"/>
      <c r="IOD20" s="2185"/>
      <c r="IOE20" s="16"/>
      <c r="IOF20" s="2185"/>
      <c r="IOG20" s="16"/>
      <c r="IOH20" s="2185"/>
      <c r="IOI20" s="16"/>
      <c r="IOJ20" s="2185"/>
      <c r="IOK20" s="16"/>
      <c r="IOL20" s="2185"/>
      <c r="IOM20" s="16"/>
      <c r="ION20" s="2185"/>
      <c r="IOO20" s="16"/>
      <c r="IOP20" s="2185"/>
      <c r="IOQ20" s="16"/>
      <c r="IOR20" s="2185"/>
      <c r="IOS20" s="16"/>
      <c r="IOT20" s="2185"/>
      <c r="IOU20" s="16"/>
      <c r="IOV20" s="2185"/>
      <c r="IOW20" s="16"/>
      <c r="IOX20" s="2185"/>
      <c r="IOY20" s="16"/>
      <c r="IOZ20" s="2185"/>
      <c r="IPA20" s="16"/>
      <c r="IPB20" s="2185"/>
      <c r="IPC20" s="16"/>
      <c r="IPD20" s="2185"/>
      <c r="IPE20" s="16"/>
      <c r="IPF20" s="2185"/>
      <c r="IPG20" s="16"/>
      <c r="IPH20" s="2185"/>
      <c r="IPI20" s="16"/>
      <c r="IPJ20" s="2185"/>
      <c r="IPK20" s="16"/>
      <c r="IPL20" s="2185"/>
      <c r="IPM20" s="16"/>
      <c r="IPN20" s="2185"/>
      <c r="IPO20" s="16"/>
      <c r="IPP20" s="2185"/>
      <c r="IPQ20" s="16"/>
      <c r="IPR20" s="2185"/>
      <c r="IPS20" s="16"/>
      <c r="IPT20" s="2185"/>
      <c r="IPU20" s="16"/>
      <c r="IPV20" s="2185"/>
      <c r="IPW20" s="16"/>
      <c r="IPX20" s="2185"/>
      <c r="IPY20" s="16"/>
      <c r="IPZ20" s="2185"/>
      <c r="IQA20" s="16"/>
      <c r="IQB20" s="2185"/>
      <c r="IQC20" s="16"/>
      <c r="IQD20" s="2185"/>
      <c r="IQE20" s="16"/>
      <c r="IQF20" s="2185"/>
      <c r="IQG20" s="16"/>
      <c r="IQH20" s="2185"/>
      <c r="IQI20" s="16"/>
      <c r="IQJ20" s="2185"/>
      <c r="IQK20" s="16"/>
      <c r="IQL20" s="2185"/>
      <c r="IQM20" s="16"/>
      <c r="IQN20" s="2185"/>
      <c r="IQO20" s="16"/>
      <c r="IQP20" s="2185"/>
      <c r="IQQ20" s="16"/>
      <c r="IQR20" s="2185"/>
      <c r="IQS20" s="16"/>
      <c r="IQT20" s="2185"/>
      <c r="IQU20" s="16"/>
      <c r="IQV20" s="2185"/>
      <c r="IQW20" s="16"/>
      <c r="IQX20" s="2185"/>
      <c r="IQY20" s="16"/>
      <c r="IQZ20" s="2185"/>
      <c r="IRA20" s="16"/>
      <c r="IRB20" s="2185"/>
      <c r="IRC20" s="16"/>
      <c r="IRD20" s="2185"/>
      <c r="IRE20" s="16"/>
      <c r="IRF20" s="2185"/>
      <c r="IRG20" s="16"/>
      <c r="IRH20" s="2185"/>
      <c r="IRI20" s="16"/>
      <c r="IRJ20" s="2185"/>
      <c r="IRK20" s="16"/>
      <c r="IRL20" s="2185"/>
      <c r="IRM20" s="16"/>
      <c r="IRN20" s="2185"/>
      <c r="IRO20" s="16"/>
      <c r="IRP20" s="2185"/>
      <c r="IRQ20" s="16"/>
      <c r="IRR20" s="2185"/>
      <c r="IRS20" s="16"/>
      <c r="IRT20" s="2185"/>
      <c r="IRU20" s="16"/>
      <c r="IRV20" s="2185"/>
      <c r="IRW20" s="16"/>
      <c r="IRX20" s="2185"/>
      <c r="IRY20" s="16"/>
      <c r="IRZ20" s="2185"/>
      <c r="ISA20" s="16"/>
      <c r="ISB20" s="2185"/>
      <c r="ISC20" s="16"/>
      <c r="ISD20" s="2185"/>
      <c r="ISE20" s="16"/>
      <c r="ISF20" s="2185"/>
      <c r="ISG20" s="16"/>
      <c r="ISH20" s="2185"/>
      <c r="ISI20" s="16"/>
      <c r="ISJ20" s="2185"/>
      <c r="ISK20" s="16"/>
      <c r="ISL20" s="2185"/>
      <c r="ISM20" s="16"/>
      <c r="ISN20" s="2185"/>
      <c r="ISO20" s="16"/>
      <c r="ISP20" s="2185"/>
      <c r="ISQ20" s="16"/>
      <c r="ISR20" s="2185"/>
      <c r="ISS20" s="16"/>
      <c r="IST20" s="2185"/>
      <c r="ISU20" s="16"/>
      <c r="ISV20" s="2185"/>
      <c r="ISW20" s="16"/>
      <c r="ISX20" s="2185"/>
      <c r="ISY20" s="16"/>
      <c r="ISZ20" s="2185"/>
      <c r="ITA20" s="16"/>
      <c r="ITB20" s="2185"/>
      <c r="ITC20" s="16"/>
      <c r="ITD20" s="2185"/>
      <c r="ITE20" s="16"/>
      <c r="ITF20" s="2185"/>
      <c r="ITG20" s="16"/>
      <c r="ITH20" s="2185"/>
      <c r="ITI20" s="16"/>
      <c r="ITJ20" s="2185"/>
      <c r="ITK20" s="16"/>
      <c r="ITL20" s="2185"/>
      <c r="ITM20" s="16"/>
      <c r="ITN20" s="2185"/>
      <c r="ITO20" s="16"/>
      <c r="ITP20" s="2185"/>
      <c r="ITQ20" s="16"/>
      <c r="ITR20" s="2185"/>
      <c r="ITS20" s="16"/>
      <c r="ITT20" s="2185"/>
      <c r="ITU20" s="16"/>
      <c r="ITV20" s="2185"/>
      <c r="ITW20" s="16"/>
      <c r="ITX20" s="2185"/>
      <c r="ITY20" s="16"/>
      <c r="ITZ20" s="2185"/>
      <c r="IUA20" s="16"/>
      <c r="IUB20" s="2185"/>
      <c r="IUC20" s="16"/>
      <c r="IUD20" s="2185"/>
      <c r="IUE20" s="16"/>
      <c r="IUF20" s="2185"/>
      <c r="IUG20" s="16"/>
      <c r="IUH20" s="2185"/>
      <c r="IUI20" s="16"/>
      <c r="IUJ20" s="2185"/>
      <c r="IUK20" s="16"/>
      <c r="IUL20" s="2185"/>
      <c r="IUM20" s="16"/>
      <c r="IUN20" s="2185"/>
      <c r="IUO20" s="16"/>
      <c r="IUP20" s="2185"/>
      <c r="IUQ20" s="16"/>
      <c r="IUR20" s="2185"/>
      <c r="IUS20" s="16"/>
      <c r="IUT20" s="2185"/>
      <c r="IUU20" s="16"/>
      <c r="IUV20" s="2185"/>
      <c r="IUW20" s="16"/>
      <c r="IUX20" s="2185"/>
      <c r="IUY20" s="16"/>
      <c r="IUZ20" s="2185"/>
      <c r="IVA20" s="16"/>
      <c r="IVB20" s="2185"/>
      <c r="IVC20" s="16"/>
      <c r="IVD20" s="2185"/>
      <c r="IVE20" s="16"/>
      <c r="IVF20" s="2185"/>
      <c r="IVG20" s="16"/>
      <c r="IVH20" s="2185"/>
      <c r="IVI20" s="16"/>
      <c r="IVJ20" s="2185"/>
      <c r="IVK20" s="16"/>
      <c r="IVL20" s="2185"/>
      <c r="IVM20" s="16"/>
      <c r="IVN20" s="2185"/>
      <c r="IVO20" s="16"/>
      <c r="IVP20" s="2185"/>
      <c r="IVQ20" s="16"/>
      <c r="IVR20" s="2185"/>
      <c r="IVS20" s="16"/>
      <c r="IVT20" s="2185"/>
      <c r="IVU20" s="16"/>
      <c r="IVV20" s="2185"/>
      <c r="IVW20" s="16"/>
      <c r="IVX20" s="2185"/>
      <c r="IVY20" s="16"/>
      <c r="IVZ20" s="2185"/>
      <c r="IWA20" s="16"/>
      <c r="IWB20" s="2185"/>
      <c r="IWC20" s="16"/>
      <c r="IWD20" s="2185"/>
      <c r="IWE20" s="16"/>
      <c r="IWF20" s="2185"/>
      <c r="IWG20" s="16"/>
      <c r="IWH20" s="2185"/>
      <c r="IWI20" s="16"/>
      <c r="IWJ20" s="2185"/>
      <c r="IWK20" s="16"/>
      <c r="IWL20" s="2185"/>
      <c r="IWM20" s="16"/>
      <c r="IWN20" s="2185"/>
      <c r="IWO20" s="16"/>
      <c r="IWP20" s="2185"/>
      <c r="IWQ20" s="16"/>
      <c r="IWR20" s="2185"/>
      <c r="IWS20" s="16"/>
      <c r="IWT20" s="2185"/>
      <c r="IWU20" s="16"/>
      <c r="IWV20" s="2185"/>
      <c r="IWW20" s="16"/>
      <c r="IWX20" s="2185"/>
      <c r="IWY20" s="16"/>
      <c r="IWZ20" s="2185"/>
      <c r="IXA20" s="16"/>
      <c r="IXB20" s="2185"/>
      <c r="IXC20" s="16"/>
      <c r="IXD20" s="2185"/>
      <c r="IXE20" s="16"/>
      <c r="IXF20" s="2185"/>
      <c r="IXG20" s="16"/>
      <c r="IXH20" s="2185"/>
      <c r="IXI20" s="16"/>
      <c r="IXJ20" s="2185"/>
      <c r="IXK20" s="16"/>
      <c r="IXL20" s="2185"/>
      <c r="IXM20" s="16"/>
      <c r="IXN20" s="2185"/>
      <c r="IXO20" s="16"/>
      <c r="IXP20" s="2185"/>
      <c r="IXQ20" s="16"/>
      <c r="IXR20" s="2185"/>
      <c r="IXS20" s="16"/>
      <c r="IXT20" s="2185"/>
      <c r="IXU20" s="16"/>
      <c r="IXV20" s="2185"/>
      <c r="IXW20" s="16"/>
      <c r="IXX20" s="2185"/>
      <c r="IXY20" s="16"/>
      <c r="IXZ20" s="2185"/>
      <c r="IYA20" s="16"/>
      <c r="IYB20" s="2185"/>
      <c r="IYC20" s="16"/>
      <c r="IYD20" s="2185"/>
      <c r="IYE20" s="16"/>
      <c r="IYF20" s="2185"/>
      <c r="IYG20" s="16"/>
      <c r="IYH20" s="2185"/>
      <c r="IYI20" s="16"/>
      <c r="IYJ20" s="2185"/>
      <c r="IYK20" s="16"/>
      <c r="IYL20" s="2185"/>
      <c r="IYM20" s="16"/>
      <c r="IYN20" s="2185"/>
      <c r="IYO20" s="16"/>
      <c r="IYP20" s="2185"/>
      <c r="IYQ20" s="16"/>
      <c r="IYR20" s="2185"/>
      <c r="IYS20" s="16"/>
      <c r="IYT20" s="2185"/>
      <c r="IYU20" s="16"/>
      <c r="IYV20" s="2185"/>
      <c r="IYW20" s="16"/>
      <c r="IYX20" s="2185"/>
      <c r="IYY20" s="16"/>
      <c r="IYZ20" s="2185"/>
      <c r="IZA20" s="16"/>
      <c r="IZB20" s="2185"/>
      <c r="IZC20" s="16"/>
      <c r="IZD20" s="2185"/>
      <c r="IZE20" s="16"/>
      <c r="IZF20" s="2185"/>
      <c r="IZG20" s="16"/>
      <c r="IZH20" s="2185"/>
      <c r="IZI20" s="16"/>
      <c r="IZJ20" s="2185"/>
      <c r="IZK20" s="16"/>
      <c r="IZL20" s="2185"/>
      <c r="IZM20" s="16"/>
      <c r="IZN20" s="2185"/>
      <c r="IZO20" s="16"/>
      <c r="IZP20" s="2185"/>
      <c r="IZQ20" s="16"/>
      <c r="IZR20" s="2185"/>
      <c r="IZS20" s="16"/>
      <c r="IZT20" s="2185"/>
      <c r="IZU20" s="16"/>
      <c r="IZV20" s="2185"/>
      <c r="IZW20" s="16"/>
      <c r="IZX20" s="2185"/>
      <c r="IZY20" s="16"/>
      <c r="IZZ20" s="2185"/>
      <c r="JAA20" s="16"/>
      <c r="JAB20" s="2185"/>
      <c r="JAC20" s="16"/>
      <c r="JAD20" s="2185"/>
      <c r="JAE20" s="16"/>
      <c r="JAF20" s="2185"/>
      <c r="JAG20" s="16"/>
      <c r="JAH20" s="2185"/>
      <c r="JAI20" s="16"/>
      <c r="JAJ20" s="2185"/>
      <c r="JAK20" s="16"/>
      <c r="JAL20" s="2185"/>
      <c r="JAM20" s="16"/>
      <c r="JAN20" s="2185"/>
      <c r="JAO20" s="16"/>
      <c r="JAP20" s="2185"/>
      <c r="JAQ20" s="16"/>
      <c r="JAR20" s="2185"/>
      <c r="JAS20" s="16"/>
      <c r="JAT20" s="2185"/>
      <c r="JAU20" s="16"/>
      <c r="JAV20" s="2185"/>
      <c r="JAW20" s="16"/>
      <c r="JAX20" s="2185"/>
      <c r="JAY20" s="16"/>
      <c r="JAZ20" s="2185"/>
      <c r="JBA20" s="16"/>
      <c r="JBB20" s="2185"/>
      <c r="JBC20" s="16"/>
      <c r="JBD20" s="2185"/>
      <c r="JBE20" s="16"/>
      <c r="JBF20" s="2185"/>
      <c r="JBG20" s="16"/>
      <c r="JBH20" s="2185"/>
      <c r="JBI20" s="16"/>
      <c r="JBJ20" s="2185"/>
      <c r="JBK20" s="16"/>
      <c r="JBL20" s="2185"/>
      <c r="JBM20" s="16"/>
      <c r="JBN20" s="2185"/>
      <c r="JBO20" s="16"/>
      <c r="JBP20" s="2185"/>
      <c r="JBQ20" s="16"/>
      <c r="JBR20" s="2185"/>
      <c r="JBS20" s="16"/>
      <c r="JBT20" s="2185"/>
      <c r="JBU20" s="16"/>
      <c r="JBV20" s="2185"/>
      <c r="JBW20" s="16"/>
      <c r="JBX20" s="2185"/>
      <c r="JBY20" s="16"/>
      <c r="JBZ20" s="2185"/>
      <c r="JCA20" s="16"/>
      <c r="JCB20" s="2185"/>
      <c r="JCC20" s="16"/>
      <c r="JCD20" s="2185"/>
      <c r="JCE20" s="16"/>
      <c r="JCF20" s="2185"/>
      <c r="JCG20" s="16"/>
      <c r="JCH20" s="2185"/>
      <c r="JCI20" s="16"/>
      <c r="JCJ20" s="2185"/>
      <c r="JCK20" s="16"/>
      <c r="JCL20" s="2185"/>
      <c r="JCM20" s="16"/>
      <c r="JCN20" s="2185"/>
      <c r="JCO20" s="16"/>
      <c r="JCP20" s="2185"/>
      <c r="JCQ20" s="16"/>
      <c r="JCR20" s="2185"/>
      <c r="JCS20" s="16"/>
      <c r="JCT20" s="2185"/>
      <c r="JCU20" s="16"/>
      <c r="JCV20" s="2185"/>
      <c r="JCW20" s="16"/>
      <c r="JCX20" s="2185"/>
      <c r="JCY20" s="16"/>
      <c r="JCZ20" s="2185"/>
      <c r="JDA20" s="16"/>
      <c r="JDB20" s="2185"/>
      <c r="JDC20" s="16"/>
      <c r="JDD20" s="2185"/>
      <c r="JDE20" s="16"/>
      <c r="JDF20" s="2185"/>
      <c r="JDG20" s="16"/>
      <c r="JDH20" s="2185"/>
      <c r="JDI20" s="16"/>
      <c r="JDJ20" s="2185"/>
      <c r="JDK20" s="16"/>
      <c r="JDL20" s="2185"/>
      <c r="JDM20" s="16"/>
      <c r="JDN20" s="2185"/>
      <c r="JDO20" s="16"/>
      <c r="JDP20" s="2185"/>
      <c r="JDQ20" s="16"/>
      <c r="JDR20" s="2185"/>
      <c r="JDS20" s="16"/>
      <c r="JDT20" s="2185"/>
      <c r="JDU20" s="16"/>
      <c r="JDV20" s="2185"/>
      <c r="JDW20" s="16"/>
      <c r="JDX20" s="2185"/>
      <c r="JDY20" s="16"/>
      <c r="JDZ20" s="2185"/>
      <c r="JEA20" s="16"/>
      <c r="JEB20" s="2185"/>
      <c r="JEC20" s="16"/>
      <c r="JED20" s="2185"/>
      <c r="JEE20" s="16"/>
      <c r="JEF20" s="2185"/>
      <c r="JEG20" s="16"/>
      <c r="JEH20" s="2185"/>
      <c r="JEI20" s="16"/>
      <c r="JEJ20" s="2185"/>
      <c r="JEK20" s="16"/>
      <c r="JEL20" s="2185"/>
      <c r="JEM20" s="16"/>
      <c r="JEN20" s="2185"/>
      <c r="JEO20" s="16"/>
      <c r="JEP20" s="2185"/>
      <c r="JEQ20" s="16"/>
      <c r="JER20" s="2185"/>
      <c r="JES20" s="16"/>
      <c r="JET20" s="2185"/>
      <c r="JEU20" s="16"/>
      <c r="JEV20" s="2185"/>
      <c r="JEW20" s="16"/>
      <c r="JEX20" s="2185"/>
      <c r="JEY20" s="16"/>
      <c r="JEZ20" s="2185"/>
      <c r="JFA20" s="16"/>
      <c r="JFB20" s="2185"/>
      <c r="JFC20" s="16"/>
      <c r="JFD20" s="2185"/>
      <c r="JFE20" s="16"/>
      <c r="JFF20" s="2185"/>
      <c r="JFG20" s="16"/>
      <c r="JFH20" s="2185"/>
      <c r="JFI20" s="16"/>
      <c r="JFJ20" s="2185"/>
      <c r="JFK20" s="16"/>
      <c r="JFL20" s="2185"/>
      <c r="JFM20" s="16"/>
      <c r="JFN20" s="2185"/>
      <c r="JFO20" s="16"/>
      <c r="JFP20" s="2185"/>
      <c r="JFQ20" s="16"/>
      <c r="JFR20" s="2185"/>
      <c r="JFS20" s="16"/>
      <c r="JFT20" s="2185"/>
      <c r="JFU20" s="16"/>
      <c r="JFV20" s="2185"/>
      <c r="JFW20" s="16"/>
      <c r="JFX20" s="2185"/>
      <c r="JFY20" s="16"/>
      <c r="JFZ20" s="2185"/>
      <c r="JGA20" s="16"/>
      <c r="JGB20" s="2185"/>
      <c r="JGC20" s="16"/>
      <c r="JGD20" s="2185"/>
      <c r="JGE20" s="16"/>
      <c r="JGF20" s="2185"/>
      <c r="JGG20" s="16"/>
      <c r="JGH20" s="2185"/>
      <c r="JGI20" s="16"/>
      <c r="JGJ20" s="2185"/>
      <c r="JGK20" s="16"/>
      <c r="JGL20" s="2185"/>
      <c r="JGM20" s="16"/>
      <c r="JGN20" s="2185"/>
      <c r="JGO20" s="16"/>
      <c r="JGP20" s="2185"/>
      <c r="JGQ20" s="16"/>
      <c r="JGR20" s="2185"/>
      <c r="JGS20" s="16"/>
      <c r="JGT20" s="2185"/>
      <c r="JGU20" s="16"/>
      <c r="JGV20" s="2185"/>
      <c r="JGW20" s="16"/>
      <c r="JGX20" s="2185"/>
      <c r="JGY20" s="16"/>
      <c r="JGZ20" s="2185"/>
      <c r="JHA20" s="16"/>
      <c r="JHB20" s="2185"/>
      <c r="JHC20" s="16"/>
      <c r="JHD20" s="2185"/>
      <c r="JHE20" s="16"/>
      <c r="JHF20" s="2185"/>
      <c r="JHG20" s="16"/>
      <c r="JHH20" s="2185"/>
      <c r="JHI20" s="16"/>
      <c r="JHJ20" s="2185"/>
      <c r="JHK20" s="16"/>
      <c r="JHL20" s="2185"/>
      <c r="JHM20" s="16"/>
      <c r="JHN20" s="2185"/>
      <c r="JHO20" s="16"/>
      <c r="JHP20" s="2185"/>
      <c r="JHQ20" s="16"/>
      <c r="JHR20" s="2185"/>
      <c r="JHS20" s="16"/>
      <c r="JHT20" s="2185"/>
      <c r="JHU20" s="16"/>
      <c r="JHV20" s="2185"/>
      <c r="JHW20" s="16"/>
      <c r="JHX20" s="2185"/>
      <c r="JHY20" s="16"/>
      <c r="JHZ20" s="2185"/>
      <c r="JIA20" s="16"/>
      <c r="JIB20" s="2185"/>
      <c r="JIC20" s="16"/>
      <c r="JID20" s="2185"/>
      <c r="JIE20" s="16"/>
      <c r="JIF20" s="2185"/>
      <c r="JIG20" s="16"/>
      <c r="JIH20" s="2185"/>
      <c r="JII20" s="16"/>
      <c r="JIJ20" s="2185"/>
      <c r="JIK20" s="16"/>
      <c r="JIL20" s="2185"/>
      <c r="JIM20" s="16"/>
      <c r="JIN20" s="2185"/>
      <c r="JIO20" s="16"/>
      <c r="JIP20" s="2185"/>
      <c r="JIQ20" s="16"/>
      <c r="JIR20" s="2185"/>
      <c r="JIS20" s="16"/>
      <c r="JIT20" s="2185"/>
      <c r="JIU20" s="16"/>
      <c r="JIV20" s="2185"/>
      <c r="JIW20" s="16"/>
      <c r="JIX20" s="2185"/>
      <c r="JIY20" s="16"/>
      <c r="JIZ20" s="2185"/>
      <c r="JJA20" s="16"/>
      <c r="JJB20" s="2185"/>
      <c r="JJC20" s="16"/>
      <c r="JJD20" s="2185"/>
      <c r="JJE20" s="16"/>
      <c r="JJF20" s="2185"/>
      <c r="JJG20" s="16"/>
      <c r="JJH20" s="2185"/>
      <c r="JJI20" s="16"/>
      <c r="JJJ20" s="2185"/>
      <c r="JJK20" s="16"/>
      <c r="JJL20" s="2185"/>
      <c r="JJM20" s="16"/>
      <c r="JJN20" s="2185"/>
      <c r="JJO20" s="16"/>
      <c r="JJP20" s="2185"/>
      <c r="JJQ20" s="16"/>
      <c r="JJR20" s="2185"/>
      <c r="JJS20" s="16"/>
      <c r="JJT20" s="2185"/>
      <c r="JJU20" s="16"/>
      <c r="JJV20" s="2185"/>
      <c r="JJW20" s="16"/>
      <c r="JJX20" s="2185"/>
      <c r="JJY20" s="16"/>
      <c r="JJZ20" s="2185"/>
      <c r="JKA20" s="16"/>
      <c r="JKB20" s="2185"/>
      <c r="JKC20" s="16"/>
      <c r="JKD20" s="2185"/>
      <c r="JKE20" s="16"/>
      <c r="JKF20" s="2185"/>
      <c r="JKG20" s="16"/>
      <c r="JKH20" s="2185"/>
      <c r="JKI20" s="16"/>
      <c r="JKJ20" s="2185"/>
      <c r="JKK20" s="16"/>
      <c r="JKL20" s="2185"/>
      <c r="JKM20" s="16"/>
      <c r="JKN20" s="2185"/>
      <c r="JKO20" s="16"/>
      <c r="JKP20" s="2185"/>
      <c r="JKQ20" s="16"/>
      <c r="JKR20" s="2185"/>
      <c r="JKS20" s="16"/>
      <c r="JKT20" s="2185"/>
      <c r="JKU20" s="16"/>
      <c r="JKV20" s="2185"/>
      <c r="JKW20" s="16"/>
      <c r="JKX20" s="2185"/>
      <c r="JKY20" s="16"/>
      <c r="JKZ20" s="2185"/>
      <c r="JLA20" s="16"/>
      <c r="JLB20" s="2185"/>
      <c r="JLC20" s="16"/>
      <c r="JLD20" s="2185"/>
      <c r="JLE20" s="16"/>
      <c r="JLF20" s="2185"/>
      <c r="JLG20" s="16"/>
      <c r="JLH20" s="2185"/>
      <c r="JLI20" s="16"/>
      <c r="JLJ20" s="2185"/>
      <c r="JLK20" s="16"/>
      <c r="JLL20" s="2185"/>
      <c r="JLM20" s="16"/>
      <c r="JLN20" s="2185"/>
      <c r="JLO20" s="16"/>
      <c r="JLP20" s="2185"/>
      <c r="JLQ20" s="16"/>
      <c r="JLR20" s="2185"/>
      <c r="JLS20" s="16"/>
      <c r="JLT20" s="2185"/>
      <c r="JLU20" s="16"/>
      <c r="JLV20" s="2185"/>
      <c r="JLW20" s="16"/>
      <c r="JLX20" s="2185"/>
      <c r="JLY20" s="16"/>
      <c r="JLZ20" s="2185"/>
      <c r="JMA20" s="16"/>
      <c r="JMB20" s="2185"/>
      <c r="JMC20" s="16"/>
      <c r="JMD20" s="2185"/>
      <c r="JME20" s="16"/>
      <c r="JMF20" s="2185"/>
      <c r="JMG20" s="16"/>
      <c r="JMH20" s="2185"/>
      <c r="JMI20" s="16"/>
      <c r="JMJ20" s="2185"/>
      <c r="JMK20" s="16"/>
      <c r="JML20" s="2185"/>
      <c r="JMM20" s="16"/>
      <c r="JMN20" s="2185"/>
      <c r="JMO20" s="16"/>
      <c r="JMP20" s="2185"/>
      <c r="JMQ20" s="16"/>
      <c r="JMR20" s="2185"/>
      <c r="JMS20" s="16"/>
      <c r="JMT20" s="2185"/>
      <c r="JMU20" s="16"/>
      <c r="JMV20" s="2185"/>
      <c r="JMW20" s="16"/>
      <c r="JMX20" s="2185"/>
      <c r="JMY20" s="16"/>
      <c r="JMZ20" s="2185"/>
      <c r="JNA20" s="16"/>
      <c r="JNB20" s="2185"/>
      <c r="JNC20" s="16"/>
      <c r="JND20" s="2185"/>
      <c r="JNE20" s="16"/>
      <c r="JNF20" s="2185"/>
      <c r="JNG20" s="16"/>
      <c r="JNH20" s="2185"/>
      <c r="JNI20" s="16"/>
      <c r="JNJ20" s="2185"/>
      <c r="JNK20" s="16"/>
      <c r="JNL20" s="2185"/>
      <c r="JNM20" s="16"/>
      <c r="JNN20" s="2185"/>
      <c r="JNO20" s="16"/>
      <c r="JNP20" s="2185"/>
      <c r="JNQ20" s="16"/>
      <c r="JNR20" s="2185"/>
      <c r="JNS20" s="16"/>
      <c r="JNT20" s="2185"/>
      <c r="JNU20" s="16"/>
      <c r="JNV20" s="2185"/>
      <c r="JNW20" s="16"/>
      <c r="JNX20" s="2185"/>
      <c r="JNY20" s="16"/>
      <c r="JNZ20" s="2185"/>
      <c r="JOA20" s="16"/>
      <c r="JOB20" s="2185"/>
      <c r="JOC20" s="16"/>
      <c r="JOD20" s="2185"/>
      <c r="JOE20" s="16"/>
      <c r="JOF20" s="2185"/>
      <c r="JOG20" s="16"/>
      <c r="JOH20" s="2185"/>
      <c r="JOI20" s="16"/>
      <c r="JOJ20" s="2185"/>
      <c r="JOK20" s="16"/>
      <c r="JOL20" s="2185"/>
      <c r="JOM20" s="16"/>
      <c r="JON20" s="2185"/>
      <c r="JOO20" s="16"/>
      <c r="JOP20" s="2185"/>
      <c r="JOQ20" s="16"/>
      <c r="JOR20" s="2185"/>
      <c r="JOS20" s="16"/>
      <c r="JOT20" s="2185"/>
      <c r="JOU20" s="16"/>
      <c r="JOV20" s="2185"/>
      <c r="JOW20" s="16"/>
      <c r="JOX20" s="2185"/>
      <c r="JOY20" s="16"/>
      <c r="JOZ20" s="2185"/>
      <c r="JPA20" s="16"/>
      <c r="JPB20" s="2185"/>
      <c r="JPC20" s="16"/>
      <c r="JPD20" s="2185"/>
      <c r="JPE20" s="16"/>
      <c r="JPF20" s="2185"/>
      <c r="JPG20" s="16"/>
      <c r="JPH20" s="2185"/>
      <c r="JPI20" s="16"/>
      <c r="JPJ20" s="2185"/>
      <c r="JPK20" s="16"/>
      <c r="JPL20" s="2185"/>
      <c r="JPM20" s="16"/>
      <c r="JPN20" s="2185"/>
      <c r="JPO20" s="16"/>
      <c r="JPP20" s="2185"/>
      <c r="JPQ20" s="16"/>
      <c r="JPR20" s="2185"/>
      <c r="JPS20" s="16"/>
      <c r="JPT20" s="2185"/>
      <c r="JPU20" s="16"/>
      <c r="JPV20" s="2185"/>
      <c r="JPW20" s="16"/>
      <c r="JPX20" s="2185"/>
      <c r="JPY20" s="16"/>
      <c r="JPZ20" s="2185"/>
      <c r="JQA20" s="16"/>
      <c r="JQB20" s="2185"/>
      <c r="JQC20" s="16"/>
      <c r="JQD20" s="2185"/>
      <c r="JQE20" s="16"/>
      <c r="JQF20" s="2185"/>
      <c r="JQG20" s="16"/>
      <c r="JQH20" s="2185"/>
      <c r="JQI20" s="16"/>
      <c r="JQJ20" s="2185"/>
      <c r="JQK20" s="16"/>
      <c r="JQL20" s="2185"/>
      <c r="JQM20" s="16"/>
      <c r="JQN20" s="2185"/>
      <c r="JQO20" s="16"/>
      <c r="JQP20" s="2185"/>
      <c r="JQQ20" s="16"/>
      <c r="JQR20" s="2185"/>
      <c r="JQS20" s="16"/>
      <c r="JQT20" s="2185"/>
      <c r="JQU20" s="16"/>
      <c r="JQV20" s="2185"/>
      <c r="JQW20" s="16"/>
      <c r="JQX20" s="2185"/>
      <c r="JQY20" s="16"/>
      <c r="JQZ20" s="2185"/>
      <c r="JRA20" s="16"/>
      <c r="JRB20" s="2185"/>
      <c r="JRC20" s="16"/>
      <c r="JRD20" s="2185"/>
      <c r="JRE20" s="16"/>
      <c r="JRF20" s="2185"/>
      <c r="JRG20" s="16"/>
      <c r="JRH20" s="2185"/>
      <c r="JRI20" s="16"/>
      <c r="JRJ20" s="2185"/>
      <c r="JRK20" s="16"/>
      <c r="JRL20" s="2185"/>
      <c r="JRM20" s="16"/>
      <c r="JRN20" s="2185"/>
      <c r="JRO20" s="16"/>
      <c r="JRP20" s="2185"/>
      <c r="JRQ20" s="16"/>
      <c r="JRR20" s="2185"/>
      <c r="JRS20" s="16"/>
      <c r="JRT20" s="2185"/>
      <c r="JRU20" s="16"/>
      <c r="JRV20" s="2185"/>
      <c r="JRW20" s="16"/>
      <c r="JRX20" s="2185"/>
      <c r="JRY20" s="16"/>
      <c r="JRZ20" s="2185"/>
      <c r="JSA20" s="16"/>
      <c r="JSB20" s="2185"/>
      <c r="JSC20" s="16"/>
      <c r="JSD20" s="2185"/>
      <c r="JSE20" s="16"/>
      <c r="JSF20" s="2185"/>
      <c r="JSG20" s="16"/>
      <c r="JSH20" s="2185"/>
      <c r="JSI20" s="16"/>
      <c r="JSJ20" s="2185"/>
      <c r="JSK20" s="16"/>
      <c r="JSL20" s="2185"/>
      <c r="JSM20" s="16"/>
      <c r="JSN20" s="2185"/>
      <c r="JSO20" s="16"/>
      <c r="JSP20" s="2185"/>
      <c r="JSQ20" s="16"/>
      <c r="JSR20" s="2185"/>
      <c r="JSS20" s="16"/>
      <c r="JST20" s="2185"/>
      <c r="JSU20" s="16"/>
      <c r="JSV20" s="2185"/>
      <c r="JSW20" s="16"/>
      <c r="JSX20" s="2185"/>
      <c r="JSY20" s="16"/>
      <c r="JSZ20" s="2185"/>
      <c r="JTA20" s="16"/>
      <c r="JTB20" s="2185"/>
      <c r="JTC20" s="16"/>
      <c r="JTD20" s="2185"/>
      <c r="JTE20" s="16"/>
      <c r="JTF20" s="2185"/>
      <c r="JTG20" s="16"/>
      <c r="JTH20" s="2185"/>
      <c r="JTI20" s="16"/>
      <c r="JTJ20" s="2185"/>
      <c r="JTK20" s="16"/>
      <c r="JTL20" s="2185"/>
      <c r="JTM20" s="16"/>
      <c r="JTN20" s="2185"/>
      <c r="JTO20" s="16"/>
      <c r="JTP20" s="2185"/>
      <c r="JTQ20" s="16"/>
      <c r="JTR20" s="2185"/>
      <c r="JTS20" s="16"/>
      <c r="JTT20" s="2185"/>
      <c r="JTU20" s="16"/>
      <c r="JTV20" s="2185"/>
      <c r="JTW20" s="16"/>
      <c r="JTX20" s="2185"/>
      <c r="JTY20" s="16"/>
      <c r="JTZ20" s="2185"/>
      <c r="JUA20" s="16"/>
      <c r="JUB20" s="2185"/>
      <c r="JUC20" s="16"/>
      <c r="JUD20" s="2185"/>
      <c r="JUE20" s="16"/>
      <c r="JUF20" s="2185"/>
      <c r="JUG20" s="16"/>
      <c r="JUH20" s="2185"/>
      <c r="JUI20" s="16"/>
      <c r="JUJ20" s="2185"/>
      <c r="JUK20" s="16"/>
      <c r="JUL20" s="2185"/>
      <c r="JUM20" s="16"/>
      <c r="JUN20" s="2185"/>
      <c r="JUO20" s="16"/>
      <c r="JUP20" s="2185"/>
      <c r="JUQ20" s="16"/>
      <c r="JUR20" s="2185"/>
      <c r="JUS20" s="16"/>
      <c r="JUT20" s="2185"/>
      <c r="JUU20" s="16"/>
      <c r="JUV20" s="2185"/>
      <c r="JUW20" s="16"/>
      <c r="JUX20" s="2185"/>
      <c r="JUY20" s="16"/>
      <c r="JUZ20" s="2185"/>
      <c r="JVA20" s="16"/>
      <c r="JVB20" s="2185"/>
      <c r="JVC20" s="16"/>
      <c r="JVD20" s="2185"/>
      <c r="JVE20" s="16"/>
      <c r="JVF20" s="2185"/>
      <c r="JVG20" s="16"/>
      <c r="JVH20" s="2185"/>
      <c r="JVI20" s="16"/>
      <c r="JVJ20" s="2185"/>
      <c r="JVK20" s="16"/>
      <c r="JVL20" s="2185"/>
      <c r="JVM20" s="16"/>
      <c r="JVN20" s="2185"/>
      <c r="JVO20" s="16"/>
      <c r="JVP20" s="2185"/>
      <c r="JVQ20" s="16"/>
      <c r="JVR20" s="2185"/>
      <c r="JVS20" s="16"/>
      <c r="JVT20" s="2185"/>
      <c r="JVU20" s="16"/>
      <c r="JVV20" s="2185"/>
      <c r="JVW20" s="16"/>
      <c r="JVX20" s="2185"/>
      <c r="JVY20" s="16"/>
      <c r="JVZ20" s="2185"/>
      <c r="JWA20" s="16"/>
      <c r="JWB20" s="2185"/>
      <c r="JWC20" s="16"/>
      <c r="JWD20" s="2185"/>
      <c r="JWE20" s="16"/>
      <c r="JWF20" s="2185"/>
      <c r="JWG20" s="16"/>
      <c r="JWH20" s="2185"/>
      <c r="JWI20" s="16"/>
      <c r="JWJ20" s="2185"/>
      <c r="JWK20" s="16"/>
      <c r="JWL20" s="2185"/>
      <c r="JWM20" s="16"/>
      <c r="JWN20" s="2185"/>
      <c r="JWO20" s="16"/>
      <c r="JWP20" s="2185"/>
      <c r="JWQ20" s="16"/>
      <c r="JWR20" s="2185"/>
      <c r="JWS20" s="16"/>
      <c r="JWT20" s="2185"/>
      <c r="JWU20" s="16"/>
      <c r="JWV20" s="2185"/>
      <c r="JWW20" s="16"/>
      <c r="JWX20" s="2185"/>
      <c r="JWY20" s="16"/>
      <c r="JWZ20" s="2185"/>
      <c r="JXA20" s="16"/>
      <c r="JXB20" s="2185"/>
      <c r="JXC20" s="16"/>
      <c r="JXD20" s="2185"/>
      <c r="JXE20" s="16"/>
      <c r="JXF20" s="2185"/>
      <c r="JXG20" s="16"/>
      <c r="JXH20" s="2185"/>
      <c r="JXI20" s="16"/>
      <c r="JXJ20" s="2185"/>
      <c r="JXK20" s="16"/>
      <c r="JXL20" s="2185"/>
      <c r="JXM20" s="16"/>
      <c r="JXN20" s="2185"/>
      <c r="JXO20" s="16"/>
      <c r="JXP20" s="2185"/>
      <c r="JXQ20" s="16"/>
      <c r="JXR20" s="2185"/>
      <c r="JXS20" s="16"/>
      <c r="JXT20" s="2185"/>
      <c r="JXU20" s="16"/>
      <c r="JXV20" s="2185"/>
      <c r="JXW20" s="16"/>
      <c r="JXX20" s="2185"/>
      <c r="JXY20" s="16"/>
      <c r="JXZ20" s="2185"/>
      <c r="JYA20" s="16"/>
      <c r="JYB20" s="2185"/>
      <c r="JYC20" s="16"/>
      <c r="JYD20" s="2185"/>
      <c r="JYE20" s="16"/>
      <c r="JYF20" s="2185"/>
      <c r="JYG20" s="16"/>
      <c r="JYH20" s="2185"/>
      <c r="JYI20" s="16"/>
      <c r="JYJ20" s="2185"/>
      <c r="JYK20" s="16"/>
      <c r="JYL20" s="2185"/>
      <c r="JYM20" s="16"/>
      <c r="JYN20" s="2185"/>
      <c r="JYO20" s="16"/>
      <c r="JYP20" s="2185"/>
      <c r="JYQ20" s="16"/>
      <c r="JYR20" s="2185"/>
      <c r="JYS20" s="16"/>
      <c r="JYT20" s="2185"/>
      <c r="JYU20" s="16"/>
      <c r="JYV20" s="2185"/>
      <c r="JYW20" s="16"/>
      <c r="JYX20" s="2185"/>
      <c r="JYY20" s="16"/>
      <c r="JYZ20" s="2185"/>
      <c r="JZA20" s="16"/>
      <c r="JZB20" s="2185"/>
      <c r="JZC20" s="16"/>
      <c r="JZD20" s="2185"/>
      <c r="JZE20" s="16"/>
      <c r="JZF20" s="2185"/>
      <c r="JZG20" s="16"/>
      <c r="JZH20" s="2185"/>
      <c r="JZI20" s="16"/>
      <c r="JZJ20" s="2185"/>
      <c r="JZK20" s="16"/>
      <c r="JZL20" s="2185"/>
      <c r="JZM20" s="16"/>
      <c r="JZN20" s="2185"/>
      <c r="JZO20" s="16"/>
      <c r="JZP20" s="2185"/>
      <c r="JZQ20" s="16"/>
      <c r="JZR20" s="2185"/>
      <c r="JZS20" s="16"/>
      <c r="JZT20" s="2185"/>
      <c r="JZU20" s="16"/>
      <c r="JZV20" s="2185"/>
      <c r="JZW20" s="16"/>
      <c r="JZX20" s="2185"/>
      <c r="JZY20" s="16"/>
      <c r="JZZ20" s="2185"/>
      <c r="KAA20" s="16"/>
      <c r="KAB20" s="2185"/>
      <c r="KAC20" s="16"/>
      <c r="KAD20" s="2185"/>
      <c r="KAE20" s="16"/>
      <c r="KAF20" s="2185"/>
      <c r="KAG20" s="16"/>
      <c r="KAH20" s="2185"/>
      <c r="KAI20" s="16"/>
      <c r="KAJ20" s="2185"/>
      <c r="KAK20" s="16"/>
      <c r="KAL20" s="2185"/>
      <c r="KAM20" s="16"/>
      <c r="KAN20" s="2185"/>
      <c r="KAO20" s="16"/>
      <c r="KAP20" s="2185"/>
      <c r="KAQ20" s="16"/>
      <c r="KAR20" s="2185"/>
      <c r="KAS20" s="16"/>
      <c r="KAT20" s="2185"/>
      <c r="KAU20" s="16"/>
      <c r="KAV20" s="2185"/>
      <c r="KAW20" s="16"/>
      <c r="KAX20" s="2185"/>
      <c r="KAY20" s="16"/>
      <c r="KAZ20" s="2185"/>
      <c r="KBA20" s="16"/>
      <c r="KBB20" s="2185"/>
      <c r="KBC20" s="16"/>
      <c r="KBD20" s="2185"/>
      <c r="KBE20" s="16"/>
      <c r="KBF20" s="2185"/>
      <c r="KBG20" s="16"/>
      <c r="KBH20" s="2185"/>
      <c r="KBI20" s="16"/>
      <c r="KBJ20" s="2185"/>
      <c r="KBK20" s="16"/>
      <c r="KBL20" s="2185"/>
      <c r="KBM20" s="16"/>
      <c r="KBN20" s="2185"/>
      <c r="KBO20" s="16"/>
      <c r="KBP20" s="2185"/>
      <c r="KBQ20" s="16"/>
      <c r="KBR20" s="2185"/>
      <c r="KBS20" s="16"/>
      <c r="KBT20" s="2185"/>
      <c r="KBU20" s="16"/>
      <c r="KBV20" s="2185"/>
      <c r="KBW20" s="16"/>
      <c r="KBX20" s="2185"/>
      <c r="KBY20" s="16"/>
      <c r="KBZ20" s="2185"/>
      <c r="KCA20" s="16"/>
      <c r="KCB20" s="2185"/>
      <c r="KCC20" s="16"/>
      <c r="KCD20" s="2185"/>
      <c r="KCE20" s="16"/>
      <c r="KCF20" s="2185"/>
      <c r="KCG20" s="16"/>
      <c r="KCH20" s="2185"/>
      <c r="KCI20" s="16"/>
      <c r="KCJ20" s="2185"/>
      <c r="KCK20" s="16"/>
      <c r="KCL20" s="2185"/>
      <c r="KCM20" s="16"/>
      <c r="KCN20" s="2185"/>
      <c r="KCO20" s="16"/>
      <c r="KCP20" s="2185"/>
      <c r="KCQ20" s="16"/>
      <c r="KCR20" s="2185"/>
      <c r="KCS20" s="16"/>
      <c r="KCT20" s="2185"/>
      <c r="KCU20" s="16"/>
      <c r="KCV20" s="2185"/>
      <c r="KCW20" s="16"/>
      <c r="KCX20" s="2185"/>
      <c r="KCY20" s="16"/>
      <c r="KCZ20" s="2185"/>
      <c r="KDA20" s="16"/>
      <c r="KDB20" s="2185"/>
      <c r="KDC20" s="16"/>
      <c r="KDD20" s="2185"/>
      <c r="KDE20" s="16"/>
      <c r="KDF20" s="2185"/>
      <c r="KDG20" s="16"/>
      <c r="KDH20" s="2185"/>
      <c r="KDI20" s="16"/>
      <c r="KDJ20" s="2185"/>
      <c r="KDK20" s="16"/>
      <c r="KDL20" s="2185"/>
      <c r="KDM20" s="16"/>
      <c r="KDN20" s="2185"/>
      <c r="KDO20" s="16"/>
      <c r="KDP20" s="2185"/>
      <c r="KDQ20" s="16"/>
      <c r="KDR20" s="2185"/>
      <c r="KDS20" s="16"/>
      <c r="KDT20" s="2185"/>
      <c r="KDU20" s="16"/>
      <c r="KDV20" s="2185"/>
      <c r="KDW20" s="16"/>
      <c r="KDX20" s="2185"/>
      <c r="KDY20" s="16"/>
      <c r="KDZ20" s="2185"/>
      <c r="KEA20" s="16"/>
      <c r="KEB20" s="2185"/>
      <c r="KEC20" s="16"/>
      <c r="KED20" s="2185"/>
      <c r="KEE20" s="16"/>
      <c r="KEF20" s="2185"/>
      <c r="KEG20" s="16"/>
      <c r="KEH20" s="2185"/>
      <c r="KEI20" s="16"/>
      <c r="KEJ20" s="2185"/>
      <c r="KEK20" s="16"/>
      <c r="KEL20" s="2185"/>
      <c r="KEM20" s="16"/>
      <c r="KEN20" s="2185"/>
      <c r="KEO20" s="16"/>
      <c r="KEP20" s="2185"/>
      <c r="KEQ20" s="16"/>
      <c r="KER20" s="2185"/>
      <c r="KES20" s="16"/>
      <c r="KET20" s="2185"/>
      <c r="KEU20" s="16"/>
      <c r="KEV20" s="2185"/>
      <c r="KEW20" s="16"/>
      <c r="KEX20" s="2185"/>
      <c r="KEY20" s="16"/>
      <c r="KEZ20" s="2185"/>
      <c r="KFA20" s="16"/>
      <c r="KFB20" s="2185"/>
      <c r="KFC20" s="16"/>
      <c r="KFD20" s="2185"/>
      <c r="KFE20" s="16"/>
      <c r="KFF20" s="2185"/>
      <c r="KFG20" s="16"/>
      <c r="KFH20" s="2185"/>
      <c r="KFI20" s="16"/>
      <c r="KFJ20" s="2185"/>
      <c r="KFK20" s="16"/>
      <c r="KFL20" s="2185"/>
      <c r="KFM20" s="16"/>
      <c r="KFN20" s="2185"/>
      <c r="KFO20" s="16"/>
      <c r="KFP20" s="2185"/>
      <c r="KFQ20" s="16"/>
      <c r="KFR20" s="2185"/>
      <c r="KFS20" s="16"/>
      <c r="KFT20" s="2185"/>
      <c r="KFU20" s="16"/>
      <c r="KFV20" s="2185"/>
      <c r="KFW20" s="16"/>
      <c r="KFX20" s="2185"/>
      <c r="KFY20" s="16"/>
      <c r="KFZ20" s="2185"/>
      <c r="KGA20" s="16"/>
      <c r="KGB20" s="2185"/>
      <c r="KGC20" s="16"/>
      <c r="KGD20" s="2185"/>
      <c r="KGE20" s="16"/>
      <c r="KGF20" s="2185"/>
      <c r="KGG20" s="16"/>
      <c r="KGH20" s="2185"/>
      <c r="KGI20" s="16"/>
      <c r="KGJ20" s="2185"/>
      <c r="KGK20" s="16"/>
      <c r="KGL20" s="2185"/>
      <c r="KGM20" s="16"/>
      <c r="KGN20" s="2185"/>
      <c r="KGO20" s="16"/>
      <c r="KGP20" s="2185"/>
      <c r="KGQ20" s="16"/>
      <c r="KGR20" s="2185"/>
      <c r="KGS20" s="16"/>
      <c r="KGT20" s="2185"/>
      <c r="KGU20" s="16"/>
      <c r="KGV20" s="2185"/>
      <c r="KGW20" s="16"/>
      <c r="KGX20" s="2185"/>
      <c r="KGY20" s="16"/>
      <c r="KGZ20" s="2185"/>
      <c r="KHA20" s="16"/>
      <c r="KHB20" s="2185"/>
      <c r="KHC20" s="16"/>
      <c r="KHD20" s="2185"/>
      <c r="KHE20" s="16"/>
      <c r="KHF20" s="2185"/>
      <c r="KHG20" s="16"/>
      <c r="KHH20" s="2185"/>
      <c r="KHI20" s="16"/>
      <c r="KHJ20" s="2185"/>
      <c r="KHK20" s="16"/>
      <c r="KHL20" s="2185"/>
      <c r="KHM20" s="16"/>
      <c r="KHN20" s="2185"/>
      <c r="KHO20" s="16"/>
      <c r="KHP20" s="2185"/>
      <c r="KHQ20" s="16"/>
      <c r="KHR20" s="2185"/>
      <c r="KHS20" s="16"/>
      <c r="KHT20" s="2185"/>
      <c r="KHU20" s="16"/>
      <c r="KHV20" s="2185"/>
      <c r="KHW20" s="16"/>
      <c r="KHX20" s="2185"/>
      <c r="KHY20" s="16"/>
      <c r="KHZ20" s="2185"/>
      <c r="KIA20" s="16"/>
      <c r="KIB20" s="2185"/>
      <c r="KIC20" s="16"/>
      <c r="KID20" s="2185"/>
      <c r="KIE20" s="16"/>
      <c r="KIF20" s="2185"/>
      <c r="KIG20" s="16"/>
      <c r="KIH20" s="2185"/>
      <c r="KII20" s="16"/>
      <c r="KIJ20" s="2185"/>
      <c r="KIK20" s="16"/>
      <c r="KIL20" s="2185"/>
      <c r="KIM20" s="16"/>
      <c r="KIN20" s="2185"/>
      <c r="KIO20" s="16"/>
      <c r="KIP20" s="2185"/>
      <c r="KIQ20" s="16"/>
      <c r="KIR20" s="2185"/>
      <c r="KIS20" s="16"/>
      <c r="KIT20" s="2185"/>
      <c r="KIU20" s="16"/>
      <c r="KIV20" s="2185"/>
      <c r="KIW20" s="16"/>
      <c r="KIX20" s="2185"/>
      <c r="KIY20" s="16"/>
      <c r="KIZ20" s="2185"/>
      <c r="KJA20" s="16"/>
      <c r="KJB20" s="2185"/>
      <c r="KJC20" s="16"/>
      <c r="KJD20" s="2185"/>
      <c r="KJE20" s="16"/>
      <c r="KJF20" s="2185"/>
      <c r="KJG20" s="16"/>
      <c r="KJH20" s="2185"/>
      <c r="KJI20" s="16"/>
      <c r="KJJ20" s="2185"/>
      <c r="KJK20" s="16"/>
      <c r="KJL20" s="2185"/>
      <c r="KJM20" s="16"/>
      <c r="KJN20" s="2185"/>
      <c r="KJO20" s="16"/>
      <c r="KJP20" s="2185"/>
      <c r="KJQ20" s="16"/>
      <c r="KJR20" s="2185"/>
      <c r="KJS20" s="16"/>
      <c r="KJT20" s="2185"/>
      <c r="KJU20" s="16"/>
      <c r="KJV20" s="2185"/>
      <c r="KJW20" s="16"/>
      <c r="KJX20" s="2185"/>
      <c r="KJY20" s="16"/>
      <c r="KJZ20" s="2185"/>
      <c r="KKA20" s="16"/>
      <c r="KKB20" s="2185"/>
      <c r="KKC20" s="16"/>
      <c r="KKD20" s="2185"/>
      <c r="KKE20" s="16"/>
      <c r="KKF20" s="2185"/>
      <c r="KKG20" s="16"/>
      <c r="KKH20" s="2185"/>
      <c r="KKI20" s="16"/>
      <c r="KKJ20" s="2185"/>
      <c r="KKK20" s="16"/>
      <c r="KKL20" s="2185"/>
      <c r="KKM20" s="16"/>
      <c r="KKN20" s="2185"/>
      <c r="KKO20" s="16"/>
      <c r="KKP20" s="2185"/>
      <c r="KKQ20" s="16"/>
      <c r="KKR20" s="2185"/>
      <c r="KKS20" s="16"/>
      <c r="KKT20" s="2185"/>
      <c r="KKU20" s="16"/>
      <c r="KKV20" s="2185"/>
      <c r="KKW20" s="16"/>
      <c r="KKX20" s="2185"/>
      <c r="KKY20" s="16"/>
      <c r="KKZ20" s="2185"/>
      <c r="KLA20" s="16"/>
      <c r="KLB20" s="2185"/>
      <c r="KLC20" s="16"/>
      <c r="KLD20" s="2185"/>
      <c r="KLE20" s="16"/>
      <c r="KLF20" s="2185"/>
      <c r="KLG20" s="16"/>
      <c r="KLH20" s="2185"/>
      <c r="KLI20" s="16"/>
      <c r="KLJ20" s="2185"/>
      <c r="KLK20" s="16"/>
      <c r="KLL20" s="2185"/>
      <c r="KLM20" s="16"/>
      <c r="KLN20" s="2185"/>
      <c r="KLO20" s="16"/>
      <c r="KLP20" s="2185"/>
      <c r="KLQ20" s="16"/>
      <c r="KLR20" s="2185"/>
      <c r="KLS20" s="16"/>
      <c r="KLT20" s="2185"/>
      <c r="KLU20" s="16"/>
      <c r="KLV20" s="2185"/>
      <c r="KLW20" s="16"/>
      <c r="KLX20" s="2185"/>
      <c r="KLY20" s="16"/>
      <c r="KLZ20" s="2185"/>
      <c r="KMA20" s="16"/>
      <c r="KMB20" s="2185"/>
      <c r="KMC20" s="16"/>
      <c r="KMD20" s="2185"/>
      <c r="KME20" s="16"/>
      <c r="KMF20" s="2185"/>
      <c r="KMG20" s="16"/>
      <c r="KMH20" s="2185"/>
      <c r="KMI20" s="16"/>
      <c r="KMJ20" s="2185"/>
      <c r="KMK20" s="16"/>
      <c r="KML20" s="2185"/>
      <c r="KMM20" s="16"/>
      <c r="KMN20" s="2185"/>
      <c r="KMO20" s="16"/>
      <c r="KMP20" s="2185"/>
      <c r="KMQ20" s="16"/>
      <c r="KMR20" s="2185"/>
      <c r="KMS20" s="16"/>
      <c r="KMT20" s="2185"/>
      <c r="KMU20" s="16"/>
      <c r="KMV20" s="2185"/>
      <c r="KMW20" s="16"/>
      <c r="KMX20" s="2185"/>
      <c r="KMY20" s="16"/>
      <c r="KMZ20" s="2185"/>
      <c r="KNA20" s="16"/>
      <c r="KNB20" s="2185"/>
      <c r="KNC20" s="16"/>
      <c r="KND20" s="2185"/>
      <c r="KNE20" s="16"/>
      <c r="KNF20" s="2185"/>
      <c r="KNG20" s="16"/>
      <c r="KNH20" s="2185"/>
      <c r="KNI20" s="16"/>
      <c r="KNJ20" s="2185"/>
      <c r="KNK20" s="16"/>
      <c r="KNL20" s="2185"/>
      <c r="KNM20" s="16"/>
      <c r="KNN20" s="2185"/>
      <c r="KNO20" s="16"/>
      <c r="KNP20" s="2185"/>
      <c r="KNQ20" s="16"/>
      <c r="KNR20" s="2185"/>
      <c r="KNS20" s="16"/>
      <c r="KNT20" s="2185"/>
      <c r="KNU20" s="16"/>
      <c r="KNV20" s="2185"/>
      <c r="KNW20" s="16"/>
      <c r="KNX20" s="2185"/>
      <c r="KNY20" s="16"/>
      <c r="KNZ20" s="2185"/>
      <c r="KOA20" s="16"/>
      <c r="KOB20" s="2185"/>
      <c r="KOC20" s="16"/>
      <c r="KOD20" s="2185"/>
      <c r="KOE20" s="16"/>
      <c r="KOF20" s="2185"/>
      <c r="KOG20" s="16"/>
      <c r="KOH20" s="2185"/>
      <c r="KOI20" s="16"/>
      <c r="KOJ20" s="2185"/>
      <c r="KOK20" s="16"/>
      <c r="KOL20" s="2185"/>
      <c r="KOM20" s="16"/>
      <c r="KON20" s="2185"/>
      <c r="KOO20" s="16"/>
      <c r="KOP20" s="2185"/>
      <c r="KOQ20" s="16"/>
      <c r="KOR20" s="2185"/>
      <c r="KOS20" s="16"/>
      <c r="KOT20" s="2185"/>
      <c r="KOU20" s="16"/>
      <c r="KOV20" s="2185"/>
      <c r="KOW20" s="16"/>
      <c r="KOX20" s="2185"/>
      <c r="KOY20" s="16"/>
      <c r="KOZ20" s="2185"/>
      <c r="KPA20" s="16"/>
      <c r="KPB20" s="2185"/>
      <c r="KPC20" s="16"/>
      <c r="KPD20" s="2185"/>
      <c r="KPE20" s="16"/>
      <c r="KPF20" s="2185"/>
      <c r="KPG20" s="16"/>
      <c r="KPH20" s="2185"/>
      <c r="KPI20" s="16"/>
      <c r="KPJ20" s="2185"/>
      <c r="KPK20" s="16"/>
      <c r="KPL20" s="2185"/>
      <c r="KPM20" s="16"/>
      <c r="KPN20" s="2185"/>
      <c r="KPO20" s="16"/>
      <c r="KPP20" s="2185"/>
      <c r="KPQ20" s="16"/>
      <c r="KPR20" s="2185"/>
      <c r="KPS20" s="16"/>
      <c r="KPT20" s="2185"/>
      <c r="KPU20" s="16"/>
      <c r="KPV20" s="2185"/>
      <c r="KPW20" s="16"/>
      <c r="KPX20" s="2185"/>
      <c r="KPY20" s="16"/>
      <c r="KPZ20" s="2185"/>
      <c r="KQA20" s="16"/>
      <c r="KQB20" s="2185"/>
      <c r="KQC20" s="16"/>
      <c r="KQD20" s="2185"/>
      <c r="KQE20" s="16"/>
      <c r="KQF20" s="2185"/>
      <c r="KQG20" s="16"/>
      <c r="KQH20" s="2185"/>
      <c r="KQI20" s="16"/>
      <c r="KQJ20" s="2185"/>
      <c r="KQK20" s="16"/>
      <c r="KQL20" s="2185"/>
      <c r="KQM20" s="16"/>
      <c r="KQN20" s="2185"/>
      <c r="KQO20" s="16"/>
      <c r="KQP20" s="2185"/>
      <c r="KQQ20" s="16"/>
      <c r="KQR20" s="2185"/>
      <c r="KQS20" s="16"/>
      <c r="KQT20" s="2185"/>
      <c r="KQU20" s="16"/>
      <c r="KQV20" s="2185"/>
      <c r="KQW20" s="16"/>
      <c r="KQX20" s="2185"/>
      <c r="KQY20" s="16"/>
      <c r="KQZ20" s="2185"/>
      <c r="KRA20" s="16"/>
      <c r="KRB20" s="2185"/>
      <c r="KRC20" s="16"/>
      <c r="KRD20" s="2185"/>
      <c r="KRE20" s="16"/>
      <c r="KRF20" s="2185"/>
      <c r="KRG20" s="16"/>
      <c r="KRH20" s="2185"/>
      <c r="KRI20" s="16"/>
      <c r="KRJ20" s="2185"/>
      <c r="KRK20" s="16"/>
      <c r="KRL20" s="2185"/>
      <c r="KRM20" s="16"/>
      <c r="KRN20" s="2185"/>
      <c r="KRO20" s="16"/>
      <c r="KRP20" s="2185"/>
      <c r="KRQ20" s="16"/>
      <c r="KRR20" s="2185"/>
      <c r="KRS20" s="16"/>
      <c r="KRT20" s="2185"/>
      <c r="KRU20" s="16"/>
      <c r="KRV20" s="2185"/>
      <c r="KRW20" s="16"/>
      <c r="KRX20" s="2185"/>
      <c r="KRY20" s="16"/>
      <c r="KRZ20" s="2185"/>
      <c r="KSA20" s="16"/>
      <c r="KSB20" s="2185"/>
      <c r="KSC20" s="16"/>
      <c r="KSD20" s="2185"/>
      <c r="KSE20" s="16"/>
      <c r="KSF20" s="2185"/>
      <c r="KSG20" s="16"/>
      <c r="KSH20" s="2185"/>
      <c r="KSI20" s="16"/>
      <c r="KSJ20" s="2185"/>
      <c r="KSK20" s="16"/>
      <c r="KSL20" s="2185"/>
      <c r="KSM20" s="16"/>
      <c r="KSN20" s="2185"/>
      <c r="KSO20" s="16"/>
      <c r="KSP20" s="2185"/>
      <c r="KSQ20" s="16"/>
      <c r="KSR20" s="2185"/>
      <c r="KSS20" s="16"/>
      <c r="KST20" s="2185"/>
      <c r="KSU20" s="16"/>
      <c r="KSV20" s="2185"/>
      <c r="KSW20" s="16"/>
      <c r="KSX20" s="2185"/>
      <c r="KSY20" s="16"/>
      <c r="KSZ20" s="2185"/>
      <c r="KTA20" s="16"/>
      <c r="KTB20" s="2185"/>
      <c r="KTC20" s="16"/>
      <c r="KTD20" s="2185"/>
      <c r="KTE20" s="16"/>
      <c r="KTF20" s="2185"/>
      <c r="KTG20" s="16"/>
      <c r="KTH20" s="2185"/>
      <c r="KTI20" s="16"/>
      <c r="KTJ20" s="2185"/>
      <c r="KTK20" s="16"/>
      <c r="KTL20" s="2185"/>
      <c r="KTM20" s="16"/>
      <c r="KTN20" s="2185"/>
      <c r="KTO20" s="16"/>
      <c r="KTP20" s="2185"/>
      <c r="KTQ20" s="16"/>
      <c r="KTR20" s="2185"/>
      <c r="KTS20" s="16"/>
      <c r="KTT20" s="2185"/>
      <c r="KTU20" s="16"/>
      <c r="KTV20" s="2185"/>
      <c r="KTW20" s="16"/>
      <c r="KTX20" s="2185"/>
      <c r="KTY20" s="16"/>
      <c r="KTZ20" s="2185"/>
      <c r="KUA20" s="16"/>
      <c r="KUB20" s="2185"/>
      <c r="KUC20" s="16"/>
      <c r="KUD20" s="2185"/>
      <c r="KUE20" s="16"/>
      <c r="KUF20" s="2185"/>
      <c r="KUG20" s="16"/>
      <c r="KUH20" s="2185"/>
      <c r="KUI20" s="16"/>
      <c r="KUJ20" s="2185"/>
      <c r="KUK20" s="16"/>
      <c r="KUL20" s="2185"/>
      <c r="KUM20" s="16"/>
      <c r="KUN20" s="2185"/>
      <c r="KUO20" s="16"/>
      <c r="KUP20" s="2185"/>
      <c r="KUQ20" s="16"/>
      <c r="KUR20" s="2185"/>
      <c r="KUS20" s="16"/>
      <c r="KUT20" s="2185"/>
      <c r="KUU20" s="16"/>
      <c r="KUV20" s="2185"/>
      <c r="KUW20" s="16"/>
      <c r="KUX20" s="2185"/>
      <c r="KUY20" s="16"/>
      <c r="KUZ20" s="2185"/>
      <c r="KVA20" s="16"/>
      <c r="KVB20" s="2185"/>
      <c r="KVC20" s="16"/>
      <c r="KVD20" s="2185"/>
      <c r="KVE20" s="16"/>
      <c r="KVF20" s="2185"/>
      <c r="KVG20" s="16"/>
      <c r="KVH20" s="2185"/>
      <c r="KVI20" s="16"/>
      <c r="KVJ20" s="2185"/>
      <c r="KVK20" s="16"/>
      <c r="KVL20" s="2185"/>
      <c r="KVM20" s="16"/>
      <c r="KVN20" s="2185"/>
      <c r="KVO20" s="16"/>
      <c r="KVP20" s="2185"/>
      <c r="KVQ20" s="16"/>
      <c r="KVR20" s="2185"/>
      <c r="KVS20" s="16"/>
      <c r="KVT20" s="2185"/>
      <c r="KVU20" s="16"/>
      <c r="KVV20" s="2185"/>
      <c r="KVW20" s="16"/>
      <c r="KVX20" s="2185"/>
      <c r="KVY20" s="16"/>
      <c r="KVZ20" s="2185"/>
      <c r="KWA20" s="16"/>
      <c r="KWB20" s="2185"/>
      <c r="KWC20" s="16"/>
      <c r="KWD20" s="2185"/>
      <c r="KWE20" s="16"/>
      <c r="KWF20" s="2185"/>
      <c r="KWG20" s="16"/>
      <c r="KWH20" s="2185"/>
      <c r="KWI20" s="16"/>
      <c r="KWJ20" s="2185"/>
      <c r="KWK20" s="16"/>
      <c r="KWL20" s="2185"/>
      <c r="KWM20" s="16"/>
      <c r="KWN20" s="2185"/>
      <c r="KWO20" s="16"/>
      <c r="KWP20" s="2185"/>
      <c r="KWQ20" s="16"/>
      <c r="KWR20" s="2185"/>
      <c r="KWS20" s="16"/>
      <c r="KWT20" s="2185"/>
      <c r="KWU20" s="16"/>
      <c r="KWV20" s="2185"/>
      <c r="KWW20" s="16"/>
      <c r="KWX20" s="2185"/>
      <c r="KWY20" s="16"/>
      <c r="KWZ20" s="2185"/>
      <c r="KXA20" s="16"/>
      <c r="KXB20" s="2185"/>
      <c r="KXC20" s="16"/>
      <c r="KXD20" s="2185"/>
      <c r="KXE20" s="16"/>
      <c r="KXF20" s="2185"/>
      <c r="KXG20" s="16"/>
      <c r="KXH20" s="2185"/>
      <c r="KXI20" s="16"/>
      <c r="KXJ20" s="2185"/>
      <c r="KXK20" s="16"/>
      <c r="KXL20" s="2185"/>
      <c r="KXM20" s="16"/>
      <c r="KXN20" s="2185"/>
      <c r="KXO20" s="16"/>
      <c r="KXP20" s="2185"/>
      <c r="KXQ20" s="16"/>
      <c r="KXR20" s="2185"/>
      <c r="KXS20" s="16"/>
      <c r="KXT20" s="2185"/>
      <c r="KXU20" s="16"/>
      <c r="KXV20" s="2185"/>
      <c r="KXW20" s="16"/>
      <c r="KXX20" s="2185"/>
      <c r="KXY20" s="16"/>
      <c r="KXZ20" s="2185"/>
      <c r="KYA20" s="16"/>
      <c r="KYB20" s="2185"/>
      <c r="KYC20" s="16"/>
      <c r="KYD20" s="2185"/>
      <c r="KYE20" s="16"/>
      <c r="KYF20" s="2185"/>
      <c r="KYG20" s="16"/>
      <c r="KYH20" s="2185"/>
      <c r="KYI20" s="16"/>
      <c r="KYJ20" s="2185"/>
      <c r="KYK20" s="16"/>
      <c r="KYL20" s="2185"/>
      <c r="KYM20" s="16"/>
      <c r="KYN20" s="2185"/>
      <c r="KYO20" s="16"/>
      <c r="KYP20" s="2185"/>
      <c r="KYQ20" s="16"/>
      <c r="KYR20" s="2185"/>
      <c r="KYS20" s="16"/>
      <c r="KYT20" s="2185"/>
      <c r="KYU20" s="16"/>
      <c r="KYV20" s="2185"/>
      <c r="KYW20" s="16"/>
      <c r="KYX20" s="2185"/>
      <c r="KYY20" s="16"/>
      <c r="KYZ20" s="2185"/>
      <c r="KZA20" s="16"/>
      <c r="KZB20" s="2185"/>
      <c r="KZC20" s="16"/>
      <c r="KZD20" s="2185"/>
      <c r="KZE20" s="16"/>
      <c r="KZF20" s="2185"/>
      <c r="KZG20" s="16"/>
      <c r="KZH20" s="2185"/>
      <c r="KZI20" s="16"/>
      <c r="KZJ20" s="2185"/>
      <c r="KZK20" s="16"/>
      <c r="KZL20" s="2185"/>
      <c r="KZM20" s="16"/>
      <c r="KZN20" s="2185"/>
      <c r="KZO20" s="16"/>
      <c r="KZP20" s="2185"/>
      <c r="KZQ20" s="16"/>
      <c r="KZR20" s="2185"/>
      <c r="KZS20" s="16"/>
      <c r="KZT20" s="2185"/>
      <c r="KZU20" s="16"/>
      <c r="KZV20" s="2185"/>
      <c r="KZW20" s="16"/>
      <c r="KZX20" s="2185"/>
      <c r="KZY20" s="16"/>
      <c r="KZZ20" s="2185"/>
      <c r="LAA20" s="16"/>
      <c r="LAB20" s="2185"/>
      <c r="LAC20" s="16"/>
      <c r="LAD20" s="2185"/>
      <c r="LAE20" s="16"/>
      <c r="LAF20" s="2185"/>
      <c r="LAG20" s="16"/>
      <c r="LAH20" s="2185"/>
      <c r="LAI20" s="16"/>
      <c r="LAJ20" s="2185"/>
      <c r="LAK20" s="16"/>
      <c r="LAL20" s="2185"/>
      <c r="LAM20" s="16"/>
      <c r="LAN20" s="2185"/>
      <c r="LAO20" s="16"/>
      <c r="LAP20" s="2185"/>
      <c r="LAQ20" s="16"/>
      <c r="LAR20" s="2185"/>
      <c r="LAS20" s="16"/>
      <c r="LAT20" s="2185"/>
      <c r="LAU20" s="16"/>
      <c r="LAV20" s="2185"/>
      <c r="LAW20" s="16"/>
      <c r="LAX20" s="2185"/>
      <c r="LAY20" s="16"/>
      <c r="LAZ20" s="2185"/>
      <c r="LBA20" s="16"/>
      <c r="LBB20" s="2185"/>
      <c r="LBC20" s="16"/>
      <c r="LBD20" s="2185"/>
      <c r="LBE20" s="16"/>
      <c r="LBF20" s="2185"/>
      <c r="LBG20" s="16"/>
      <c r="LBH20" s="2185"/>
      <c r="LBI20" s="16"/>
      <c r="LBJ20" s="2185"/>
      <c r="LBK20" s="16"/>
      <c r="LBL20" s="2185"/>
      <c r="LBM20" s="16"/>
      <c r="LBN20" s="2185"/>
      <c r="LBO20" s="16"/>
      <c r="LBP20" s="2185"/>
      <c r="LBQ20" s="16"/>
      <c r="LBR20" s="2185"/>
      <c r="LBS20" s="16"/>
      <c r="LBT20" s="2185"/>
      <c r="LBU20" s="16"/>
      <c r="LBV20" s="2185"/>
      <c r="LBW20" s="16"/>
      <c r="LBX20" s="2185"/>
      <c r="LBY20" s="16"/>
      <c r="LBZ20" s="2185"/>
      <c r="LCA20" s="16"/>
      <c r="LCB20" s="2185"/>
      <c r="LCC20" s="16"/>
      <c r="LCD20" s="2185"/>
      <c r="LCE20" s="16"/>
      <c r="LCF20" s="2185"/>
      <c r="LCG20" s="16"/>
      <c r="LCH20" s="2185"/>
      <c r="LCI20" s="16"/>
      <c r="LCJ20" s="2185"/>
      <c r="LCK20" s="16"/>
      <c r="LCL20" s="2185"/>
      <c r="LCM20" s="16"/>
      <c r="LCN20" s="2185"/>
      <c r="LCO20" s="16"/>
      <c r="LCP20" s="2185"/>
      <c r="LCQ20" s="16"/>
      <c r="LCR20" s="2185"/>
      <c r="LCS20" s="16"/>
      <c r="LCT20" s="2185"/>
      <c r="LCU20" s="16"/>
      <c r="LCV20" s="2185"/>
      <c r="LCW20" s="16"/>
      <c r="LCX20" s="2185"/>
      <c r="LCY20" s="16"/>
      <c r="LCZ20" s="2185"/>
      <c r="LDA20" s="16"/>
      <c r="LDB20" s="2185"/>
      <c r="LDC20" s="16"/>
      <c r="LDD20" s="2185"/>
      <c r="LDE20" s="16"/>
      <c r="LDF20" s="2185"/>
      <c r="LDG20" s="16"/>
      <c r="LDH20" s="2185"/>
      <c r="LDI20" s="16"/>
      <c r="LDJ20" s="2185"/>
      <c r="LDK20" s="16"/>
      <c r="LDL20" s="2185"/>
      <c r="LDM20" s="16"/>
      <c r="LDN20" s="2185"/>
      <c r="LDO20" s="16"/>
      <c r="LDP20" s="2185"/>
      <c r="LDQ20" s="16"/>
      <c r="LDR20" s="2185"/>
      <c r="LDS20" s="16"/>
      <c r="LDT20" s="2185"/>
      <c r="LDU20" s="16"/>
      <c r="LDV20" s="2185"/>
      <c r="LDW20" s="16"/>
      <c r="LDX20" s="2185"/>
      <c r="LDY20" s="16"/>
      <c r="LDZ20" s="2185"/>
      <c r="LEA20" s="16"/>
      <c r="LEB20" s="2185"/>
      <c r="LEC20" s="16"/>
      <c r="LED20" s="2185"/>
      <c r="LEE20" s="16"/>
      <c r="LEF20" s="2185"/>
      <c r="LEG20" s="16"/>
      <c r="LEH20" s="2185"/>
      <c r="LEI20" s="16"/>
      <c r="LEJ20" s="2185"/>
      <c r="LEK20" s="16"/>
      <c r="LEL20" s="2185"/>
      <c r="LEM20" s="16"/>
      <c r="LEN20" s="2185"/>
      <c r="LEO20" s="16"/>
      <c r="LEP20" s="2185"/>
      <c r="LEQ20" s="16"/>
      <c r="LER20" s="2185"/>
      <c r="LES20" s="16"/>
      <c r="LET20" s="2185"/>
      <c r="LEU20" s="16"/>
      <c r="LEV20" s="2185"/>
      <c r="LEW20" s="16"/>
      <c r="LEX20" s="2185"/>
      <c r="LEY20" s="16"/>
      <c r="LEZ20" s="2185"/>
      <c r="LFA20" s="16"/>
      <c r="LFB20" s="2185"/>
      <c r="LFC20" s="16"/>
      <c r="LFD20" s="2185"/>
      <c r="LFE20" s="16"/>
      <c r="LFF20" s="2185"/>
      <c r="LFG20" s="16"/>
      <c r="LFH20" s="2185"/>
      <c r="LFI20" s="16"/>
      <c r="LFJ20" s="2185"/>
      <c r="LFK20" s="16"/>
      <c r="LFL20" s="2185"/>
      <c r="LFM20" s="16"/>
      <c r="LFN20" s="2185"/>
      <c r="LFO20" s="16"/>
      <c r="LFP20" s="2185"/>
      <c r="LFQ20" s="16"/>
      <c r="LFR20" s="2185"/>
      <c r="LFS20" s="16"/>
      <c r="LFT20" s="2185"/>
      <c r="LFU20" s="16"/>
      <c r="LFV20" s="2185"/>
      <c r="LFW20" s="16"/>
      <c r="LFX20" s="2185"/>
      <c r="LFY20" s="16"/>
      <c r="LFZ20" s="2185"/>
      <c r="LGA20" s="16"/>
      <c r="LGB20" s="2185"/>
      <c r="LGC20" s="16"/>
      <c r="LGD20" s="2185"/>
      <c r="LGE20" s="16"/>
      <c r="LGF20" s="2185"/>
      <c r="LGG20" s="16"/>
      <c r="LGH20" s="2185"/>
      <c r="LGI20" s="16"/>
      <c r="LGJ20" s="2185"/>
      <c r="LGK20" s="16"/>
      <c r="LGL20" s="2185"/>
      <c r="LGM20" s="16"/>
      <c r="LGN20" s="2185"/>
      <c r="LGO20" s="16"/>
      <c r="LGP20" s="2185"/>
      <c r="LGQ20" s="16"/>
      <c r="LGR20" s="2185"/>
      <c r="LGS20" s="16"/>
      <c r="LGT20" s="2185"/>
      <c r="LGU20" s="16"/>
      <c r="LGV20" s="2185"/>
      <c r="LGW20" s="16"/>
      <c r="LGX20" s="2185"/>
      <c r="LGY20" s="16"/>
      <c r="LGZ20" s="2185"/>
      <c r="LHA20" s="16"/>
      <c r="LHB20" s="2185"/>
      <c r="LHC20" s="16"/>
      <c r="LHD20" s="2185"/>
      <c r="LHE20" s="16"/>
      <c r="LHF20" s="2185"/>
      <c r="LHG20" s="16"/>
      <c r="LHH20" s="2185"/>
      <c r="LHI20" s="16"/>
      <c r="LHJ20" s="2185"/>
      <c r="LHK20" s="16"/>
      <c r="LHL20" s="2185"/>
      <c r="LHM20" s="16"/>
      <c r="LHN20" s="2185"/>
      <c r="LHO20" s="16"/>
      <c r="LHP20" s="2185"/>
      <c r="LHQ20" s="16"/>
      <c r="LHR20" s="2185"/>
      <c r="LHS20" s="16"/>
      <c r="LHT20" s="2185"/>
      <c r="LHU20" s="16"/>
      <c r="LHV20" s="2185"/>
      <c r="LHW20" s="16"/>
      <c r="LHX20" s="2185"/>
      <c r="LHY20" s="16"/>
      <c r="LHZ20" s="2185"/>
      <c r="LIA20" s="16"/>
      <c r="LIB20" s="2185"/>
      <c r="LIC20" s="16"/>
      <c r="LID20" s="2185"/>
      <c r="LIE20" s="16"/>
      <c r="LIF20" s="2185"/>
      <c r="LIG20" s="16"/>
      <c r="LIH20" s="2185"/>
      <c r="LII20" s="16"/>
      <c r="LIJ20" s="2185"/>
      <c r="LIK20" s="16"/>
      <c r="LIL20" s="2185"/>
      <c r="LIM20" s="16"/>
      <c r="LIN20" s="2185"/>
      <c r="LIO20" s="16"/>
      <c r="LIP20" s="2185"/>
      <c r="LIQ20" s="16"/>
      <c r="LIR20" s="2185"/>
      <c r="LIS20" s="16"/>
      <c r="LIT20" s="2185"/>
      <c r="LIU20" s="16"/>
      <c r="LIV20" s="2185"/>
      <c r="LIW20" s="16"/>
      <c r="LIX20" s="2185"/>
      <c r="LIY20" s="16"/>
      <c r="LIZ20" s="2185"/>
      <c r="LJA20" s="16"/>
      <c r="LJB20" s="2185"/>
      <c r="LJC20" s="16"/>
      <c r="LJD20" s="2185"/>
      <c r="LJE20" s="16"/>
      <c r="LJF20" s="2185"/>
      <c r="LJG20" s="16"/>
      <c r="LJH20" s="2185"/>
      <c r="LJI20" s="16"/>
      <c r="LJJ20" s="2185"/>
      <c r="LJK20" s="16"/>
      <c r="LJL20" s="2185"/>
      <c r="LJM20" s="16"/>
      <c r="LJN20" s="2185"/>
      <c r="LJO20" s="16"/>
      <c r="LJP20" s="2185"/>
      <c r="LJQ20" s="16"/>
      <c r="LJR20" s="2185"/>
      <c r="LJS20" s="16"/>
      <c r="LJT20" s="2185"/>
      <c r="LJU20" s="16"/>
      <c r="LJV20" s="2185"/>
      <c r="LJW20" s="16"/>
      <c r="LJX20" s="2185"/>
      <c r="LJY20" s="16"/>
      <c r="LJZ20" s="2185"/>
      <c r="LKA20" s="16"/>
      <c r="LKB20" s="2185"/>
      <c r="LKC20" s="16"/>
      <c r="LKD20" s="2185"/>
      <c r="LKE20" s="16"/>
      <c r="LKF20" s="2185"/>
      <c r="LKG20" s="16"/>
      <c r="LKH20" s="2185"/>
      <c r="LKI20" s="16"/>
      <c r="LKJ20" s="2185"/>
      <c r="LKK20" s="16"/>
      <c r="LKL20" s="2185"/>
      <c r="LKM20" s="16"/>
      <c r="LKN20" s="2185"/>
      <c r="LKO20" s="16"/>
      <c r="LKP20" s="2185"/>
      <c r="LKQ20" s="16"/>
      <c r="LKR20" s="2185"/>
      <c r="LKS20" s="16"/>
      <c r="LKT20" s="2185"/>
      <c r="LKU20" s="16"/>
      <c r="LKV20" s="2185"/>
      <c r="LKW20" s="16"/>
      <c r="LKX20" s="2185"/>
      <c r="LKY20" s="16"/>
      <c r="LKZ20" s="2185"/>
      <c r="LLA20" s="16"/>
      <c r="LLB20" s="2185"/>
      <c r="LLC20" s="16"/>
      <c r="LLD20" s="2185"/>
      <c r="LLE20" s="16"/>
      <c r="LLF20" s="2185"/>
      <c r="LLG20" s="16"/>
      <c r="LLH20" s="2185"/>
      <c r="LLI20" s="16"/>
      <c r="LLJ20" s="2185"/>
      <c r="LLK20" s="16"/>
      <c r="LLL20" s="2185"/>
      <c r="LLM20" s="16"/>
      <c r="LLN20" s="2185"/>
      <c r="LLO20" s="16"/>
      <c r="LLP20" s="2185"/>
      <c r="LLQ20" s="16"/>
      <c r="LLR20" s="2185"/>
      <c r="LLS20" s="16"/>
      <c r="LLT20" s="2185"/>
      <c r="LLU20" s="16"/>
      <c r="LLV20" s="2185"/>
      <c r="LLW20" s="16"/>
      <c r="LLX20" s="2185"/>
      <c r="LLY20" s="16"/>
      <c r="LLZ20" s="2185"/>
      <c r="LMA20" s="16"/>
      <c r="LMB20" s="2185"/>
      <c r="LMC20" s="16"/>
      <c r="LMD20" s="2185"/>
      <c r="LME20" s="16"/>
      <c r="LMF20" s="2185"/>
      <c r="LMG20" s="16"/>
      <c r="LMH20" s="2185"/>
      <c r="LMI20" s="16"/>
      <c r="LMJ20" s="2185"/>
      <c r="LMK20" s="16"/>
      <c r="LML20" s="2185"/>
      <c r="LMM20" s="16"/>
      <c r="LMN20" s="2185"/>
      <c r="LMO20" s="16"/>
      <c r="LMP20" s="2185"/>
      <c r="LMQ20" s="16"/>
      <c r="LMR20" s="2185"/>
      <c r="LMS20" s="16"/>
      <c r="LMT20" s="2185"/>
      <c r="LMU20" s="16"/>
      <c r="LMV20" s="2185"/>
      <c r="LMW20" s="16"/>
      <c r="LMX20" s="2185"/>
      <c r="LMY20" s="16"/>
      <c r="LMZ20" s="2185"/>
      <c r="LNA20" s="16"/>
      <c r="LNB20" s="2185"/>
      <c r="LNC20" s="16"/>
      <c r="LND20" s="2185"/>
      <c r="LNE20" s="16"/>
      <c r="LNF20" s="2185"/>
      <c r="LNG20" s="16"/>
      <c r="LNH20" s="2185"/>
      <c r="LNI20" s="16"/>
      <c r="LNJ20" s="2185"/>
      <c r="LNK20" s="16"/>
      <c r="LNL20" s="2185"/>
      <c r="LNM20" s="16"/>
      <c r="LNN20" s="2185"/>
      <c r="LNO20" s="16"/>
      <c r="LNP20" s="2185"/>
      <c r="LNQ20" s="16"/>
      <c r="LNR20" s="2185"/>
      <c r="LNS20" s="16"/>
      <c r="LNT20" s="2185"/>
      <c r="LNU20" s="16"/>
      <c r="LNV20" s="2185"/>
      <c r="LNW20" s="16"/>
      <c r="LNX20" s="2185"/>
      <c r="LNY20" s="16"/>
      <c r="LNZ20" s="2185"/>
      <c r="LOA20" s="16"/>
      <c r="LOB20" s="2185"/>
      <c r="LOC20" s="16"/>
      <c r="LOD20" s="2185"/>
      <c r="LOE20" s="16"/>
      <c r="LOF20" s="2185"/>
      <c r="LOG20" s="16"/>
      <c r="LOH20" s="2185"/>
      <c r="LOI20" s="16"/>
      <c r="LOJ20" s="2185"/>
      <c r="LOK20" s="16"/>
      <c r="LOL20" s="2185"/>
      <c r="LOM20" s="16"/>
      <c r="LON20" s="2185"/>
      <c r="LOO20" s="16"/>
      <c r="LOP20" s="2185"/>
      <c r="LOQ20" s="16"/>
      <c r="LOR20" s="2185"/>
      <c r="LOS20" s="16"/>
      <c r="LOT20" s="2185"/>
      <c r="LOU20" s="16"/>
      <c r="LOV20" s="2185"/>
      <c r="LOW20" s="16"/>
      <c r="LOX20" s="2185"/>
      <c r="LOY20" s="16"/>
      <c r="LOZ20" s="2185"/>
      <c r="LPA20" s="16"/>
      <c r="LPB20" s="2185"/>
      <c r="LPC20" s="16"/>
      <c r="LPD20" s="2185"/>
      <c r="LPE20" s="16"/>
      <c r="LPF20" s="2185"/>
      <c r="LPG20" s="16"/>
      <c r="LPH20" s="2185"/>
      <c r="LPI20" s="16"/>
      <c r="LPJ20" s="2185"/>
      <c r="LPK20" s="16"/>
      <c r="LPL20" s="2185"/>
      <c r="LPM20" s="16"/>
      <c r="LPN20" s="2185"/>
      <c r="LPO20" s="16"/>
      <c r="LPP20" s="2185"/>
      <c r="LPQ20" s="16"/>
      <c r="LPR20" s="2185"/>
      <c r="LPS20" s="16"/>
      <c r="LPT20" s="2185"/>
      <c r="LPU20" s="16"/>
      <c r="LPV20" s="2185"/>
      <c r="LPW20" s="16"/>
      <c r="LPX20" s="2185"/>
      <c r="LPY20" s="16"/>
      <c r="LPZ20" s="2185"/>
      <c r="LQA20" s="16"/>
      <c r="LQB20" s="2185"/>
      <c r="LQC20" s="16"/>
      <c r="LQD20" s="2185"/>
      <c r="LQE20" s="16"/>
      <c r="LQF20" s="2185"/>
      <c r="LQG20" s="16"/>
      <c r="LQH20" s="2185"/>
      <c r="LQI20" s="16"/>
      <c r="LQJ20" s="2185"/>
      <c r="LQK20" s="16"/>
      <c r="LQL20" s="2185"/>
      <c r="LQM20" s="16"/>
      <c r="LQN20" s="2185"/>
      <c r="LQO20" s="16"/>
      <c r="LQP20" s="2185"/>
      <c r="LQQ20" s="16"/>
      <c r="LQR20" s="2185"/>
      <c r="LQS20" s="16"/>
      <c r="LQT20" s="2185"/>
      <c r="LQU20" s="16"/>
      <c r="LQV20" s="2185"/>
      <c r="LQW20" s="16"/>
      <c r="LQX20" s="2185"/>
      <c r="LQY20" s="16"/>
      <c r="LQZ20" s="2185"/>
      <c r="LRA20" s="16"/>
      <c r="LRB20" s="2185"/>
      <c r="LRC20" s="16"/>
      <c r="LRD20" s="2185"/>
      <c r="LRE20" s="16"/>
      <c r="LRF20" s="2185"/>
      <c r="LRG20" s="16"/>
      <c r="LRH20" s="2185"/>
      <c r="LRI20" s="16"/>
      <c r="LRJ20" s="2185"/>
      <c r="LRK20" s="16"/>
      <c r="LRL20" s="2185"/>
      <c r="LRM20" s="16"/>
      <c r="LRN20" s="2185"/>
      <c r="LRO20" s="16"/>
      <c r="LRP20" s="2185"/>
      <c r="LRQ20" s="16"/>
      <c r="LRR20" s="2185"/>
      <c r="LRS20" s="16"/>
      <c r="LRT20" s="2185"/>
      <c r="LRU20" s="16"/>
      <c r="LRV20" s="2185"/>
      <c r="LRW20" s="16"/>
      <c r="LRX20" s="2185"/>
      <c r="LRY20" s="16"/>
      <c r="LRZ20" s="2185"/>
      <c r="LSA20" s="16"/>
      <c r="LSB20" s="2185"/>
      <c r="LSC20" s="16"/>
      <c r="LSD20" s="2185"/>
      <c r="LSE20" s="16"/>
      <c r="LSF20" s="2185"/>
      <c r="LSG20" s="16"/>
      <c r="LSH20" s="2185"/>
      <c r="LSI20" s="16"/>
      <c r="LSJ20" s="2185"/>
      <c r="LSK20" s="16"/>
      <c r="LSL20" s="2185"/>
      <c r="LSM20" s="16"/>
      <c r="LSN20" s="2185"/>
      <c r="LSO20" s="16"/>
      <c r="LSP20" s="2185"/>
      <c r="LSQ20" s="16"/>
      <c r="LSR20" s="2185"/>
      <c r="LSS20" s="16"/>
      <c r="LST20" s="2185"/>
      <c r="LSU20" s="16"/>
      <c r="LSV20" s="2185"/>
      <c r="LSW20" s="16"/>
      <c r="LSX20" s="2185"/>
      <c r="LSY20" s="16"/>
      <c r="LSZ20" s="2185"/>
      <c r="LTA20" s="16"/>
      <c r="LTB20" s="2185"/>
      <c r="LTC20" s="16"/>
      <c r="LTD20" s="2185"/>
      <c r="LTE20" s="16"/>
      <c r="LTF20" s="2185"/>
      <c r="LTG20" s="16"/>
      <c r="LTH20" s="2185"/>
      <c r="LTI20" s="16"/>
      <c r="LTJ20" s="2185"/>
      <c r="LTK20" s="16"/>
      <c r="LTL20" s="2185"/>
      <c r="LTM20" s="16"/>
      <c r="LTN20" s="2185"/>
      <c r="LTO20" s="16"/>
      <c r="LTP20" s="2185"/>
      <c r="LTQ20" s="16"/>
      <c r="LTR20" s="2185"/>
      <c r="LTS20" s="16"/>
      <c r="LTT20" s="2185"/>
      <c r="LTU20" s="16"/>
      <c r="LTV20" s="2185"/>
      <c r="LTW20" s="16"/>
      <c r="LTX20" s="2185"/>
      <c r="LTY20" s="16"/>
      <c r="LTZ20" s="2185"/>
      <c r="LUA20" s="16"/>
      <c r="LUB20" s="2185"/>
      <c r="LUC20" s="16"/>
      <c r="LUD20" s="2185"/>
      <c r="LUE20" s="16"/>
      <c r="LUF20" s="2185"/>
      <c r="LUG20" s="16"/>
      <c r="LUH20" s="2185"/>
      <c r="LUI20" s="16"/>
      <c r="LUJ20" s="2185"/>
      <c r="LUK20" s="16"/>
      <c r="LUL20" s="2185"/>
      <c r="LUM20" s="16"/>
      <c r="LUN20" s="2185"/>
      <c r="LUO20" s="16"/>
      <c r="LUP20" s="2185"/>
      <c r="LUQ20" s="16"/>
      <c r="LUR20" s="2185"/>
      <c r="LUS20" s="16"/>
      <c r="LUT20" s="2185"/>
      <c r="LUU20" s="16"/>
      <c r="LUV20" s="2185"/>
      <c r="LUW20" s="16"/>
      <c r="LUX20" s="2185"/>
      <c r="LUY20" s="16"/>
      <c r="LUZ20" s="2185"/>
      <c r="LVA20" s="16"/>
      <c r="LVB20" s="2185"/>
      <c r="LVC20" s="16"/>
      <c r="LVD20" s="2185"/>
      <c r="LVE20" s="16"/>
      <c r="LVF20" s="2185"/>
      <c r="LVG20" s="16"/>
      <c r="LVH20" s="2185"/>
      <c r="LVI20" s="16"/>
      <c r="LVJ20" s="2185"/>
      <c r="LVK20" s="16"/>
      <c r="LVL20" s="2185"/>
      <c r="LVM20" s="16"/>
      <c r="LVN20" s="2185"/>
      <c r="LVO20" s="16"/>
      <c r="LVP20" s="2185"/>
      <c r="LVQ20" s="16"/>
      <c r="LVR20" s="2185"/>
      <c r="LVS20" s="16"/>
      <c r="LVT20" s="2185"/>
      <c r="LVU20" s="16"/>
      <c r="LVV20" s="2185"/>
      <c r="LVW20" s="16"/>
      <c r="LVX20" s="2185"/>
      <c r="LVY20" s="16"/>
      <c r="LVZ20" s="2185"/>
      <c r="LWA20" s="16"/>
      <c r="LWB20" s="2185"/>
      <c r="LWC20" s="16"/>
      <c r="LWD20" s="2185"/>
      <c r="LWE20" s="16"/>
      <c r="LWF20" s="2185"/>
      <c r="LWG20" s="16"/>
      <c r="LWH20" s="2185"/>
      <c r="LWI20" s="16"/>
      <c r="LWJ20" s="2185"/>
      <c r="LWK20" s="16"/>
      <c r="LWL20" s="2185"/>
      <c r="LWM20" s="16"/>
      <c r="LWN20" s="2185"/>
      <c r="LWO20" s="16"/>
      <c r="LWP20" s="2185"/>
      <c r="LWQ20" s="16"/>
      <c r="LWR20" s="2185"/>
      <c r="LWS20" s="16"/>
      <c r="LWT20" s="2185"/>
      <c r="LWU20" s="16"/>
      <c r="LWV20" s="2185"/>
      <c r="LWW20" s="16"/>
      <c r="LWX20" s="2185"/>
      <c r="LWY20" s="16"/>
      <c r="LWZ20" s="2185"/>
      <c r="LXA20" s="16"/>
      <c r="LXB20" s="2185"/>
      <c r="LXC20" s="16"/>
      <c r="LXD20" s="2185"/>
      <c r="LXE20" s="16"/>
      <c r="LXF20" s="2185"/>
      <c r="LXG20" s="16"/>
      <c r="LXH20" s="2185"/>
      <c r="LXI20" s="16"/>
      <c r="LXJ20" s="2185"/>
      <c r="LXK20" s="16"/>
      <c r="LXL20" s="2185"/>
      <c r="LXM20" s="16"/>
      <c r="LXN20" s="2185"/>
      <c r="LXO20" s="16"/>
      <c r="LXP20" s="2185"/>
      <c r="LXQ20" s="16"/>
      <c r="LXR20" s="2185"/>
      <c r="LXS20" s="16"/>
      <c r="LXT20" s="2185"/>
      <c r="LXU20" s="16"/>
      <c r="LXV20" s="2185"/>
      <c r="LXW20" s="16"/>
      <c r="LXX20" s="2185"/>
      <c r="LXY20" s="16"/>
      <c r="LXZ20" s="2185"/>
      <c r="LYA20" s="16"/>
      <c r="LYB20" s="2185"/>
      <c r="LYC20" s="16"/>
      <c r="LYD20" s="2185"/>
      <c r="LYE20" s="16"/>
      <c r="LYF20" s="2185"/>
      <c r="LYG20" s="16"/>
      <c r="LYH20" s="2185"/>
      <c r="LYI20" s="16"/>
      <c r="LYJ20" s="2185"/>
      <c r="LYK20" s="16"/>
      <c r="LYL20" s="2185"/>
      <c r="LYM20" s="16"/>
      <c r="LYN20" s="2185"/>
      <c r="LYO20" s="16"/>
      <c r="LYP20" s="2185"/>
      <c r="LYQ20" s="16"/>
      <c r="LYR20" s="2185"/>
      <c r="LYS20" s="16"/>
      <c r="LYT20" s="2185"/>
      <c r="LYU20" s="16"/>
      <c r="LYV20" s="2185"/>
      <c r="LYW20" s="16"/>
      <c r="LYX20" s="2185"/>
      <c r="LYY20" s="16"/>
      <c r="LYZ20" s="2185"/>
      <c r="LZA20" s="16"/>
      <c r="LZB20" s="2185"/>
      <c r="LZC20" s="16"/>
      <c r="LZD20" s="2185"/>
      <c r="LZE20" s="16"/>
      <c r="LZF20" s="2185"/>
      <c r="LZG20" s="16"/>
      <c r="LZH20" s="2185"/>
      <c r="LZI20" s="16"/>
      <c r="LZJ20" s="2185"/>
      <c r="LZK20" s="16"/>
      <c r="LZL20" s="2185"/>
      <c r="LZM20" s="16"/>
      <c r="LZN20" s="2185"/>
      <c r="LZO20" s="16"/>
      <c r="LZP20" s="2185"/>
      <c r="LZQ20" s="16"/>
      <c r="LZR20" s="2185"/>
      <c r="LZS20" s="16"/>
      <c r="LZT20" s="2185"/>
      <c r="LZU20" s="16"/>
      <c r="LZV20" s="2185"/>
      <c r="LZW20" s="16"/>
      <c r="LZX20" s="2185"/>
      <c r="LZY20" s="16"/>
      <c r="LZZ20" s="2185"/>
      <c r="MAA20" s="16"/>
      <c r="MAB20" s="2185"/>
      <c r="MAC20" s="16"/>
      <c r="MAD20" s="2185"/>
      <c r="MAE20" s="16"/>
      <c r="MAF20" s="2185"/>
      <c r="MAG20" s="16"/>
      <c r="MAH20" s="2185"/>
      <c r="MAI20" s="16"/>
      <c r="MAJ20" s="2185"/>
      <c r="MAK20" s="16"/>
      <c r="MAL20" s="2185"/>
      <c r="MAM20" s="16"/>
      <c r="MAN20" s="2185"/>
      <c r="MAO20" s="16"/>
      <c r="MAP20" s="2185"/>
      <c r="MAQ20" s="16"/>
      <c r="MAR20" s="2185"/>
      <c r="MAS20" s="16"/>
      <c r="MAT20" s="2185"/>
      <c r="MAU20" s="16"/>
      <c r="MAV20" s="2185"/>
      <c r="MAW20" s="16"/>
      <c r="MAX20" s="2185"/>
      <c r="MAY20" s="16"/>
      <c r="MAZ20" s="2185"/>
      <c r="MBA20" s="16"/>
      <c r="MBB20" s="2185"/>
      <c r="MBC20" s="16"/>
      <c r="MBD20" s="2185"/>
      <c r="MBE20" s="16"/>
      <c r="MBF20" s="2185"/>
      <c r="MBG20" s="16"/>
      <c r="MBH20" s="2185"/>
      <c r="MBI20" s="16"/>
      <c r="MBJ20" s="2185"/>
      <c r="MBK20" s="16"/>
      <c r="MBL20" s="2185"/>
      <c r="MBM20" s="16"/>
      <c r="MBN20" s="2185"/>
      <c r="MBO20" s="16"/>
      <c r="MBP20" s="2185"/>
      <c r="MBQ20" s="16"/>
      <c r="MBR20" s="2185"/>
      <c r="MBS20" s="16"/>
      <c r="MBT20" s="2185"/>
      <c r="MBU20" s="16"/>
      <c r="MBV20" s="2185"/>
      <c r="MBW20" s="16"/>
      <c r="MBX20" s="2185"/>
      <c r="MBY20" s="16"/>
      <c r="MBZ20" s="2185"/>
      <c r="MCA20" s="16"/>
      <c r="MCB20" s="2185"/>
      <c r="MCC20" s="16"/>
      <c r="MCD20" s="2185"/>
      <c r="MCE20" s="16"/>
      <c r="MCF20" s="2185"/>
      <c r="MCG20" s="16"/>
      <c r="MCH20" s="2185"/>
      <c r="MCI20" s="16"/>
      <c r="MCJ20" s="2185"/>
      <c r="MCK20" s="16"/>
      <c r="MCL20" s="2185"/>
      <c r="MCM20" s="16"/>
      <c r="MCN20" s="2185"/>
      <c r="MCO20" s="16"/>
      <c r="MCP20" s="2185"/>
      <c r="MCQ20" s="16"/>
      <c r="MCR20" s="2185"/>
      <c r="MCS20" s="16"/>
      <c r="MCT20" s="2185"/>
      <c r="MCU20" s="16"/>
      <c r="MCV20" s="2185"/>
      <c r="MCW20" s="16"/>
      <c r="MCX20" s="2185"/>
      <c r="MCY20" s="16"/>
      <c r="MCZ20" s="2185"/>
      <c r="MDA20" s="16"/>
      <c r="MDB20" s="2185"/>
      <c r="MDC20" s="16"/>
      <c r="MDD20" s="2185"/>
      <c r="MDE20" s="16"/>
      <c r="MDF20" s="2185"/>
      <c r="MDG20" s="16"/>
      <c r="MDH20" s="2185"/>
      <c r="MDI20" s="16"/>
      <c r="MDJ20" s="2185"/>
      <c r="MDK20" s="16"/>
      <c r="MDL20" s="2185"/>
      <c r="MDM20" s="16"/>
      <c r="MDN20" s="2185"/>
      <c r="MDO20" s="16"/>
      <c r="MDP20" s="2185"/>
      <c r="MDQ20" s="16"/>
      <c r="MDR20" s="2185"/>
      <c r="MDS20" s="16"/>
      <c r="MDT20" s="2185"/>
      <c r="MDU20" s="16"/>
      <c r="MDV20" s="2185"/>
      <c r="MDW20" s="16"/>
      <c r="MDX20" s="2185"/>
      <c r="MDY20" s="16"/>
      <c r="MDZ20" s="2185"/>
      <c r="MEA20" s="16"/>
      <c r="MEB20" s="2185"/>
      <c r="MEC20" s="16"/>
      <c r="MED20" s="2185"/>
      <c r="MEE20" s="16"/>
      <c r="MEF20" s="2185"/>
      <c r="MEG20" s="16"/>
      <c r="MEH20" s="2185"/>
      <c r="MEI20" s="16"/>
      <c r="MEJ20" s="2185"/>
      <c r="MEK20" s="16"/>
      <c r="MEL20" s="2185"/>
      <c r="MEM20" s="16"/>
      <c r="MEN20" s="2185"/>
      <c r="MEO20" s="16"/>
      <c r="MEP20" s="2185"/>
      <c r="MEQ20" s="16"/>
      <c r="MER20" s="2185"/>
      <c r="MES20" s="16"/>
      <c r="MET20" s="2185"/>
      <c r="MEU20" s="16"/>
      <c r="MEV20" s="2185"/>
      <c r="MEW20" s="16"/>
      <c r="MEX20" s="2185"/>
      <c r="MEY20" s="16"/>
      <c r="MEZ20" s="2185"/>
      <c r="MFA20" s="16"/>
      <c r="MFB20" s="2185"/>
      <c r="MFC20" s="16"/>
      <c r="MFD20" s="2185"/>
      <c r="MFE20" s="16"/>
      <c r="MFF20" s="2185"/>
      <c r="MFG20" s="16"/>
      <c r="MFH20" s="2185"/>
      <c r="MFI20" s="16"/>
      <c r="MFJ20" s="2185"/>
      <c r="MFK20" s="16"/>
      <c r="MFL20" s="2185"/>
      <c r="MFM20" s="16"/>
      <c r="MFN20" s="2185"/>
      <c r="MFO20" s="16"/>
      <c r="MFP20" s="2185"/>
      <c r="MFQ20" s="16"/>
      <c r="MFR20" s="2185"/>
      <c r="MFS20" s="16"/>
      <c r="MFT20" s="2185"/>
      <c r="MFU20" s="16"/>
      <c r="MFV20" s="2185"/>
      <c r="MFW20" s="16"/>
      <c r="MFX20" s="2185"/>
      <c r="MFY20" s="16"/>
      <c r="MFZ20" s="2185"/>
      <c r="MGA20" s="16"/>
      <c r="MGB20" s="2185"/>
      <c r="MGC20" s="16"/>
      <c r="MGD20" s="2185"/>
      <c r="MGE20" s="16"/>
      <c r="MGF20" s="2185"/>
      <c r="MGG20" s="16"/>
      <c r="MGH20" s="2185"/>
      <c r="MGI20" s="16"/>
      <c r="MGJ20" s="2185"/>
      <c r="MGK20" s="16"/>
      <c r="MGL20" s="2185"/>
      <c r="MGM20" s="16"/>
      <c r="MGN20" s="2185"/>
      <c r="MGO20" s="16"/>
      <c r="MGP20" s="2185"/>
      <c r="MGQ20" s="16"/>
      <c r="MGR20" s="2185"/>
      <c r="MGS20" s="16"/>
      <c r="MGT20" s="2185"/>
      <c r="MGU20" s="16"/>
      <c r="MGV20" s="2185"/>
      <c r="MGW20" s="16"/>
      <c r="MGX20" s="2185"/>
      <c r="MGY20" s="16"/>
      <c r="MGZ20" s="2185"/>
      <c r="MHA20" s="16"/>
      <c r="MHB20" s="2185"/>
      <c r="MHC20" s="16"/>
      <c r="MHD20" s="2185"/>
      <c r="MHE20" s="16"/>
      <c r="MHF20" s="2185"/>
      <c r="MHG20" s="16"/>
      <c r="MHH20" s="2185"/>
      <c r="MHI20" s="16"/>
      <c r="MHJ20" s="2185"/>
      <c r="MHK20" s="16"/>
      <c r="MHL20" s="2185"/>
      <c r="MHM20" s="16"/>
      <c r="MHN20" s="2185"/>
      <c r="MHO20" s="16"/>
      <c r="MHP20" s="2185"/>
      <c r="MHQ20" s="16"/>
      <c r="MHR20" s="2185"/>
      <c r="MHS20" s="16"/>
      <c r="MHT20" s="2185"/>
      <c r="MHU20" s="16"/>
      <c r="MHV20" s="2185"/>
      <c r="MHW20" s="16"/>
      <c r="MHX20" s="2185"/>
      <c r="MHY20" s="16"/>
      <c r="MHZ20" s="2185"/>
      <c r="MIA20" s="16"/>
      <c r="MIB20" s="2185"/>
      <c r="MIC20" s="16"/>
      <c r="MID20" s="2185"/>
      <c r="MIE20" s="16"/>
      <c r="MIF20" s="2185"/>
      <c r="MIG20" s="16"/>
      <c r="MIH20" s="2185"/>
      <c r="MII20" s="16"/>
      <c r="MIJ20" s="2185"/>
      <c r="MIK20" s="16"/>
      <c r="MIL20" s="2185"/>
      <c r="MIM20" s="16"/>
      <c r="MIN20" s="2185"/>
      <c r="MIO20" s="16"/>
      <c r="MIP20" s="2185"/>
      <c r="MIQ20" s="16"/>
      <c r="MIR20" s="2185"/>
      <c r="MIS20" s="16"/>
      <c r="MIT20" s="2185"/>
      <c r="MIU20" s="16"/>
      <c r="MIV20" s="2185"/>
      <c r="MIW20" s="16"/>
      <c r="MIX20" s="2185"/>
      <c r="MIY20" s="16"/>
      <c r="MIZ20" s="2185"/>
      <c r="MJA20" s="16"/>
      <c r="MJB20" s="2185"/>
      <c r="MJC20" s="16"/>
      <c r="MJD20" s="2185"/>
      <c r="MJE20" s="16"/>
      <c r="MJF20" s="2185"/>
      <c r="MJG20" s="16"/>
      <c r="MJH20" s="2185"/>
      <c r="MJI20" s="16"/>
      <c r="MJJ20" s="2185"/>
      <c r="MJK20" s="16"/>
      <c r="MJL20" s="2185"/>
      <c r="MJM20" s="16"/>
      <c r="MJN20" s="2185"/>
      <c r="MJO20" s="16"/>
      <c r="MJP20" s="2185"/>
      <c r="MJQ20" s="16"/>
      <c r="MJR20" s="2185"/>
      <c r="MJS20" s="16"/>
      <c r="MJT20" s="2185"/>
      <c r="MJU20" s="16"/>
      <c r="MJV20" s="2185"/>
      <c r="MJW20" s="16"/>
      <c r="MJX20" s="2185"/>
      <c r="MJY20" s="16"/>
      <c r="MJZ20" s="2185"/>
      <c r="MKA20" s="16"/>
      <c r="MKB20" s="2185"/>
      <c r="MKC20" s="16"/>
      <c r="MKD20" s="2185"/>
      <c r="MKE20" s="16"/>
      <c r="MKF20" s="2185"/>
      <c r="MKG20" s="16"/>
      <c r="MKH20" s="2185"/>
      <c r="MKI20" s="16"/>
      <c r="MKJ20" s="2185"/>
      <c r="MKK20" s="16"/>
      <c r="MKL20" s="2185"/>
      <c r="MKM20" s="16"/>
      <c r="MKN20" s="2185"/>
      <c r="MKO20" s="16"/>
      <c r="MKP20" s="2185"/>
      <c r="MKQ20" s="16"/>
      <c r="MKR20" s="2185"/>
      <c r="MKS20" s="16"/>
      <c r="MKT20" s="2185"/>
      <c r="MKU20" s="16"/>
      <c r="MKV20" s="2185"/>
      <c r="MKW20" s="16"/>
      <c r="MKX20" s="2185"/>
      <c r="MKY20" s="16"/>
      <c r="MKZ20" s="2185"/>
      <c r="MLA20" s="16"/>
      <c r="MLB20" s="2185"/>
      <c r="MLC20" s="16"/>
      <c r="MLD20" s="2185"/>
      <c r="MLE20" s="16"/>
      <c r="MLF20" s="2185"/>
      <c r="MLG20" s="16"/>
      <c r="MLH20" s="2185"/>
      <c r="MLI20" s="16"/>
      <c r="MLJ20" s="2185"/>
      <c r="MLK20" s="16"/>
      <c r="MLL20" s="2185"/>
      <c r="MLM20" s="16"/>
      <c r="MLN20" s="2185"/>
      <c r="MLO20" s="16"/>
      <c r="MLP20" s="2185"/>
      <c r="MLQ20" s="16"/>
      <c r="MLR20" s="2185"/>
      <c r="MLS20" s="16"/>
      <c r="MLT20" s="2185"/>
      <c r="MLU20" s="16"/>
      <c r="MLV20" s="2185"/>
      <c r="MLW20" s="16"/>
      <c r="MLX20" s="2185"/>
      <c r="MLY20" s="16"/>
      <c r="MLZ20" s="2185"/>
      <c r="MMA20" s="16"/>
      <c r="MMB20" s="2185"/>
      <c r="MMC20" s="16"/>
      <c r="MMD20" s="2185"/>
      <c r="MME20" s="16"/>
      <c r="MMF20" s="2185"/>
      <c r="MMG20" s="16"/>
      <c r="MMH20" s="2185"/>
      <c r="MMI20" s="16"/>
      <c r="MMJ20" s="2185"/>
      <c r="MMK20" s="16"/>
      <c r="MML20" s="2185"/>
      <c r="MMM20" s="16"/>
      <c r="MMN20" s="2185"/>
      <c r="MMO20" s="16"/>
      <c r="MMP20" s="2185"/>
      <c r="MMQ20" s="16"/>
      <c r="MMR20" s="2185"/>
      <c r="MMS20" s="16"/>
      <c r="MMT20" s="2185"/>
      <c r="MMU20" s="16"/>
      <c r="MMV20" s="2185"/>
      <c r="MMW20" s="16"/>
      <c r="MMX20" s="2185"/>
      <c r="MMY20" s="16"/>
      <c r="MMZ20" s="2185"/>
      <c r="MNA20" s="16"/>
      <c r="MNB20" s="2185"/>
      <c r="MNC20" s="16"/>
      <c r="MND20" s="2185"/>
      <c r="MNE20" s="16"/>
      <c r="MNF20" s="2185"/>
      <c r="MNG20" s="16"/>
      <c r="MNH20" s="2185"/>
      <c r="MNI20" s="16"/>
      <c r="MNJ20" s="2185"/>
      <c r="MNK20" s="16"/>
      <c r="MNL20" s="2185"/>
      <c r="MNM20" s="16"/>
      <c r="MNN20" s="2185"/>
      <c r="MNO20" s="16"/>
      <c r="MNP20" s="2185"/>
      <c r="MNQ20" s="16"/>
      <c r="MNR20" s="2185"/>
      <c r="MNS20" s="16"/>
      <c r="MNT20" s="2185"/>
      <c r="MNU20" s="16"/>
      <c r="MNV20" s="2185"/>
      <c r="MNW20" s="16"/>
      <c r="MNX20" s="2185"/>
      <c r="MNY20" s="16"/>
      <c r="MNZ20" s="2185"/>
      <c r="MOA20" s="16"/>
      <c r="MOB20" s="2185"/>
      <c r="MOC20" s="16"/>
      <c r="MOD20" s="2185"/>
      <c r="MOE20" s="16"/>
      <c r="MOF20" s="2185"/>
      <c r="MOG20" s="16"/>
      <c r="MOH20" s="2185"/>
      <c r="MOI20" s="16"/>
      <c r="MOJ20" s="2185"/>
      <c r="MOK20" s="16"/>
      <c r="MOL20" s="2185"/>
      <c r="MOM20" s="16"/>
      <c r="MON20" s="2185"/>
      <c r="MOO20" s="16"/>
      <c r="MOP20" s="2185"/>
      <c r="MOQ20" s="16"/>
      <c r="MOR20" s="2185"/>
      <c r="MOS20" s="16"/>
      <c r="MOT20" s="2185"/>
      <c r="MOU20" s="16"/>
      <c r="MOV20" s="2185"/>
      <c r="MOW20" s="16"/>
      <c r="MOX20" s="2185"/>
      <c r="MOY20" s="16"/>
      <c r="MOZ20" s="2185"/>
      <c r="MPA20" s="16"/>
      <c r="MPB20" s="2185"/>
      <c r="MPC20" s="16"/>
      <c r="MPD20" s="2185"/>
      <c r="MPE20" s="16"/>
      <c r="MPF20" s="2185"/>
      <c r="MPG20" s="16"/>
      <c r="MPH20" s="2185"/>
      <c r="MPI20" s="16"/>
      <c r="MPJ20" s="2185"/>
      <c r="MPK20" s="16"/>
      <c r="MPL20" s="2185"/>
      <c r="MPM20" s="16"/>
      <c r="MPN20" s="2185"/>
      <c r="MPO20" s="16"/>
      <c r="MPP20" s="2185"/>
      <c r="MPQ20" s="16"/>
      <c r="MPR20" s="2185"/>
      <c r="MPS20" s="16"/>
      <c r="MPT20" s="2185"/>
      <c r="MPU20" s="16"/>
      <c r="MPV20" s="2185"/>
      <c r="MPW20" s="16"/>
      <c r="MPX20" s="2185"/>
      <c r="MPY20" s="16"/>
      <c r="MPZ20" s="2185"/>
      <c r="MQA20" s="16"/>
      <c r="MQB20" s="2185"/>
      <c r="MQC20" s="16"/>
      <c r="MQD20" s="2185"/>
      <c r="MQE20" s="16"/>
      <c r="MQF20" s="2185"/>
      <c r="MQG20" s="16"/>
      <c r="MQH20" s="2185"/>
      <c r="MQI20" s="16"/>
      <c r="MQJ20" s="2185"/>
      <c r="MQK20" s="16"/>
      <c r="MQL20" s="2185"/>
      <c r="MQM20" s="16"/>
      <c r="MQN20" s="2185"/>
      <c r="MQO20" s="16"/>
      <c r="MQP20" s="2185"/>
      <c r="MQQ20" s="16"/>
      <c r="MQR20" s="2185"/>
      <c r="MQS20" s="16"/>
      <c r="MQT20" s="2185"/>
      <c r="MQU20" s="16"/>
      <c r="MQV20" s="2185"/>
      <c r="MQW20" s="16"/>
      <c r="MQX20" s="2185"/>
      <c r="MQY20" s="16"/>
      <c r="MQZ20" s="2185"/>
      <c r="MRA20" s="16"/>
      <c r="MRB20" s="2185"/>
      <c r="MRC20" s="16"/>
      <c r="MRD20" s="2185"/>
      <c r="MRE20" s="16"/>
      <c r="MRF20" s="2185"/>
      <c r="MRG20" s="16"/>
      <c r="MRH20" s="2185"/>
      <c r="MRI20" s="16"/>
      <c r="MRJ20" s="2185"/>
      <c r="MRK20" s="16"/>
      <c r="MRL20" s="2185"/>
      <c r="MRM20" s="16"/>
      <c r="MRN20" s="2185"/>
      <c r="MRO20" s="16"/>
      <c r="MRP20" s="2185"/>
      <c r="MRQ20" s="16"/>
      <c r="MRR20" s="2185"/>
      <c r="MRS20" s="16"/>
      <c r="MRT20" s="2185"/>
      <c r="MRU20" s="16"/>
      <c r="MRV20" s="2185"/>
      <c r="MRW20" s="16"/>
      <c r="MRX20" s="2185"/>
      <c r="MRY20" s="16"/>
      <c r="MRZ20" s="2185"/>
      <c r="MSA20" s="16"/>
      <c r="MSB20" s="2185"/>
      <c r="MSC20" s="16"/>
      <c r="MSD20" s="2185"/>
      <c r="MSE20" s="16"/>
      <c r="MSF20" s="2185"/>
      <c r="MSG20" s="16"/>
      <c r="MSH20" s="2185"/>
      <c r="MSI20" s="16"/>
      <c r="MSJ20" s="2185"/>
      <c r="MSK20" s="16"/>
      <c r="MSL20" s="2185"/>
      <c r="MSM20" s="16"/>
      <c r="MSN20" s="2185"/>
      <c r="MSO20" s="16"/>
      <c r="MSP20" s="2185"/>
      <c r="MSQ20" s="16"/>
      <c r="MSR20" s="2185"/>
      <c r="MSS20" s="16"/>
      <c r="MST20" s="2185"/>
      <c r="MSU20" s="16"/>
      <c r="MSV20" s="2185"/>
      <c r="MSW20" s="16"/>
      <c r="MSX20" s="2185"/>
      <c r="MSY20" s="16"/>
      <c r="MSZ20" s="2185"/>
      <c r="MTA20" s="16"/>
      <c r="MTB20" s="2185"/>
      <c r="MTC20" s="16"/>
      <c r="MTD20" s="2185"/>
      <c r="MTE20" s="16"/>
      <c r="MTF20" s="2185"/>
      <c r="MTG20" s="16"/>
      <c r="MTH20" s="2185"/>
      <c r="MTI20" s="16"/>
      <c r="MTJ20" s="2185"/>
      <c r="MTK20" s="16"/>
      <c r="MTL20" s="2185"/>
      <c r="MTM20" s="16"/>
      <c r="MTN20" s="2185"/>
      <c r="MTO20" s="16"/>
      <c r="MTP20" s="2185"/>
      <c r="MTQ20" s="16"/>
      <c r="MTR20" s="2185"/>
      <c r="MTS20" s="16"/>
      <c r="MTT20" s="2185"/>
      <c r="MTU20" s="16"/>
      <c r="MTV20" s="2185"/>
      <c r="MTW20" s="16"/>
      <c r="MTX20" s="2185"/>
      <c r="MTY20" s="16"/>
      <c r="MTZ20" s="2185"/>
      <c r="MUA20" s="16"/>
      <c r="MUB20" s="2185"/>
      <c r="MUC20" s="16"/>
      <c r="MUD20" s="2185"/>
      <c r="MUE20" s="16"/>
      <c r="MUF20" s="2185"/>
      <c r="MUG20" s="16"/>
      <c r="MUH20" s="2185"/>
      <c r="MUI20" s="16"/>
      <c r="MUJ20" s="2185"/>
      <c r="MUK20" s="16"/>
      <c r="MUL20" s="2185"/>
      <c r="MUM20" s="16"/>
      <c r="MUN20" s="2185"/>
      <c r="MUO20" s="16"/>
      <c r="MUP20" s="2185"/>
      <c r="MUQ20" s="16"/>
      <c r="MUR20" s="2185"/>
      <c r="MUS20" s="16"/>
      <c r="MUT20" s="2185"/>
      <c r="MUU20" s="16"/>
      <c r="MUV20" s="2185"/>
      <c r="MUW20" s="16"/>
      <c r="MUX20" s="2185"/>
      <c r="MUY20" s="16"/>
      <c r="MUZ20" s="2185"/>
      <c r="MVA20" s="16"/>
      <c r="MVB20" s="2185"/>
      <c r="MVC20" s="16"/>
      <c r="MVD20" s="2185"/>
      <c r="MVE20" s="16"/>
      <c r="MVF20" s="2185"/>
      <c r="MVG20" s="16"/>
      <c r="MVH20" s="2185"/>
      <c r="MVI20" s="16"/>
      <c r="MVJ20" s="2185"/>
      <c r="MVK20" s="16"/>
      <c r="MVL20" s="2185"/>
      <c r="MVM20" s="16"/>
      <c r="MVN20" s="2185"/>
      <c r="MVO20" s="16"/>
      <c r="MVP20" s="2185"/>
      <c r="MVQ20" s="16"/>
      <c r="MVR20" s="2185"/>
      <c r="MVS20" s="16"/>
      <c r="MVT20" s="2185"/>
      <c r="MVU20" s="16"/>
      <c r="MVV20" s="2185"/>
      <c r="MVW20" s="16"/>
      <c r="MVX20" s="2185"/>
      <c r="MVY20" s="16"/>
      <c r="MVZ20" s="2185"/>
      <c r="MWA20" s="16"/>
      <c r="MWB20" s="2185"/>
      <c r="MWC20" s="16"/>
      <c r="MWD20" s="2185"/>
      <c r="MWE20" s="16"/>
      <c r="MWF20" s="2185"/>
      <c r="MWG20" s="16"/>
      <c r="MWH20" s="2185"/>
      <c r="MWI20" s="16"/>
      <c r="MWJ20" s="2185"/>
      <c r="MWK20" s="16"/>
      <c r="MWL20" s="2185"/>
      <c r="MWM20" s="16"/>
      <c r="MWN20" s="2185"/>
      <c r="MWO20" s="16"/>
      <c r="MWP20" s="2185"/>
      <c r="MWQ20" s="16"/>
      <c r="MWR20" s="2185"/>
      <c r="MWS20" s="16"/>
      <c r="MWT20" s="2185"/>
      <c r="MWU20" s="16"/>
      <c r="MWV20" s="2185"/>
      <c r="MWW20" s="16"/>
      <c r="MWX20" s="2185"/>
      <c r="MWY20" s="16"/>
      <c r="MWZ20" s="2185"/>
      <c r="MXA20" s="16"/>
      <c r="MXB20" s="2185"/>
      <c r="MXC20" s="16"/>
      <c r="MXD20" s="2185"/>
      <c r="MXE20" s="16"/>
      <c r="MXF20" s="2185"/>
      <c r="MXG20" s="16"/>
      <c r="MXH20" s="2185"/>
      <c r="MXI20" s="16"/>
      <c r="MXJ20" s="2185"/>
      <c r="MXK20" s="16"/>
      <c r="MXL20" s="2185"/>
      <c r="MXM20" s="16"/>
      <c r="MXN20" s="2185"/>
      <c r="MXO20" s="16"/>
      <c r="MXP20" s="2185"/>
      <c r="MXQ20" s="16"/>
      <c r="MXR20" s="2185"/>
      <c r="MXS20" s="16"/>
      <c r="MXT20" s="2185"/>
      <c r="MXU20" s="16"/>
      <c r="MXV20" s="2185"/>
      <c r="MXW20" s="16"/>
      <c r="MXX20" s="2185"/>
      <c r="MXY20" s="16"/>
      <c r="MXZ20" s="2185"/>
      <c r="MYA20" s="16"/>
      <c r="MYB20" s="2185"/>
      <c r="MYC20" s="16"/>
      <c r="MYD20" s="2185"/>
      <c r="MYE20" s="16"/>
      <c r="MYF20" s="2185"/>
      <c r="MYG20" s="16"/>
      <c r="MYH20" s="2185"/>
      <c r="MYI20" s="16"/>
      <c r="MYJ20" s="2185"/>
      <c r="MYK20" s="16"/>
      <c r="MYL20" s="2185"/>
      <c r="MYM20" s="16"/>
      <c r="MYN20" s="2185"/>
      <c r="MYO20" s="16"/>
      <c r="MYP20" s="2185"/>
      <c r="MYQ20" s="16"/>
      <c r="MYR20" s="2185"/>
      <c r="MYS20" s="16"/>
      <c r="MYT20" s="2185"/>
      <c r="MYU20" s="16"/>
      <c r="MYV20" s="2185"/>
      <c r="MYW20" s="16"/>
      <c r="MYX20" s="2185"/>
      <c r="MYY20" s="16"/>
      <c r="MYZ20" s="2185"/>
      <c r="MZA20" s="16"/>
      <c r="MZB20" s="2185"/>
      <c r="MZC20" s="16"/>
      <c r="MZD20" s="2185"/>
      <c r="MZE20" s="16"/>
      <c r="MZF20" s="2185"/>
      <c r="MZG20" s="16"/>
      <c r="MZH20" s="2185"/>
      <c r="MZI20" s="16"/>
      <c r="MZJ20" s="2185"/>
      <c r="MZK20" s="16"/>
      <c r="MZL20" s="2185"/>
      <c r="MZM20" s="16"/>
      <c r="MZN20" s="2185"/>
      <c r="MZO20" s="16"/>
      <c r="MZP20" s="2185"/>
      <c r="MZQ20" s="16"/>
      <c r="MZR20" s="2185"/>
      <c r="MZS20" s="16"/>
      <c r="MZT20" s="2185"/>
      <c r="MZU20" s="16"/>
      <c r="MZV20" s="2185"/>
      <c r="MZW20" s="16"/>
      <c r="MZX20" s="2185"/>
      <c r="MZY20" s="16"/>
      <c r="MZZ20" s="2185"/>
      <c r="NAA20" s="16"/>
      <c r="NAB20" s="2185"/>
      <c r="NAC20" s="16"/>
      <c r="NAD20" s="2185"/>
      <c r="NAE20" s="16"/>
      <c r="NAF20" s="2185"/>
      <c r="NAG20" s="16"/>
      <c r="NAH20" s="2185"/>
      <c r="NAI20" s="16"/>
      <c r="NAJ20" s="2185"/>
      <c r="NAK20" s="16"/>
      <c r="NAL20" s="2185"/>
      <c r="NAM20" s="16"/>
      <c r="NAN20" s="2185"/>
      <c r="NAO20" s="16"/>
      <c r="NAP20" s="2185"/>
      <c r="NAQ20" s="16"/>
      <c r="NAR20" s="2185"/>
      <c r="NAS20" s="16"/>
      <c r="NAT20" s="2185"/>
      <c r="NAU20" s="16"/>
      <c r="NAV20" s="2185"/>
      <c r="NAW20" s="16"/>
      <c r="NAX20" s="2185"/>
      <c r="NAY20" s="16"/>
      <c r="NAZ20" s="2185"/>
      <c r="NBA20" s="16"/>
      <c r="NBB20" s="2185"/>
      <c r="NBC20" s="16"/>
      <c r="NBD20" s="2185"/>
      <c r="NBE20" s="16"/>
      <c r="NBF20" s="2185"/>
      <c r="NBG20" s="16"/>
      <c r="NBH20" s="2185"/>
      <c r="NBI20" s="16"/>
      <c r="NBJ20" s="2185"/>
      <c r="NBK20" s="16"/>
      <c r="NBL20" s="2185"/>
      <c r="NBM20" s="16"/>
      <c r="NBN20" s="2185"/>
      <c r="NBO20" s="16"/>
      <c r="NBP20" s="2185"/>
      <c r="NBQ20" s="16"/>
      <c r="NBR20" s="2185"/>
      <c r="NBS20" s="16"/>
      <c r="NBT20" s="2185"/>
      <c r="NBU20" s="16"/>
      <c r="NBV20" s="2185"/>
      <c r="NBW20" s="16"/>
      <c r="NBX20" s="2185"/>
      <c r="NBY20" s="16"/>
      <c r="NBZ20" s="2185"/>
      <c r="NCA20" s="16"/>
      <c r="NCB20" s="2185"/>
      <c r="NCC20" s="16"/>
      <c r="NCD20" s="2185"/>
      <c r="NCE20" s="16"/>
      <c r="NCF20" s="2185"/>
      <c r="NCG20" s="16"/>
      <c r="NCH20" s="2185"/>
      <c r="NCI20" s="16"/>
      <c r="NCJ20" s="2185"/>
      <c r="NCK20" s="16"/>
      <c r="NCL20" s="2185"/>
      <c r="NCM20" s="16"/>
      <c r="NCN20" s="2185"/>
      <c r="NCO20" s="16"/>
      <c r="NCP20" s="2185"/>
      <c r="NCQ20" s="16"/>
      <c r="NCR20" s="2185"/>
      <c r="NCS20" s="16"/>
      <c r="NCT20" s="2185"/>
      <c r="NCU20" s="16"/>
      <c r="NCV20" s="2185"/>
      <c r="NCW20" s="16"/>
      <c r="NCX20" s="2185"/>
      <c r="NCY20" s="16"/>
      <c r="NCZ20" s="2185"/>
      <c r="NDA20" s="16"/>
      <c r="NDB20" s="2185"/>
      <c r="NDC20" s="16"/>
      <c r="NDD20" s="2185"/>
      <c r="NDE20" s="16"/>
      <c r="NDF20" s="2185"/>
      <c r="NDG20" s="16"/>
      <c r="NDH20" s="2185"/>
      <c r="NDI20" s="16"/>
      <c r="NDJ20" s="2185"/>
      <c r="NDK20" s="16"/>
      <c r="NDL20" s="2185"/>
      <c r="NDM20" s="16"/>
      <c r="NDN20" s="2185"/>
      <c r="NDO20" s="16"/>
      <c r="NDP20" s="2185"/>
      <c r="NDQ20" s="16"/>
      <c r="NDR20" s="2185"/>
      <c r="NDS20" s="16"/>
      <c r="NDT20" s="2185"/>
      <c r="NDU20" s="16"/>
      <c r="NDV20" s="2185"/>
      <c r="NDW20" s="16"/>
      <c r="NDX20" s="2185"/>
      <c r="NDY20" s="16"/>
      <c r="NDZ20" s="2185"/>
      <c r="NEA20" s="16"/>
      <c r="NEB20" s="2185"/>
      <c r="NEC20" s="16"/>
      <c r="NED20" s="2185"/>
      <c r="NEE20" s="16"/>
      <c r="NEF20" s="2185"/>
      <c r="NEG20" s="16"/>
      <c r="NEH20" s="2185"/>
      <c r="NEI20" s="16"/>
      <c r="NEJ20" s="2185"/>
      <c r="NEK20" s="16"/>
      <c r="NEL20" s="2185"/>
      <c r="NEM20" s="16"/>
      <c r="NEN20" s="2185"/>
      <c r="NEO20" s="16"/>
      <c r="NEP20" s="2185"/>
      <c r="NEQ20" s="16"/>
      <c r="NER20" s="2185"/>
      <c r="NES20" s="16"/>
      <c r="NET20" s="2185"/>
      <c r="NEU20" s="16"/>
      <c r="NEV20" s="2185"/>
      <c r="NEW20" s="16"/>
      <c r="NEX20" s="2185"/>
      <c r="NEY20" s="16"/>
      <c r="NEZ20" s="2185"/>
      <c r="NFA20" s="16"/>
      <c r="NFB20" s="2185"/>
      <c r="NFC20" s="16"/>
      <c r="NFD20" s="2185"/>
      <c r="NFE20" s="16"/>
      <c r="NFF20" s="2185"/>
      <c r="NFG20" s="16"/>
      <c r="NFH20" s="2185"/>
      <c r="NFI20" s="16"/>
      <c r="NFJ20" s="2185"/>
      <c r="NFK20" s="16"/>
      <c r="NFL20" s="2185"/>
      <c r="NFM20" s="16"/>
      <c r="NFN20" s="2185"/>
      <c r="NFO20" s="16"/>
      <c r="NFP20" s="2185"/>
      <c r="NFQ20" s="16"/>
      <c r="NFR20" s="2185"/>
      <c r="NFS20" s="16"/>
      <c r="NFT20" s="2185"/>
      <c r="NFU20" s="16"/>
      <c r="NFV20" s="2185"/>
      <c r="NFW20" s="16"/>
      <c r="NFX20" s="2185"/>
      <c r="NFY20" s="16"/>
      <c r="NFZ20" s="2185"/>
      <c r="NGA20" s="16"/>
      <c r="NGB20" s="2185"/>
      <c r="NGC20" s="16"/>
      <c r="NGD20" s="2185"/>
      <c r="NGE20" s="16"/>
      <c r="NGF20" s="2185"/>
      <c r="NGG20" s="16"/>
      <c r="NGH20" s="2185"/>
      <c r="NGI20" s="16"/>
      <c r="NGJ20" s="2185"/>
      <c r="NGK20" s="16"/>
      <c r="NGL20" s="2185"/>
      <c r="NGM20" s="16"/>
      <c r="NGN20" s="2185"/>
      <c r="NGO20" s="16"/>
      <c r="NGP20" s="2185"/>
      <c r="NGQ20" s="16"/>
      <c r="NGR20" s="2185"/>
      <c r="NGS20" s="16"/>
      <c r="NGT20" s="2185"/>
      <c r="NGU20" s="16"/>
      <c r="NGV20" s="2185"/>
      <c r="NGW20" s="16"/>
      <c r="NGX20" s="2185"/>
      <c r="NGY20" s="16"/>
      <c r="NGZ20" s="2185"/>
      <c r="NHA20" s="16"/>
      <c r="NHB20" s="2185"/>
      <c r="NHC20" s="16"/>
      <c r="NHD20" s="2185"/>
      <c r="NHE20" s="16"/>
      <c r="NHF20" s="2185"/>
      <c r="NHG20" s="16"/>
      <c r="NHH20" s="2185"/>
      <c r="NHI20" s="16"/>
      <c r="NHJ20" s="2185"/>
      <c r="NHK20" s="16"/>
      <c r="NHL20" s="2185"/>
      <c r="NHM20" s="16"/>
      <c r="NHN20" s="2185"/>
      <c r="NHO20" s="16"/>
      <c r="NHP20" s="2185"/>
      <c r="NHQ20" s="16"/>
      <c r="NHR20" s="2185"/>
      <c r="NHS20" s="16"/>
      <c r="NHT20" s="2185"/>
      <c r="NHU20" s="16"/>
      <c r="NHV20" s="2185"/>
      <c r="NHW20" s="16"/>
      <c r="NHX20" s="2185"/>
      <c r="NHY20" s="16"/>
      <c r="NHZ20" s="2185"/>
      <c r="NIA20" s="16"/>
      <c r="NIB20" s="2185"/>
      <c r="NIC20" s="16"/>
      <c r="NID20" s="2185"/>
      <c r="NIE20" s="16"/>
      <c r="NIF20" s="2185"/>
      <c r="NIG20" s="16"/>
      <c r="NIH20" s="2185"/>
      <c r="NII20" s="16"/>
      <c r="NIJ20" s="2185"/>
      <c r="NIK20" s="16"/>
      <c r="NIL20" s="2185"/>
      <c r="NIM20" s="16"/>
      <c r="NIN20" s="2185"/>
      <c r="NIO20" s="16"/>
      <c r="NIP20" s="2185"/>
      <c r="NIQ20" s="16"/>
      <c r="NIR20" s="2185"/>
      <c r="NIS20" s="16"/>
      <c r="NIT20" s="2185"/>
      <c r="NIU20" s="16"/>
      <c r="NIV20" s="2185"/>
      <c r="NIW20" s="16"/>
      <c r="NIX20" s="2185"/>
      <c r="NIY20" s="16"/>
      <c r="NIZ20" s="2185"/>
      <c r="NJA20" s="16"/>
      <c r="NJB20" s="2185"/>
      <c r="NJC20" s="16"/>
      <c r="NJD20" s="2185"/>
      <c r="NJE20" s="16"/>
      <c r="NJF20" s="2185"/>
      <c r="NJG20" s="16"/>
      <c r="NJH20" s="2185"/>
      <c r="NJI20" s="16"/>
      <c r="NJJ20" s="2185"/>
      <c r="NJK20" s="16"/>
      <c r="NJL20" s="2185"/>
      <c r="NJM20" s="16"/>
      <c r="NJN20" s="2185"/>
      <c r="NJO20" s="16"/>
      <c r="NJP20" s="2185"/>
      <c r="NJQ20" s="16"/>
      <c r="NJR20" s="2185"/>
      <c r="NJS20" s="16"/>
      <c r="NJT20" s="2185"/>
      <c r="NJU20" s="16"/>
      <c r="NJV20" s="2185"/>
      <c r="NJW20" s="16"/>
      <c r="NJX20" s="2185"/>
      <c r="NJY20" s="16"/>
      <c r="NJZ20" s="2185"/>
      <c r="NKA20" s="16"/>
      <c r="NKB20" s="2185"/>
      <c r="NKC20" s="16"/>
      <c r="NKD20" s="2185"/>
      <c r="NKE20" s="16"/>
      <c r="NKF20" s="2185"/>
      <c r="NKG20" s="16"/>
      <c r="NKH20" s="2185"/>
      <c r="NKI20" s="16"/>
      <c r="NKJ20" s="2185"/>
      <c r="NKK20" s="16"/>
      <c r="NKL20" s="2185"/>
      <c r="NKM20" s="16"/>
      <c r="NKN20" s="2185"/>
      <c r="NKO20" s="16"/>
      <c r="NKP20" s="2185"/>
      <c r="NKQ20" s="16"/>
      <c r="NKR20" s="2185"/>
      <c r="NKS20" s="16"/>
      <c r="NKT20" s="2185"/>
      <c r="NKU20" s="16"/>
      <c r="NKV20" s="2185"/>
      <c r="NKW20" s="16"/>
      <c r="NKX20" s="2185"/>
      <c r="NKY20" s="16"/>
      <c r="NKZ20" s="2185"/>
      <c r="NLA20" s="16"/>
      <c r="NLB20" s="2185"/>
      <c r="NLC20" s="16"/>
      <c r="NLD20" s="2185"/>
      <c r="NLE20" s="16"/>
      <c r="NLF20" s="2185"/>
      <c r="NLG20" s="16"/>
      <c r="NLH20" s="2185"/>
      <c r="NLI20" s="16"/>
      <c r="NLJ20" s="2185"/>
      <c r="NLK20" s="16"/>
      <c r="NLL20" s="2185"/>
      <c r="NLM20" s="16"/>
      <c r="NLN20" s="2185"/>
      <c r="NLO20" s="16"/>
      <c r="NLP20" s="2185"/>
      <c r="NLQ20" s="16"/>
      <c r="NLR20" s="2185"/>
      <c r="NLS20" s="16"/>
      <c r="NLT20" s="2185"/>
      <c r="NLU20" s="16"/>
      <c r="NLV20" s="2185"/>
      <c r="NLW20" s="16"/>
      <c r="NLX20" s="2185"/>
      <c r="NLY20" s="16"/>
      <c r="NLZ20" s="2185"/>
      <c r="NMA20" s="16"/>
      <c r="NMB20" s="2185"/>
      <c r="NMC20" s="16"/>
      <c r="NMD20" s="2185"/>
      <c r="NME20" s="16"/>
      <c r="NMF20" s="2185"/>
      <c r="NMG20" s="16"/>
      <c r="NMH20" s="2185"/>
      <c r="NMI20" s="16"/>
      <c r="NMJ20" s="2185"/>
      <c r="NMK20" s="16"/>
      <c r="NML20" s="2185"/>
      <c r="NMM20" s="16"/>
      <c r="NMN20" s="2185"/>
      <c r="NMO20" s="16"/>
      <c r="NMP20" s="2185"/>
      <c r="NMQ20" s="16"/>
      <c r="NMR20" s="2185"/>
      <c r="NMS20" s="16"/>
      <c r="NMT20" s="2185"/>
      <c r="NMU20" s="16"/>
      <c r="NMV20" s="2185"/>
      <c r="NMW20" s="16"/>
      <c r="NMX20" s="2185"/>
      <c r="NMY20" s="16"/>
      <c r="NMZ20" s="2185"/>
      <c r="NNA20" s="16"/>
      <c r="NNB20" s="2185"/>
      <c r="NNC20" s="16"/>
      <c r="NND20" s="2185"/>
      <c r="NNE20" s="16"/>
      <c r="NNF20" s="2185"/>
      <c r="NNG20" s="16"/>
      <c r="NNH20" s="2185"/>
      <c r="NNI20" s="16"/>
      <c r="NNJ20" s="2185"/>
      <c r="NNK20" s="16"/>
      <c r="NNL20" s="2185"/>
      <c r="NNM20" s="16"/>
      <c r="NNN20" s="2185"/>
      <c r="NNO20" s="16"/>
      <c r="NNP20" s="2185"/>
      <c r="NNQ20" s="16"/>
      <c r="NNR20" s="2185"/>
      <c r="NNS20" s="16"/>
      <c r="NNT20" s="2185"/>
      <c r="NNU20" s="16"/>
      <c r="NNV20" s="2185"/>
      <c r="NNW20" s="16"/>
      <c r="NNX20" s="2185"/>
      <c r="NNY20" s="16"/>
      <c r="NNZ20" s="2185"/>
      <c r="NOA20" s="16"/>
      <c r="NOB20" s="2185"/>
      <c r="NOC20" s="16"/>
      <c r="NOD20" s="2185"/>
      <c r="NOE20" s="16"/>
      <c r="NOF20" s="2185"/>
      <c r="NOG20" s="16"/>
      <c r="NOH20" s="2185"/>
      <c r="NOI20" s="16"/>
      <c r="NOJ20" s="2185"/>
      <c r="NOK20" s="16"/>
      <c r="NOL20" s="2185"/>
      <c r="NOM20" s="16"/>
      <c r="NON20" s="2185"/>
      <c r="NOO20" s="16"/>
      <c r="NOP20" s="2185"/>
      <c r="NOQ20" s="16"/>
      <c r="NOR20" s="2185"/>
      <c r="NOS20" s="16"/>
      <c r="NOT20" s="2185"/>
      <c r="NOU20" s="16"/>
      <c r="NOV20" s="2185"/>
      <c r="NOW20" s="16"/>
      <c r="NOX20" s="2185"/>
      <c r="NOY20" s="16"/>
      <c r="NOZ20" s="2185"/>
      <c r="NPA20" s="16"/>
      <c r="NPB20" s="2185"/>
      <c r="NPC20" s="16"/>
      <c r="NPD20" s="2185"/>
      <c r="NPE20" s="16"/>
      <c r="NPF20" s="2185"/>
      <c r="NPG20" s="16"/>
      <c r="NPH20" s="2185"/>
      <c r="NPI20" s="16"/>
      <c r="NPJ20" s="2185"/>
      <c r="NPK20" s="16"/>
      <c r="NPL20" s="2185"/>
      <c r="NPM20" s="16"/>
      <c r="NPN20" s="2185"/>
      <c r="NPO20" s="16"/>
      <c r="NPP20" s="2185"/>
      <c r="NPQ20" s="16"/>
      <c r="NPR20" s="2185"/>
      <c r="NPS20" s="16"/>
      <c r="NPT20" s="2185"/>
      <c r="NPU20" s="16"/>
      <c r="NPV20" s="2185"/>
      <c r="NPW20" s="16"/>
      <c r="NPX20" s="2185"/>
      <c r="NPY20" s="16"/>
      <c r="NPZ20" s="2185"/>
      <c r="NQA20" s="16"/>
      <c r="NQB20" s="2185"/>
      <c r="NQC20" s="16"/>
      <c r="NQD20" s="2185"/>
      <c r="NQE20" s="16"/>
      <c r="NQF20" s="2185"/>
      <c r="NQG20" s="16"/>
      <c r="NQH20" s="2185"/>
      <c r="NQI20" s="16"/>
      <c r="NQJ20" s="2185"/>
      <c r="NQK20" s="16"/>
      <c r="NQL20" s="2185"/>
      <c r="NQM20" s="16"/>
      <c r="NQN20" s="2185"/>
      <c r="NQO20" s="16"/>
      <c r="NQP20" s="2185"/>
      <c r="NQQ20" s="16"/>
      <c r="NQR20" s="2185"/>
      <c r="NQS20" s="16"/>
      <c r="NQT20" s="2185"/>
      <c r="NQU20" s="16"/>
      <c r="NQV20" s="2185"/>
      <c r="NQW20" s="16"/>
      <c r="NQX20" s="2185"/>
      <c r="NQY20" s="16"/>
      <c r="NQZ20" s="2185"/>
      <c r="NRA20" s="16"/>
      <c r="NRB20" s="2185"/>
      <c r="NRC20" s="16"/>
      <c r="NRD20" s="2185"/>
      <c r="NRE20" s="16"/>
      <c r="NRF20" s="2185"/>
      <c r="NRG20" s="16"/>
      <c r="NRH20" s="2185"/>
      <c r="NRI20" s="16"/>
      <c r="NRJ20" s="2185"/>
      <c r="NRK20" s="16"/>
      <c r="NRL20" s="2185"/>
      <c r="NRM20" s="16"/>
      <c r="NRN20" s="2185"/>
      <c r="NRO20" s="16"/>
      <c r="NRP20" s="2185"/>
      <c r="NRQ20" s="16"/>
      <c r="NRR20" s="2185"/>
      <c r="NRS20" s="16"/>
      <c r="NRT20" s="2185"/>
      <c r="NRU20" s="16"/>
      <c r="NRV20" s="2185"/>
      <c r="NRW20" s="16"/>
      <c r="NRX20" s="2185"/>
      <c r="NRY20" s="16"/>
      <c r="NRZ20" s="2185"/>
      <c r="NSA20" s="16"/>
      <c r="NSB20" s="2185"/>
      <c r="NSC20" s="16"/>
      <c r="NSD20" s="2185"/>
      <c r="NSE20" s="16"/>
      <c r="NSF20" s="2185"/>
      <c r="NSG20" s="16"/>
      <c r="NSH20" s="2185"/>
      <c r="NSI20" s="16"/>
      <c r="NSJ20" s="2185"/>
      <c r="NSK20" s="16"/>
      <c r="NSL20" s="2185"/>
      <c r="NSM20" s="16"/>
      <c r="NSN20" s="2185"/>
      <c r="NSO20" s="16"/>
      <c r="NSP20" s="2185"/>
      <c r="NSQ20" s="16"/>
      <c r="NSR20" s="2185"/>
      <c r="NSS20" s="16"/>
      <c r="NST20" s="2185"/>
      <c r="NSU20" s="16"/>
      <c r="NSV20" s="2185"/>
      <c r="NSW20" s="16"/>
      <c r="NSX20" s="2185"/>
      <c r="NSY20" s="16"/>
      <c r="NSZ20" s="2185"/>
      <c r="NTA20" s="16"/>
      <c r="NTB20" s="2185"/>
      <c r="NTC20" s="16"/>
      <c r="NTD20" s="2185"/>
      <c r="NTE20" s="16"/>
      <c r="NTF20" s="2185"/>
      <c r="NTG20" s="16"/>
      <c r="NTH20" s="2185"/>
      <c r="NTI20" s="16"/>
      <c r="NTJ20" s="2185"/>
      <c r="NTK20" s="16"/>
      <c r="NTL20" s="2185"/>
      <c r="NTM20" s="16"/>
      <c r="NTN20" s="2185"/>
      <c r="NTO20" s="16"/>
      <c r="NTP20" s="2185"/>
      <c r="NTQ20" s="16"/>
      <c r="NTR20" s="2185"/>
      <c r="NTS20" s="16"/>
      <c r="NTT20" s="2185"/>
      <c r="NTU20" s="16"/>
      <c r="NTV20" s="2185"/>
      <c r="NTW20" s="16"/>
      <c r="NTX20" s="2185"/>
      <c r="NTY20" s="16"/>
      <c r="NTZ20" s="2185"/>
      <c r="NUA20" s="16"/>
      <c r="NUB20" s="2185"/>
      <c r="NUC20" s="16"/>
      <c r="NUD20" s="2185"/>
      <c r="NUE20" s="16"/>
      <c r="NUF20" s="2185"/>
      <c r="NUG20" s="16"/>
      <c r="NUH20" s="2185"/>
      <c r="NUI20" s="16"/>
      <c r="NUJ20" s="2185"/>
      <c r="NUK20" s="16"/>
      <c r="NUL20" s="2185"/>
      <c r="NUM20" s="16"/>
      <c r="NUN20" s="2185"/>
      <c r="NUO20" s="16"/>
      <c r="NUP20" s="2185"/>
      <c r="NUQ20" s="16"/>
      <c r="NUR20" s="2185"/>
      <c r="NUS20" s="16"/>
      <c r="NUT20" s="2185"/>
      <c r="NUU20" s="16"/>
      <c r="NUV20" s="2185"/>
      <c r="NUW20" s="16"/>
      <c r="NUX20" s="2185"/>
      <c r="NUY20" s="16"/>
      <c r="NUZ20" s="2185"/>
      <c r="NVA20" s="16"/>
      <c r="NVB20" s="2185"/>
      <c r="NVC20" s="16"/>
      <c r="NVD20" s="2185"/>
      <c r="NVE20" s="16"/>
      <c r="NVF20" s="2185"/>
      <c r="NVG20" s="16"/>
      <c r="NVH20" s="2185"/>
      <c r="NVI20" s="16"/>
      <c r="NVJ20" s="2185"/>
      <c r="NVK20" s="16"/>
      <c r="NVL20" s="2185"/>
      <c r="NVM20" s="16"/>
      <c r="NVN20" s="2185"/>
      <c r="NVO20" s="16"/>
      <c r="NVP20" s="2185"/>
      <c r="NVQ20" s="16"/>
      <c r="NVR20" s="2185"/>
      <c r="NVS20" s="16"/>
      <c r="NVT20" s="2185"/>
      <c r="NVU20" s="16"/>
      <c r="NVV20" s="2185"/>
      <c r="NVW20" s="16"/>
      <c r="NVX20" s="2185"/>
      <c r="NVY20" s="16"/>
      <c r="NVZ20" s="2185"/>
      <c r="NWA20" s="16"/>
      <c r="NWB20" s="2185"/>
      <c r="NWC20" s="16"/>
      <c r="NWD20" s="2185"/>
      <c r="NWE20" s="16"/>
      <c r="NWF20" s="2185"/>
      <c r="NWG20" s="16"/>
      <c r="NWH20" s="2185"/>
      <c r="NWI20" s="16"/>
      <c r="NWJ20" s="2185"/>
      <c r="NWK20" s="16"/>
      <c r="NWL20" s="2185"/>
      <c r="NWM20" s="16"/>
      <c r="NWN20" s="2185"/>
      <c r="NWO20" s="16"/>
      <c r="NWP20" s="2185"/>
      <c r="NWQ20" s="16"/>
      <c r="NWR20" s="2185"/>
      <c r="NWS20" s="16"/>
      <c r="NWT20" s="2185"/>
      <c r="NWU20" s="16"/>
      <c r="NWV20" s="2185"/>
      <c r="NWW20" s="16"/>
      <c r="NWX20" s="2185"/>
      <c r="NWY20" s="16"/>
      <c r="NWZ20" s="2185"/>
      <c r="NXA20" s="16"/>
      <c r="NXB20" s="2185"/>
      <c r="NXC20" s="16"/>
      <c r="NXD20" s="2185"/>
      <c r="NXE20" s="16"/>
      <c r="NXF20" s="2185"/>
      <c r="NXG20" s="16"/>
      <c r="NXH20" s="2185"/>
      <c r="NXI20" s="16"/>
      <c r="NXJ20" s="2185"/>
      <c r="NXK20" s="16"/>
      <c r="NXL20" s="2185"/>
      <c r="NXM20" s="16"/>
      <c r="NXN20" s="2185"/>
      <c r="NXO20" s="16"/>
      <c r="NXP20" s="2185"/>
      <c r="NXQ20" s="16"/>
      <c r="NXR20" s="2185"/>
      <c r="NXS20" s="16"/>
      <c r="NXT20" s="2185"/>
      <c r="NXU20" s="16"/>
      <c r="NXV20" s="2185"/>
      <c r="NXW20" s="16"/>
      <c r="NXX20" s="2185"/>
      <c r="NXY20" s="16"/>
      <c r="NXZ20" s="2185"/>
      <c r="NYA20" s="16"/>
      <c r="NYB20" s="2185"/>
      <c r="NYC20" s="16"/>
      <c r="NYD20" s="2185"/>
      <c r="NYE20" s="16"/>
      <c r="NYF20" s="2185"/>
      <c r="NYG20" s="16"/>
      <c r="NYH20" s="2185"/>
      <c r="NYI20" s="16"/>
      <c r="NYJ20" s="2185"/>
      <c r="NYK20" s="16"/>
      <c r="NYL20" s="2185"/>
      <c r="NYM20" s="16"/>
      <c r="NYN20" s="2185"/>
      <c r="NYO20" s="16"/>
      <c r="NYP20" s="2185"/>
      <c r="NYQ20" s="16"/>
      <c r="NYR20" s="2185"/>
      <c r="NYS20" s="16"/>
      <c r="NYT20" s="2185"/>
      <c r="NYU20" s="16"/>
      <c r="NYV20" s="2185"/>
      <c r="NYW20" s="16"/>
      <c r="NYX20" s="2185"/>
      <c r="NYY20" s="16"/>
      <c r="NYZ20" s="2185"/>
      <c r="NZA20" s="16"/>
      <c r="NZB20" s="2185"/>
      <c r="NZC20" s="16"/>
      <c r="NZD20" s="2185"/>
      <c r="NZE20" s="16"/>
      <c r="NZF20" s="2185"/>
      <c r="NZG20" s="16"/>
      <c r="NZH20" s="2185"/>
      <c r="NZI20" s="16"/>
      <c r="NZJ20" s="2185"/>
      <c r="NZK20" s="16"/>
      <c r="NZL20" s="2185"/>
      <c r="NZM20" s="16"/>
      <c r="NZN20" s="2185"/>
      <c r="NZO20" s="16"/>
      <c r="NZP20" s="2185"/>
      <c r="NZQ20" s="16"/>
      <c r="NZR20" s="2185"/>
      <c r="NZS20" s="16"/>
      <c r="NZT20" s="2185"/>
      <c r="NZU20" s="16"/>
      <c r="NZV20" s="2185"/>
      <c r="NZW20" s="16"/>
      <c r="NZX20" s="2185"/>
      <c r="NZY20" s="16"/>
      <c r="NZZ20" s="2185"/>
      <c r="OAA20" s="16"/>
      <c r="OAB20" s="2185"/>
      <c r="OAC20" s="16"/>
      <c r="OAD20" s="2185"/>
      <c r="OAE20" s="16"/>
      <c r="OAF20" s="2185"/>
      <c r="OAG20" s="16"/>
      <c r="OAH20" s="2185"/>
      <c r="OAI20" s="16"/>
      <c r="OAJ20" s="2185"/>
      <c r="OAK20" s="16"/>
      <c r="OAL20" s="2185"/>
      <c r="OAM20" s="16"/>
      <c r="OAN20" s="2185"/>
      <c r="OAO20" s="16"/>
      <c r="OAP20" s="2185"/>
      <c r="OAQ20" s="16"/>
      <c r="OAR20" s="2185"/>
      <c r="OAS20" s="16"/>
      <c r="OAT20" s="2185"/>
      <c r="OAU20" s="16"/>
      <c r="OAV20" s="2185"/>
      <c r="OAW20" s="16"/>
      <c r="OAX20" s="2185"/>
      <c r="OAY20" s="16"/>
      <c r="OAZ20" s="2185"/>
      <c r="OBA20" s="16"/>
      <c r="OBB20" s="2185"/>
      <c r="OBC20" s="16"/>
      <c r="OBD20" s="2185"/>
      <c r="OBE20" s="16"/>
      <c r="OBF20" s="2185"/>
      <c r="OBG20" s="16"/>
      <c r="OBH20" s="2185"/>
      <c r="OBI20" s="16"/>
      <c r="OBJ20" s="2185"/>
      <c r="OBK20" s="16"/>
      <c r="OBL20" s="2185"/>
      <c r="OBM20" s="16"/>
      <c r="OBN20" s="2185"/>
      <c r="OBO20" s="16"/>
      <c r="OBP20" s="2185"/>
      <c r="OBQ20" s="16"/>
      <c r="OBR20" s="2185"/>
      <c r="OBS20" s="16"/>
      <c r="OBT20" s="2185"/>
      <c r="OBU20" s="16"/>
      <c r="OBV20" s="2185"/>
      <c r="OBW20" s="16"/>
      <c r="OBX20" s="2185"/>
      <c r="OBY20" s="16"/>
      <c r="OBZ20" s="2185"/>
      <c r="OCA20" s="16"/>
      <c r="OCB20" s="2185"/>
      <c r="OCC20" s="16"/>
      <c r="OCD20" s="2185"/>
      <c r="OCE20" s="16"/>
      <c r="OCF20" s="2185"/>
      <c r="OCG20" s="16"/>
      <c r="OCH20" s="2185"/>
      <c r="OCI20" s="16"/>
      <c r="OCJ20" s="2185"/>
      <c r="OCK20" s="16"/>
      <c r="OCL20" s="2185"/>
      <c r="OCM20" s="16"/>
      <c r="OCN20" s="2185"/>
      <c r="OCO20" s="16"/>
      <c r="OCP20" s="2185"/>
      <c r="OCQ20" s="16"/>
      <c r="OCR20" s="2185"/>
      <c r="OCS20" s="16"/>
      <c r="OCT20" s="2185"/>
      <c r="OCU20" s="16"/>
      <c r="OCV20" s="2185"/>
      <c r="OCW20" s="16"/>
      <c r="OCX20" s="2185"/>
      <c r="OCY20" s="16"/>
      <c r="OCZ20" s="2185"/>
      <c r="ODA20" s="16"/>
      <c r="ODB20" s="2185"/>
      <c r="ODC20" s="16"/>
      <c r="ODD20" s="2185"/>
      <c r="ODE20" s="16"/>
      <c r="ODF20" s="2185"/>
      <c r="ODG20" s="16"/>
      <c r="ODH20" s="2185"/>
      <c r="ODI20" s="16"/>
      <c r="ODJ20" s="2185"/>
      <c r="ODK20" s="16"/>
      <c r="ODL20" s="2185"/>
      <c r="ODM20" s="16"/>
      <c r="ODN20" s="2185"/>
      <c r="ODO20" s="16"/>
      <c r="ODP20" s="2185"/>
      <c r="ODQ20" s="16"/>
      <c r="ODR20" s="2185"/>
      <c r="ODS20" s="16"/>
      <c r="ODT20" s="2185"/>
      <c r="ODU20" s="16"/>
      <c r="ODV20" s="2185"/>
      <c r="ODW20" s="16"/>
      <c r="ODX20" s="2185"/>
      <c r="ODY20" s="16"/>
      <c r="ODZ20" s="2185"/>
      <c r="OEA20" s="16"/>
      <c r="OEB20" s="2185"/>
      <c r="OEC20" s="16"/>
      <c r="OED20" s="2185"/>
      <c r="OEE20" s="16"/>
      <c r="OEF20" s="2185"/>
      <c r="OEG20" s="16"/>
      <c r="OEH20" s="2185"/>
      <c r="OEI20" s="16"/>
      <c r="OEJ20" s="2185"/>
      <c r="OEK20" s="16"/>
      <c r="OEL20" s="2185"/>
      <c r="OEM20" s="16"/>
      <c r="OEN20" s="2185"/>
      <c r="OEO20" s="16"/>
      <c r="OEP20" s="2185"/>
      <c r="OEQ20" s="16"/>
      <c r="OER20" s="2185"/>
      <c r="OES20" s="16"/>
      <c r="OET20" s="2185"/>
      <c r="OEU20" s="16"/>
      <c r="OEV20" s="2185"/>
      <c r="OEW20" s="16"/>
      <c r="OEX20" s="2185"/>
      <c r="OEY20" s="16"/>
      <c r="OEZ20" s="2185"/>
      <c r="OFA20" s="16"/>
      <c r="OFB20" s="2185"/>
      <c r="OFC20" s="16"/>
      <c r="OFD20" s="2185"/>
      <c r="OFE20" s="16"/>
      <c r="OFF20" s="2185"/>
      <c r="OFG20" s="16"/>
      <c r="OFH20" s="2185"/>
      <c r="OFI20" s="16"/>
      <c r="OFJ20" s="2185"/>
      <c r="OFK20" s="16"/>
      <c r="OFL20" s="2185"/>
      <c r="OFM20" s="16"/>
      <c r="OFN20" s="2185"/>
      <c r="OFO20" s="16"/>
      <c r="OFP20" s="2185"/>
      <c r="OFQ20" s="16"/>
      <c r="OFR20" s="2185"/>
      <c r="OFS20" s="16"/>
      <c r="OFT20" s="2185"/>
      <c r="OFU20" s="16"/>
      <c r="OFV20" s="2185"/>
      <c r="OFW20" s="16"/>
      <c r="OFX20" s="2185"/>
      <c r="OFY20" s="16"/>
      <c r="OFZ20" s="2185"/>
      <c r="OGA20" s="16"/>
      <c r="OGB20" s="2185"/>
      <c r="OGC20" s="16"/>
      <c r="OGD20" s="2185"/>
      <c r="OGE20" s="16"/>
      <c r="OGF20" s="2185"/>
      <c r="OGG20" s="16"/>
      <c r="OGH20" s="2185"/>
      <c r="OGI20" s="16"/>
      <c r="OGJ20" s="2185"/>
      <c r="OGK20" s="16"/>
      <c r="OGL20" s="2185"/>
      <c r="OGM20" s="16"/>
      <c r="OGN20" s="2185"/>
      <c r="OGO20" s="16"/>
      <c r="OGP20" s="2185"/>
      <c r="OGQ20" s="16"/>
      <c r="OGR20" s="2185"/>
      <c r="OGS20" s="16"/>
      <c r="OGT20" s="2185"/>
      <c r="OGU20" s="16"/>
      <c r="OGV20" s="2185"/>
      <c r="OGW20" s="16"/>
      <c r="OGX20" s="2185"/>
      <c r="OGY20" s="16"/>
      <c r="OGZ20" s="2185"/>
      <c r="OHA20" s="16"/>
      <c r="OHB20" s="2185"/>
      <c r="OHC20" s="16"/>
      <c r="OHD20" s="2185"/>
      <c r="OHE20" s="16"/>
      <c r="OHF20" s="2185"/>
      <c r="OHG20" s="16"/>
      <c r="OHH20" s="2185"/>
      <c r="OHI20" s="16"/>
      <c r="OHJ20" s="2185"/>
      <c r="OHK20" s="16"/>
      <c r="OHL20" s="2185"/>
      <c r="OHM20" s="16"/>
      <c r="OHN20" s="2185"/>
      <c r="OHO20" s="16"/>
      <c r="OHP20" s="2185"/>
      <c r="OHQ20" s="16"/>
      <c r="OHR20" s="2185"/>
      <c r="OHS20" s="16"/>
      <c r="OHT20" s="2185"/>
      <c r="OHU20" s="16"/>
      <c r="OHV20" s="2185"/>
      <c r="OHW20" s="16"/>
      <c r="OHX20" s="2185"/>
      <c r="OHY20" s="16"/>
      <c r="OHZ20" s="2185"/>
      <c r="OIA20" s="16"/>
      <c r="OIB20" s="2185"/>
      <c r="OIC20" s="16"/>
      <c r="OID20" s="2185"/>
      <c r="OIE20" s="16"/>
      <c r="OIF20" s="2185"/>
      <c r="OIG20" s="16"/>
      <c r="OIH20" s="2185"/>
      <c r="OII20" s="16"/>
      <c r="OIJ20" s="2185"/>
      <c r="OIK20" s="16"/>
      <c r="OIL20" s="2185"/>
      <c r="OIM20" s="16"/>
      <c r="OIN20" s="2185"/>
      <c r="OIO20" s="16"/>
      <c r="OIP20" s="2185"/>
      <c r="OIQ20" s="16"/>
      <c r="OIR20" s="2185"/>
      <c r="OIS20" s="16"/>
      <c r="OIT20" s="2185"/>
      <c r="OIU20" s="16"/>
      <c r="OIV20" s="2185"/>
      <c r="OIW20" s="16"/>
      <c r="OIX20" s="2185"/>
      <c r="OIY20" s="16"/>
      <c r="OIZ20" s="2185"/>
      <c r="OJA20" s="16"/>
      <c r="OJB20" s="2185"/>
      <c r="OJC20" s="16"/>
      <c r="OJD20" s="2185"/>
      <c r="OJE20" s="16"/>
      <c r="OJF20" s="2185"/>
      <c r="OJG20" s="16"/>
      <c r="OJH20" s="2185"/>
      <c r="OJI20" s="16"/>
      <c r="OJJ20" s="2185"/>
      <c r="OJK20" s="16"/>
      <c r="OJL20" s="2185"/>
      <c r="OJM20" s="16"/>
      <c r="OJN20" s="2185"/>
      <c r="OJO20" s="16"/>
      <c r="OJP20" s="2185"/>
      <c r="OJQ20" s="16"/>
      <c r="OJR20" s="2185"/>
      <c r="OJS20" s="16"/>
      <c r="OJT20" s="2185"/>
      <c r="OJU20" s="16"/>
      <c r="OJV20" s="2185"/>
      <c r="OJW20" s="16"/>
      <c r="OJX20" s="2185"/>
      <c r="OJY20" s="16"/>
      <c r="OJZ20" s="2185"/>
      <c r="OKA20" s="16"/>
      <c r="OKB20" s="2185"/>
      <c r="OKC20" s="16"/>
      <c r="OKD20" s="2185"/>
      <c r="OKE20" s="16"/>
      <c r="OKF20" s="2185"/>
      <c r="OKG20" s="16"/>
      <c r="OKH20" s="2185"/>
      <c r="OKI20" s="16"/>
      <c r="OKJ20" s="2185"/>
      <c r="OKK20" s="16"/>
      <c r="OKL20" s="2185"/>
      <c r="OKM20" s="16"/>
      <c r="OKN20" s="2185"/>
      <c r="OKO20" s="16"/>
      <c r="OKP20" s="2185"/>
      <c r="OKQ20" s="16"/>
      <c r="OKR20" s="2185"/>
      <c r="OKS20" s="16"/>
      <c r="OKT20" s="2185"/>
      <c r="OKU20" s="16"/>
      <c r="OKV20" s="2185"/>
      <c r="OKW20" s="16"/>
      <c r="OKX20" s="2185"/>
      <c r="OKY20" s="16"/>
      <c r="OKZ20" s="2185"/>
      <c r="OLA20" s="16"/>
      <c r="OLB20" s="2185"/>
      <c r="OLC20" s="16"/>
      <c r="OLD20" s="2185"/>
      <c r="OLE20" s="16"/>
      <c r="OLF20" s="2185"/>
      <c r="OLG20" s="16"/>
      <c r="OLH20" s="2185"/>
      <c r="OLI20" s="16"/>
      <c r="OLJ20" s="2185"/>
      <c r="OLK20" s="16"/>
      <c r="OLL20" s="2185"/>
      <c r="OLM20" s="16"/>
      <c r="OLN20" s="2185"/>
      <c r="OLO20" s="16"/>
      <c r="OLP20" s="2185"/>
      <c r="OLQ20" s="16"/>
      <c r="OLR20" s="2185"/>
      <c r="OLS20" s="16"/>
      <c r="OLT20" s="2185"/>
      <c r="OLU20" s="16"/>
      <c r="OLV20" s="2185"/>
      <c r="OLW20" s="16"/>
      <c r="OLX20" s="2185"/>
      <c r="OLY20" s="16"/>
      <c r="OLZ20" s="2185"/>
      <c r="OMA20" s="16"/>
      <c r="OMB20" s="2185"/>
      <c r="OMC20" s="16"/>
      <c r="OMD20" s="2185"/>
      <c r="OME20" s="16"/>
      <c r="OMF20" s="2185"/>
      <c r="OMG20" s="16"/>
      <c r="OMH20" s="2185"/>
      <c r="OMI20" s="16"/>
      <c r="OMJ20" s="2185"/>
      <c r="OMK20" s="16"/>
      <c r="OML20" s="2185"/>
      <c r="OMM20" s="16"/>
      <c r="OMN20" s="2185"/>
      <c r="OMO20" s="16"/>
      <c r="OMP20" s="2185"/>
      <c r="OMQ20" s="16"/>
      <c r="OMR20" s="2185"/>
      <c r="OMS20" s="16"/>
      <c r="OMT20" s="2185"/>
      <c r="OMU20" s="16"/>
      <c r="OMV20" s="2185"/>
      <c r="OMW20" s="16"/>
      <c r="OMX20" s="2185"/>
      <c r="OMY20" s="16"/>
      <c r="OMZ20" s="2185"/>
      <c r="ONA20" s="16"/>
      <c r="ONB20" s="2185"/>
      <c r="ONC20" s="16"/>
      <c r="OND20" s="2185"/>
      <c r="ONE20" s="16"/>
      <c r="ONF20" s="2185"/>
      <c r="ONG20" s="16"/>
      <c r="ONH20" s="2185"/>
      <c r="ONI20" s="16"/>
      <c r="ONJ20" s="2185"/>
      <c r="ONK20" s="16"/>
      <c r="ONL20" s="2185"/>
      <c r="ONM20" s="16"/>
      <c r="ONN20" s="2185"/>
      <c r="ONO20" s="16"/>
      <c r="ONP20" s="2185"/>
      <c r="ONQ20" s="16"/>
      <c r="ONR20" s="2185"/>
      <c r="ONS20" s="16"/>
      <c r="ONT20" s="2185"/>
      <c r="ONU20" s="16"/>
      <c r="ONV20" s="2185"/>
      <c r="ONW20" s="16"/>
      <c r="ONX20" s="2185"/>
      <c r="ONY20" s="16"/>
      <c r="ONZ20" s="2185"/>
      <c r="OOA20" s="16"/>
      <c r="OOB20" s="2185"/>
      <c r="OOC20" s="16"/>
      <c r="OOD20" s="2185"/>
      <c r="OOE20" s="16"/>
      <c r="OOF20" s="2185"/>
      <c r="OOG20" s="16"/>
      <c r="OOH20" s="2185"/>
      <c r="OOI20" s="16"/>
      <c r="OOJ20" s="2185"/>
      <c r="OOK20" s="16"/>
      <c r="OOL20" s="2185"/>
      <c r="OOM20" s="16"/>
      <c r="OON20" s="2185"/>
      <c r="OOO20" s="16"/>
      <c r="OOP20" s="2185"/>
      <c r="OOQ20" s="16"/>
      <c r="OOR20" s="2185"/>
      <c r="OOS20" s="16"/>
      <c r="OOT20" s="2185"/>
      <c r="OOU20" s="16"/>
      <c r="OOV20" s="2185"/>
      <c r="OOW20" s="16"/>
      <c r="OOX20" s="2185"/>
      <c r="OOY20" s="16"/>
      <c r="OOZ20" s="2185"/>
      <c r="OPA20" s="16"/>
      <c r="OPB20" s="2185"/>
      <c r="OPC20" s="16"/>
      <c r="OPD20" s="2185"/>
      <c r="OPE20" s="16"/>
      <c r="OPF20" s="2185"/>
      <c r="OPG20" s="16"/>
      <c r="OPH20" s="2185"/>
      <c r="OPI20" s="16"/>
      <c r="OPJ20" s="2185"/>
      <c r="OPK20" s="16"/>
      <c r="OPL20" s="2185"/>
      <c r="OPM20" s="16"/>
      <c r="OPN20" s="2185"/>
      <c r="OPO20" s="16"/>
      <c r="OPP20" s="2185"/>
      <c r="OPQ20" s="16"/>
      <c r="OPR20" s="2185"/>
      <c r="OPS20" s="16"/>
      <c r="OPT20" s="2185"/>
      <c r="OPU20" s="16"/>
      <c r="OPV20" s="2185"/>
      <c r="OPW20" s="16"/>
      <c r="OPX20" s="2185"/>
      <c r="OPY20" s="16"/>
      <c r="OPZ20" s="2185"/>
      <c r="OQA20" s="16"/>
      <c r="OQB20" s="2185"/>
      <c r="OQC20" s="16"/>
      <c r="OQD20" s="2185"/>
      <c r="OQE20" s="16"/>
      <c r="OQF20" s="2185"/>
      <c r="OQG20" s="16"/>
      <c r="OQH20" s="2185"/>
      <c r="OQI20" s="16"/>
      <c r="OQJ20" s="2185"/>
      <c r="OQK20" s="16"/>
      <c r="OQL20" s="2185"/>
      <c r="OQM20" s="16"/>
      <c r="OQN20" s="2185"/>
      <c r="OQO20" s="16"/>
      <c r="OQP20" s="2185"/>
      <c r="OQQ20" s="16"/>
      <c r="OQR20" s="2185"/>
      <c r="OQS20" s="16"/>
      <c r="OQT20" s="2185"/>
      <c r="OQU20" s="16"/>
      <c r="OQV20" s="2185"/>
      <c r="OQW20" s="16"/>
      <c r="OQX20" s="2185"/>
      <c r="OQY20" s="16"/>
      <c r="OQZ20" s="2185"/>
      <c r="ORA20" s="16"/>
      <c r="ORB20" s="2185"/>
      <c r="ORC20" s="16"/>
      <c r="ORD20" s="2185"/>
      <c r="ORE20" s="16"/>
      <c r="ORF20" s="2185"/>
      <c r="ORG20" s="16"/>
      <c r="ORH20" s="2185"/>
      <c r="ORI20" s="16"/>
      <c r="ORJ20" s="2185"/>
      <c r="ORK20" s="16"/>
      <c r="ORL20" s="2185"/>
      <c r="ORM20" s="16"/>
      <c r="ORN20" s="2185"/>
      <c r="ORO20" s="16"/>
      <c r="ORP20" s="2185"/>
      <c r="ORQ20" s="16"/>
      <c r="ORR20" s="2185"/>
      <c r="ORS20" s="16"/>
      <c r="ORT20" s="2185"/>
      <c r="ORU20" s="16"/>
      <c r="ORV20" s="2185"/>
      <c r="ORW20" s="16"/>
      <c r="ORX20" s="2185"/>
      <c r="ORY20" s="16"/>
      <c r="ORZ20" s="2185"/>
      <c r="OSA20" s="16"/>
      <c r="OSB20" s="2185"/>
      <c r="OSC20" s="16"/>
      <c r="OSD20" s="2185"/>
      <c r="OSE20" s="16"/>
      <c r="OSF20" s="2185"/>
      <c r="OSG20" s="16"/>
      <c r="OSH20" s="2185"/>
      <c r="OSI20" s="16"/>
      <c r="OSJ20" s="2185"/>
      <c r="OSK20" s="16"/>
      <c r="OSL20" s="2185"/>
      <c r="OSM20" s="16"/>
      <c r="OSN20" s="2185"/>
      <c r="OSO20" s="16"/>
      <c r="OSP20" s="2185"/>
      <c r="OSQ20" s="16"/>
      <c r="OSR20" s="2185"/>
      <c r="OSS20" s="16"/>
      <c r="OST20" s="2185"/>
      <c r="OSU20" s="16"/>
      <c r="OSV20" s="2185"/>
      <c r="OSW20" s="16"/>
      <c r="OSX20" s="2185"/>
      <c r="OSY20" s="16"/>
      <c r="OSZ20" s="2185"/>
      <c r="OTA20" s="16"/>
      <c r="OTB20" s="2185"/>
      <c r="OTC20" s="16"/>
      <c r="OTD20" s="2185"/>
      <c r="OTE20" s="16"/>
      <c r="OTF20" s="2185"/>
      <c r="OTG20" s="16"/>
      <c r="OTH20" s="2185"/>
      <c r="OTI20" s="16"/>
      <c r="OTJ20" s="2185"/>
      <c r="OTK20" s="16"/>
      <c r="OTL20" s="2185"/>
      <c r="OTM20" s="16"/>
      <c r="OTN20" s="2185"/>
      <c r="OTO20" s="16"/>
      <c r="OTP20" s="2185"/>
      <c r="OTQ20" s="16"/>
      <c r="OTR20" s="2185"/>
      <c r="OTS20" s="16"/>
      <c r="OTT20" s="2185"/>
      <c r="OTU20" s="16"/>
      <c r="OTV20" s="2185"/>
      <c r="OTW20" s="16"/>
      <c r="OTX20" s="2185"/>
      <c r="OTY20" s="16"/>
      <c r="OTZ20" s="2185"/>
      <c r="OUA20" s="16"/>
      <c r="OUB20" s="2185"/>
      <c r="OUC20" s="16"/>
      <c r="OUD20" s="2185"/>
      <c r="OUE20" s="16"/>
      <c r="OUF20" s="2185"/>
      <c r="OUG20" s="16"/>
      <c r="OUH20" s="2185"/>
      <c r="OUI20" s="16"/>
      <c r="OUJ20" s="2185"/>
      <c r="OUK20" s="16"/>
      <c r="OUL20" s="2185"/>
      <c r="OUM20" s="16"/>
      <c r="OUN20" s="2185"/>
      <c r="OUO20" s="16"/>
      <c r="OUP20" s="2185"/>
      <c r="OUQ20" s="16"/>
      <c r="OUR20" s="2185"/>
      <c r="OUS20" s="16"/>
      <c r="OUT20" s="2185"/>
      <c r="OUU20" s="16"/>
      <c r="OUV20" s="2185"/>
      <c r="OUW20" s="16"/>
      <c r="OUX20" s="2185"/>
      <c r="OUY20" s="16"/>
      <c r="OUZ20" s="2185"/>
      <c r="OVA20" s="16"/>
      <c r="OVB20" s="2185"/>
      <c r="OVC20" s="16"/>
      <c r="OVD20" s="2185"/>
      <c r="OVE20" s="16"/>
      <c r="OVF20" s="2185"/>
      <c r="OVG20" s="16"/>
      <c r="OVH20" s="2185"/>
      <c r="OVI20" s="16"/>
      <c r="OVJ20" s="2185"/>
      <c r="OVK20" s="16"/>
      <c r="OVL20" s="2185"/>
      <c r="OVM20" s="16"/>
      <c r="OVN20" s="2185"/>
      <c r="OVO20" s="16"/>
      <c r="OVP20" s="2185"/>
      <c r="OVQ20" s="16"/>
      <c r="OVR20" s="2185"/>
      <c r="OVS20" s="16"/>
      <c r="OVT20" s="2185"/>
      <c r="OVU20" s="16"/>
      <c r="OVV20" s="2185"/>
      <c r="OVW20" s="16"/>
      <c r="OVX20" s="2185"/>
      <c r="OVY20" s="16"/>
      <c r="OVZ20" s="2185"/>
      <c r="OWA20" s="16"/>
      <c r="OWB20" s="2185"/>
      <c r="OWC20" s="16"/>
      <c r="OWD20" s="2185"/>
      <c r="OWE20" s="16"/>
      <c r="OWF20" s="2185"/>
      <c r="OWG20" s="16"/>
      <c r="OWH20" s="2185"/>
      <c r="OWI20" s="16"/>
      <c r="OWJ20" s="2185"/>
      <c r="OWK20" s="16"/>
      <c r="OWL20" s="2185"/>
      <c r="OWM20" s="16"/>
      <c r="OWN20" s="2185"/>
      <c r="OWO20" s="16"/>
      <c r="OWP20" s="2185"/>
      <c r="OWQ20" s="16"/>
      <c r="OWR20" s="2185"/>
      <c r="OWS20" s="16"/>
      <c r="OWT20" s="2185"/>
      <c r="OWU20" s="16"/>
      <c r="OWV20" s="2185"/>
      <c r="OWW20" s="16"/>
      <c r="OWX20" s="2185"/>
      <c r="OWY20" s="16"/>
      <c r="OWZ20" s="2185"/>
      <c r="OXA20" s="16"/>
      <c r="OXB20" s="2185"/>
      <c r="OXC20" s="16"/>
      <c r="OXD20" s="2185"/>
      <c r="OXE20" s="16"/>
      <c r="OXF20" s="2185"/>
      <c r="OXG20" s="16"/>
      <c r="OXH20" s="2185"/>
      <c r="OXI20" s="16"/>
      <c r="OXJ20" s="2185"/>
      <c r="OXK20" s="16"/>
      <c r="OXL20" s="2185"/>
      <c r="OXM20" s="16"/>
      <c r="OXN20" s="2185"/>
      <c r="OXO20" s="16"/>
      <c r="OXP20" s="2185"/>
      <c r="OXQ20" s="16"/>
      <c r="OXR20" s="2185"/>
      <c r="OXS20" s="16"/>
      <c r="OXT20" s="2185"/>
      <c r="OXU20" s="16"/>
      <c r="OXV20" s="2185"/>
      <c r="OXW20" s="16"/>
      <c r="OXX20" s="2185"/>
      <c r="OXY20" s="16"/>
      <c r="OXZ20" s="2185"/>
      <c r="OYA20" s="16"/>
      <c r="OYB20" s="2185"/>
      <c r="OYC20" s="16"/>
      <c r="OYD20" s="2185"/>
      <c r="OYE20" s="16"/>
      <c r="OYF20" s="2185"/>
      <c r="OYG20" s="16"/>
      <c r="OYH20" s="2185"/>
      <c r="OYI20" s="16"/>
      <c r="OYJ20" s="2185"/>
      <c r="OYK20" s="16"/>
      <c r="OYL20" s="2185"/>
      <c r="OYM20" s="16"/>
      <c r="OYN20" s="2185"/>
      <c r="OYO20" s="16"/>
      <c r="OYP20" s="2185"/>
      <c r="OYQ20" s="16"/>
      <c r="OYR20" s="2185"/>
      <c r="OYS20" s="16"/>
      <c r="OYT20" s="2185"/>
      <c r="OYU20" s="16"/>
      <c r="OYV20" s="2185"/>
      <c r="OYW20" s="16"/>
      <c r="OYX20" s="2185"/>
      <c r="OYY20" s="16"/>
      <c r="OYZ20" s="2185"/>
      <c r="OZA20" s="16"/>
      <c r="OZB20" s="2185"/>
      <c r="OZC20" s="16"/>
      <c r="OZD20" s="2185"/>
      <c r="OZE20" s="16"/>
      <c r="OZF20" s="2185"/>
      <c r="OZG20" s="16"/>
      <c r="OZH20" s="2185"/>
      <c r="OZI20" s="16"/>
      <c r="OZJ20" s="2185"/>
      <c r="OZK20" s="16"/>
      <c r="OZL20" s="2185"/>
      <c r="OZM20" s="16"/>
      <c r="OZN20" s="2185"/>
      <c r="OZO20" s="16"/>
      <c r="OZP20" s="2185"/>
      <c r="OZQ20" s="16"/>
      <c r="OZR20" s="2185"/>
      <c r="OZS20" s="16"/>
      <c r="OZT20" s="2185"/>
      <c r="OZU20" s="16"/>
      <c r="OZV20" s="2185"/>
      <c r="OZW20" s="16"/>
      <c r="OZX20" s="2185"/>
      <c r="OZY20" s="16"/>
      <c r="OZZ20" s="2185"/>
      <c r="PAA20" s="16"/>
      <c r="PAB20" s="2185"/>
      <c r="PAC20" s="16"/>
      <c r="PAD20" s="2185"/>
      <c r="PAE20" s="16"/>
      <c r="PAF20" s="2185"/>
      <c r="PAG20" s="16"/>
      <c r="PAH20" s="2185"/>
      <c r="PAI20" s="16"/>
      <c r="PAJ20" s="2185"/>
      <c r="PAK20" s="16"/>
      <c r="PAL20" s="2185"/>
      <c r="PAM20" s="16"/>
      <c r="PAN20" s="2185"/>
      <c r="PAO20" s="16"/>
      <c r="PAP20" s="2185"/>
      <c r="PAQ20" s="16"/>
      <c r="PAR20" s="2185"/>
      <c r="PAS20" s="16"/>
      <c r="PAT20" s="2185"/>
      <c r="PAU20" s="16"/>
      <c r="PAV20" s="2185"/>
      <c r="PAW20" s="16"/>
      <c r="PAX20" s="2185"/>
      <c r="PAY20" s="16"/>
      <c r="PAZ20" s="2185"/>
      <c r="PBA20" s="16"/>
      <c r="PBB20" s="2185"/>
      <c r="PBC20" s="16"/>
      <c r="PBD20" s="2185"/>
      <c r="PBE20" s="16"/>
      <c r="PBF20" s="2185"/>
      <c r="PBG20" s="16"/>
      <c r="PBH20" s="2185"/>
      <c r="PBI20" s="16"/>
      <c r="PBJ20" s="2185"/>
      <c r="PBK20" s="16"/>
      <c r="PBL20" s="2185"/>
      <c r="PBM20" s="16"/>
      <c r="PBN20" s="2185"/>
      <c r="PBO20" s="16"/>
      <c r="PBP20" s="2185"/>
      <c r="PBQ20" s="16"/>
      <c r="PBR20" s="2185"/>
      <c r="PBS20" s="16"/>
      <c r="PBT20" s="2185"/>
      <c r="PBU20" s="16"/>
      <c r="PBV20" s="2185"/>
      <c r="PBW20" s="16"/>
      <c r="PBX20" s="2185"/>
      <c r="PBY20" s="16"/>
      <c r="PBZ20" s="2185"/>
      <c r="PCA20" s="16"/>
      <c r="PCB20" s="2185"/>
      <c r="PCC20" s="16"/>
      <c r="PCD20" s="2185"/>
      <c r="PCE20" s="16"/>
      <c r="PCF20" s="2185"/>
      <c r="PCG20" s="16"/>
      <c r="PCH20" s="2185"/>
      <c r="PCI20" s="16"/>
      <c r="PCJ20" s="2185"/>
      <c r="PCK20" s="16"/>
      <c r="PCL20" s="2185"/>
      <c r="PCM20" s="16"/>
      <c r="PCN20" s="2185"/>
      <c r="PCO20" s="16"/>
      <c r="PCP20" s="2185"/>
      <c r="PCQ20" s="16"/>
      <c r="PCR20" s="2185"/>
      <c r="PCS20" s="16"/>
      <c r="PCT20" s="2185"/>
      <c r="PCU20" s="16"/>
      <c r="PCV20" s="2185"/>
      <c r="PCW20" s="16"/>
      <c r="PCX20" s="2185"/>
      <c r="PCY20" s="16"/>
      <c r="PCZ20" s="2185"/>
      <c r="PDA20" s="16"/>
      <c r="PDB20" s="2185"/>
      <c r="PDC20" s="16"/>
      <c r="PDD20" s="2185"/>
      <c r="PDE20" s="16"/>
      <c r="PDF20" s="2185"/>
      <c r="PDG20" s="16"/>
      <c r="PDH20" s="2185"/>
      <c r="PDI20" s="16"/>
      <c r="PDJ20" s="2185"/>
      <c r="PDK20" s="16"/>
      <c r="PDL20" s="2185"/>
      <c r="PDM20" s="16"/>
      <c r="PDN20" s="2185"/>
      <c r="PDO20" s="16"/>
      <c r="PDP20" s="2185"/>
      <c r="PDQ20" s="16"/>
      <c r="PDR20" s="2185"/>
      <c r="PDS20" s="16"/>
      <c r="PDT20" s="2185"/>
      <c r="PDU20" s="16"/>
      <c r="PDV20" s="2185"/>
      <c r="PDW20" s="16"/>
      <c r="PDX20" s="2185"/>
      <c r="PDY20" s="16"/>
      <c r="PDZ20" s="2185"/>
      <c r="PEA20" s="16"/>
      <c r="PEB20" s="2185"/>
      <c r="PEC20" s="16"/>
      <c r="PED20" s="2185"/>
      <c r="PEE20" s="16"/>
      <c r="PEF20" s="2185"/>
      <c r="PEG20" s="16"/>
      <c r="PEH20" s="2185"/>
      <c r="PEI20" s="16"/>
      <c r="PEJ20" s="2185"/>
      <c r="PEK20" s="16"/>
      <c r="PEL20" s="2185"/>
      <c r="PEM20" s="16"/>
      <c r="PEN20" s="2185"/>
      <c r="PEO20" s="16"/>
      <c r="PEP20" s="2185"/>
      <c r="PEQ20" s="16"/>
      <c r="PER20" s="2185"/>
      <c r="PES20" s="16"/>
      <c r="PET20" s="2185"/>
      <c r="PEU20" s="16"/>
      <c r="PEV20" s="2185"/>
      <c r="PEW20" s="16"/>
      <c r="PEX20" s="2185"/>
      <c r="PEY20" s="16"/>
      <c r="PEZ20" s="2185"/>
      <c r="PFA20" s="16"/>
      <c r="PFB20" s="2185"/>
      <c r="PFC20" s="16"/>
      <c r="PFD20" s="2185"/>
      <c r="PFE20" s="16"/>
      <c r="PFF20" s="2185"/>
      <c r="PFG20" s="16"/>
      <c r="PFH20" s="2185"/>
      <c r="PFI20" s="16"/>
      <c r="PFJ20" s="2185"/>
      <c r="PFK20" s="16"/>
      <c r="PFL20" s="2185"/>
      <c r="PFM20" s="16"/>
      <c r="PFN20" s="2185"/>
      <c r="PFO20" s="16"/>
      <c r="PFP20" s="2185"/>
      <c r="PFQ20" s="16"/>
      <c r="PFR20" s="2185"/>
      <c r="PFS20" s="16"/>
      <c r="PFT20" s="2185"/>
      <c r="PFU20" s="16"/>
      <c r="PFV20" s="2185"/>
      <c r="PFW20" s="16"/>
      <c r="PFX20" s="2185"/>
      <c r="PFY20" s="16"/>
      <c r="PFZ20" s="2185"/>
      <c r="PGA20" s="16"/>
      <c r="PGB20" s="2185"/>
      <c r="PGC20" s="16"/>
      <c r="PGD20" s="2185"/>
      <c r="PGE20" s="16"/>
      <c r="PGF20" s="2185"/>
      <c r="PGG20" s="16"/>
      <c r="PGH20" s="2185"/>
      <c r="PGI20" s="16"/>
      <c r="PGJ20" s="2185"/>
      <c r="PGK20" s="16"/>
      <c r="PGL20" s="2185"/>
      <c r="PGM20" s="16"/>
      <c r="PGN20" s="2185"/>
      <c r="PGO20" s="16"/>
      <c r="PGP20" s="2185"/>
      <c r="PGQ20" s="16"/>
      <c r="PGR20" s="2185"/>
      <c r="PGS20" s="16"/>
      <c r="PGT20" s="2185"/>
      <c r="PGU20" s="16"/>
      <c r="PGV20" s="2185"/>
      <c r="PGW20" s="16"/>
      <c r="PGX20" s="2185"/>
      <c r="PGY20" s="16"/>
      <c r="PGZ20" s="2185"/>
      <c r="PHA20" s="16"/>
      <c r="PHB20" s="2185"/>
      <c r="PHC20" s="16"/>
      <c r="PHD20" s="2185"/>
      <c r="PHE20" s="16"/>
      <c r="PHF20" s="2185"/>
      <c r="PHG20" s="16"/>
      <c r="PHH20" s="2185"/>
      <c r="PHI20" s="16"/>
      <c r="PHJ20" s="2185"/>
      <c r="PHK20" s="16"/>
      <c r="PHL20" s="2185"/>
      <c r="PHM20" s="16"/>
      <c r="PHN20" s="2185"/>
      <c r="PHO20" s="16"/>
      <c r="PHP20" s="2185"/>
      <c r="PHQ20" s="16"/>
      <c r="PHR20" s="2185"/>
      <c r="PHS20" s="16"/>
      <c r="PHT20" s="2185"/>
      <c r="PHU20" s="16"/>
      <c r="PHV20" s="2185"/>
      <c r="PHW20" s="16"/>
      <c r="PHX20" s="2185"/>
      <c r="PHY20" s="16"/>
      <c r="PHZ20" s="2185"/>
      <c r="PIA20" s="16"/>
      <c r="PIB20" s="2185"/>
      <c r="PIC20" s="16"/>
      <c r="PID20" s="2185"/>
      <c r="PIE20" s="16"/>
      <c r="PIF20" s="2185"/>
      <c r="PIG20" s="16"/>
      <c r="PIH20" s="2185"/>
      <c r="PII20" s="16"/>
      <c r="PIJ20" s="2185"/>
      <c r="PIK20" s="16"/>
      <c r="PIL20" s="2185"/>
      <c r="PIM20" s="16"/>
      <c r="PIN20" s="2185"/>
      <c r="PIO20" s="16"/>
      <c r="PIP20" s="2185"/>
      <c r="PIQ20" s="16"/>
      <c r="PIR20" s="2185"/>
      <c r="PIS20" s="16"/>
      <c r="PIT20" s="2185"/>
      <c r="PIU20" s="16"/>
      <c r="PIV20" s="2185"/>
      <c r="PIW20" s="16"/>
      <c r="PIX20" s="2185"/>
      <c r="PIY20" s="16"/>
      <c r="PIZ20" s="2185"/>
      <c r="PJA20" s="16"/>
      <c r="PJB20" s="2185"/>
      <c r="PJC20" s="16"/>
      <c r="PJD20" s="2185"/>
      <c r="PJE20" s="16"/>
      <c r="PJF20" s="2185"/>
      <c r="PJG20" s="16"/>
      <c r="PJH20" s="2185"/>
      <c r="PJI20" s="16"/>
      <c r="PJJ20" s="2185"/>
      <c r="PJK20" s="16"/>
      <c r="PJL20" s="2185"/>
      <c r="PJM20" s="16"/>
      <c r="PJN20" s="2185"/>
      <c r="PJO20" s="16"/>
      <c r="PJP20" s="2185"/>
      <c r="PJQ20" s="16"/>
      <c r="PJR20" s="2185"/>
      <c r="PJS20" s="16"/>
      <c r="PJT20" s="2185"/>
      <c r="PJU20" s="16"/>
      <c r="PJV20" s="2185"/>
      <c r="PJW20" s="16"/>
      <c r="PJX20" s="2185"/>
      <c r="PJY20" s="16"/>
      <c r="PJZ20" s="2185"/>
      <c r="PKA20" s="16"/>
      <c r="PKB20" s="2185"/>
      <c r="PKC20" s="16"/>
      <c r="PKD20" s="2185"/>
      <c r="PKE20" s="16"/>
      <c r="PKF20" s="2185"/>
      <c r="PKG20" s="16"/>
      <c r="PKH20" s="2185"/>
      <c r="PKI20" s="16"/>
      <c r="PKJ20" s="2185"/>
      <c r="PKK20" s="16"/>
      <c r="PKL20" s="2185"/>
      <c r="PKM20" s="16"/>
      <c r="PKN20" s="2185"/>
      <c r="PKO20" s="16"/>
      <c r="PKP20" s="2185"/>
      <c r="PKQ20" s="16"/>
      <c r="PKR20" s="2185"/>
      <c r="PKS20" s="16"/>
      <c r="PKT20" s="2185"/>
      <c r="PKU20" s="16"/>
      <c r="PKV20" s="2185"/>
      <c r="PKW20" s="16"/>
      <c r="PKX20" s="2185"/>
      <c r="PKY20" s="16"/>
      <c r="PKZ20" s="2185"/>
      <c r="PLA20" s="16"/>
      <c r="PLB20" s="2185"/>
      <c r="PLC20" s="16"/>
      <c r="PLD20" s="2185"/>
      <c r="PLE20" s="16"/>
      <c r="PLF20" s="2185"/>
      <c r="PLG20" s="16"/>
      <c r="PLH20" s="2185"/>
      <c r="PLI20" s="16"/>
      <c r="PLJ20" s="2185"/>
      <c r="PLK20" s="16"/>
      <c r="PLL20" s="2185"/>
      <c r="PLM20" s="16"/>
      <c r="PLN20" s="2185"/>
      <c r="PLO20" s="16"/>
      <c r="PLP20" s="2185"/>
      <c r="PLQ20" s="16"/>
      <c r="PLR20" s="2185"/>
      <c r="PLS20" s="16"/>
      <c r="PLT20" s="2185"/>
      <c r="PLU20" s="16"/>
      <c r="PLV20" s="2185"/>
      <c r="PLW20" s="16"/>
      <c r="PLX20" s="2185"/>
      <c r="PLY20" s="16"/>
      <c r="PLZ20" s="2185"/>
      <c r="PMA20" s="16"/>
      <c r="PMB20" s="2185"/>
      <c r="PMC20" s="16"/>
      <c r="PMD20" s="2185"/>
      <c r="PME20" s="16"/>
      <c r="PMF20" s="2185"/>
      <c r="PMG20" s="16"/>
      <c r="PMH20" s="2185"/>
      <c r="PMI20" s="16"/>
      <c r="PMJ20" s="2185"/>
      <c r="PMK20" s="16"/>
      <c r="PML20" s="2185"/>
      <c r="PMM20" s="16"/>
      <c r="PMN20" s="2185"/>
      <c r="PMO20" s="16"/>
      <c r="PMP20" s="2185"/>
      <c r="PMQ20" s="16"/>
      <c r="PMR20" s="2185"/>
      <c r="PMS20" s="16"/>
      <c r="PMT20" s="2185"/>
      <c r="PMU20" s="16"/>
      <c r="PMV20" s="2185"/>
      <c r="PMW20" s="16"/>
      <c r="PMX20" s="2185"/>
      <c r="PMY20" s="16"/>
      <c r="PMZ20" s="2185"/>
      <c r="PNA20" s="16"/>
      <c r="PNB20" s="2185"/>
      <c r="PNC20" s="16"/>
      <c r="PND20" s="2185"/>
      <c r="PNE20" s="16"/>
      <c r="PNF20" s="2185"/>
      <c r="PNG20" s="16"/>
      <c r="PNH20" s="2185"/>
      <c r="PNI20" s="16"/>
      <c r="PNJ20" s="2185"/>
      <c r="PNK20" s="16"/>
      <c r="PNL20" s="2185"/>
      <c r="PNM20" s="16"/>
      <c r="PNN20" s="2185"/>
      <c r="PNO20" s="16"/>
      <c r="PNP20" s="2185"/>
      <c r="PNQ20" s="16"/>
      <c r="PNR20" s="2185"/>
      <c r="PNS20" s="16"/>
      <c r="PNT20" s="2185"/>
      <c r="PNU20" s="16"/>
      <c r="PNV20" s="2185"/>
      <c r="PNW20" s="16"/>
      <c r="PNX20" s="2185"/>
      <c r="PNY20" s="16"/>
      <c r="PNZ20" s="2185"/>
      <c r="POA20" s="16"/>
      <c r="POB20" s="2185"/>
      <c r="POC20" s="16"/>
      <c r="POD20" s="2185"/>
      <c r="POE20" s="16"/>
      <c r="POF20" s="2185"/>
      <c r="POG20" s="16"/>
      <c r="POH20" s="2185"/>
      <c r="POI20" s="16"/>
      <c r="POJ20" s="2185"/>
      <c r="POK20" s="16"/>
      <c r="POL20" s="2185"/>
      <c r="POM20" s="16"/>
      <c r="PON20" s="2185"/>
      <c r="POO20" s="16"/>
      <c r="POP20" s="2185"/>
      <c r="POQ20" s="16"/>
      <c r="POR20" s="2185"/>
      <c r="POS20" s="16"/>
      <c r="POT20" s="2185"/>
      <c r="POU20" s="16"/>
      <c r="POV20" s="2185"/>
      <c r="POW20" s="16"/>
      <c r="POX20" s="2185"/>
      <c r="POY20" s="16"/>
      <c r="POZ20" s="2185"/>
      <c r="PPA20" s="16"/>
      <c r="PPB20" s="2185"/>
      <c r="PPC20" s="16"/>
      <c r="PPD20" s="2185"/>
      <c r="PPE20" s="16"/>
      <c r="PPF20" s="2185"/>
      <c r="PPG20" s="16"/>
      <c r="PPH20" s="2185"/>
      <c r="PPI20" s="16"/>
      <c r="PPJ20" s="2185"/>
      <c r="PPK20" s="16"/>
      <c r="PPL20" s="2185"/>
      <c r="PPM20" s="16"/>
      <c r="PPN20" s="2185"/>
      <c r="PPO20" s="16"/>
      <c r="PPP20" s="2185"/>
      <c r="PPQ20" s="16"/>
      <c r="PPR20" s="2185"/>
      <c r="PPS20" s="16"/>
      <c r="PPT20" s="2185"/>
      <c r="PPU20" s="16"/>
      <c r="PPV20" s="2185"/>
      <c r="PPW20" s="16"/>
      <c r="PPX20" s="2185"/>
      <c r="PPY20" s="16"/>
      <c r="PPZ20" s="2185"/>
      <c r="PQA20" s="16"/>
      <c r="PQB20" s="2185"/>
      <c r="PQC20" s="16"/>
      <c r="PQD20" s="2185"/>
      <c r="PQE20" s="16"/>
      <c r="PQF20" s="2185"/>
      <c r="PQG20" s="16"/>
      <c r="PQH20" s="2185"/>
      <c r="PQI20" s="16"/>
      <c r="PQJ20" s="2185"/>
      <c r="PQK20" s="16"/>
      <c r="PQL20" s="2185"/>
      <c r="PQM20" s="16"/>
      <c r="PQN20" s="2185"/>
      <c r="PQO20" s="16"/>
      <c r="PQP20" s="2185"/>
      <c r="PQQ20" s="16"/>
      <c r="PQR20" s="2185"/>
      <c r="PQS20" s="16"/>
      <c r="PQT20" s="2185"/>
      <c r="PQU20" s="16"/>
      <c r="PQV20" s="2185"/>
      <c r="PQW20" s="16"/>
      <c r="PQX20" s="2185"/>
      <c r="PQY20" s="16"/>
      <c r="PQZ20" s="2185"/>
      <c r="PRA20" s="16"/>
      <c r="PRB20" s="2185"/>
      <c r="PRC20" s="16"/>
      <c r="PRD20" s="2185"/>
      <c r="PRE20" s="16"/>
      <c r="PRF20" s="2185"/>
      <c r="PRG20" s="16"/>
      <c r="PRH20" s="2185"/>
      <c r="PRI20" s="16"/>
      <c r="PRJ20" s="2185"/>
      <c r="PRK20" s="16"/>
      <c r="PRL20" s="2185"/>
      <c r="PRM20" s="16"/>
      <c r="PRN20" s="2185"/>
      <c r="PRO20" s="16"/>
      <c r="PRP20" s="2185"/>
      <c r="PRQ20" s="16"/>
      <c r="PRR20" s="2185"/>
      <c r="PRS20" s="16"/>
      <c r="PRT20" s="2185"/>
      <c r="PRU20" s="16"/>
      <c r="PRV20" s="2185"/>
      <c r="PRW20" s="16"/>
      <c r="PRX20" s="2185"/>
      <c r="PRY20" s="16"/>
      <c r="PRZ20" s="2185"/>
      <c r="PSA20" s="16"/>
      <c r="PSB20" s="2185"/>
      <c r="PSC20" s="16"/>
      <c r="PSD20" s="2185"/>
      <c r="PSE20" s="16"/>
      <c r="PSF20" s="2185"/>
      <c r="PSG20" s="16"/>
      <c r="PSH20" s="2185"/>
      <c r="PSI20" s="16"/>
      <c r="PSJ20" s="2185"/>
      <c r="PSK20" s="16"/>
      <c r="PSL20" s="2185"/>
      <c r="PSM20" s="16"/>
      <c r="PSN20" s="2185"/>
      <c r="PSO20" s="16"/>
      <c r="PSP20" s="2185"/>
      <c r="PSQ20" s="16"/>
      <c r="PSR20" s="2185"/>
      <c r="PSS20" s="16"/>
      <c r="PST20" s="2185"/>
      <c r="PSU20" s="16"/>
      <c r="PSV20" s="2185"/>
      <c r="PSW20" s="16"/>
      <c r="PSX20" s="2185"/>
      <c r="PSY20" s="16"/>
      <c r="PSZ20" s="2185"/>
      <c r="PTA20" s="16"/>
      <c r="PTB20" s="2185"/>
      <c r="PTC20" s="16"/>
      <c r="PTD20" s="2185"/>
      <c r="PTE20" s="16"/>
      <c r="PTF20" s="2185"/>
      <c r="PTG20" s="16"/>
      <c r="PTH20" s="2185"/>
      <c r="PTI20" s="16"/>
      <c r="PTJ20" s="2185"/>
      <c r="PTK20" s="16"/>
      <c r="PTL20" s="2185"/>
      <c r="PTM20" s="16"/>
      <c r="PTN20" s="2185"/>
      <c r="PTO20" s="16"/>
      <c r="PTP20" s="2185"/>
      <c r="PTQ20" s="16"/>
      <c r="PTR20" s="2185"/>
      <c r="PTS20" s="16"/>
      <c r="PTT20" s="2185"/>
      <c r="PTU20" s="16"/>
      <c r="PTV20" s="2185"/>
      <c r="PTW20" s="16"/>
      <c r="PTX20" s="2185"/>
      <c r="PTY20" s="16"/>
      <c r="PTZ20" s="2185"/>
      <c r="PUA20" s="16"/>
      <c r="PUB20" s="2185"/>
      <c r="PUC20" s="16"/>
      <c r="PUD20" s="2185"/>
      <c r="PUE20" s="16"/>
      <c r="PUF20" s="2185"/>
      <c r="PUG20" s="16"/>
      <c r="PUH20" s="2185"/>
      <c r="PUI20" s="16"/>
      <c r="PUJ20" s="2185"/>
      <c r="PUK20" s="16"/>
      <c r="PUL20" s="2185"/>
      <c r="PUM20" s="16"/>
      <c r="PUN20" s="2185"/>
      <c r="PUO20" s="16"/>
      <c r="PUP20" s="2185"/>
      <c r="PUQ20" s="16"/>
      <c r="PUR20" s="2185"/>
      <c r="PUS20" s="16"/>
      <c r="PUT20" s="2185"/>
      <c r="PUU20" s="16"/>
      <c r="PUV20" s="2185"/>
      <c r="PUW20" s="16"/>
      <c r="PUX20" s="2185"/>
      <c r="PUY20" s="16"/>
      <c r="PUZ20" s="2185"/>
      <c r="PVA20" s="16"/>
      <c r="PVB20" s="2185"/>
      <c r="PVC20" s="16"/>
      <c r="PVD20" s="2185"/>
      <c r="PVE20" s="16"/>
      <c r="PVF20" s="2185"/>
      <c r="PVG20" s="16"/>
      <c r="PVH20" s="2185"/>
      <c r="PVI20" s="16"/>
      <c r="PVJ20" s="2185"/>
      <c r="PVK20" s="16"/>
      <c r="PVL20" s="2185"/>
      <c r="PVM20" s="16"/>
      <c r="PVN20" s="2185"/>
      <c r="PVO20" s="16"/>
      <c r="PVP20" s="2185"/>
      <c r="PVQ20" s="16"/>
      <c r="PVR20" s="2185"/>
      <c r="PVS20" s="16"/>
      <c r="PVT20" s="2185"/>
      <c r="PVU20" s="16"/>
      <c r="PVV20" s="2185"/>
      <c r="PVW20" s="16"/>
      <c r="PVX20" s="2185"/>
      <c r="PVY20" s="16"/>
      <c r="PVZ20" s="2185"/>
      <c r="PWA20" s="16"/>
      <c r="PWB20" s="2185"/>
      <c r="PWC20" s="16"/>
      <c r="PWD20" s="2185"/>
      <c r="PWE20" s="16"/>
      <c r="PWF20" s="2185"/>
      <c r="PWG20" s="16"/>
      <c r="PWH20" s="2185"/>
      <c r="PWI20" s="16"/>
      <c r="PWJ20" s="2185"/>
      <c r="PWK20" s="16"/>
      <c r="PWL20" s="2185"/>
      <c r="PWM20" s="16"/>
      <c r="PWN20" s="2185"/>
      <c r="PWO20" s="16"/>
      <c r="PWP20" s="2185"/>
      <c r="PWQ20" s="16"/>
      <c r="PWR20" s="2185"/>
      <c r="PWS20" s="16"/>
      <c r="PWT20" s="2185"/>
      <c r="PWU20" s="16"/>
      <c r="PWV20" s="2185"/>
      <c r="PWW20" s="16"/>
      <c r="PWX20" s="2185"/>
      <c r="PWY20" s="16"/>
      <c r="PWZ20" s="2185"/>
      <c r="PXA20" s="16"/>
      <c r="PXB20" s="2185"/>
      <c r="PXC20" s="16"/>
      <c r="PXD20" s="2185"/>
      <c r="PXE20" s="16"/>
      <c r="PXF20" s="2185"/>
      <c r="PXG20" s="16"/>
      <c r="PXH20" s="2185"/>
      <c r="PXI20" s="16"/>
      <c r="PXJ20" s="2185"/>
      <c r="PXK20" s="16"/>
      <c r="PXL20" s="2185"/>
      <c r="PXM20" s="16"/>
      <c r="PXN20" s="2185"/>
      <c r="PXO20" s="16"/>
      <c r="PXP20" s="2185"/>
      <c r="PXQ20" s="16"/>
      <c r="PXR20" s="2185"/>
      <c r="PXS20" s="16"/>
      <c r="PXT20" s="2185"/>
      <c r="PXU20" s="16"/>
      <c r="PXV20" s="2185"/>
      <c r="PXW20" s="16"/>
      <c r="PXX20" s="2185"/>
      <c r="PXY20" s="16"/>
      <c r="PXZ20" s="2185"/>
      <c r="PYA20" s="16"/>
      <c r="PYB20" s="2185"/>
      <c r="PYC20" s="16"/>
      <c r="PYD20" s="2185"/>
      <c r="PYE20" s="16"/>
      <c r="PYF20" s="2185"/>
      <c r="PYG20" s="16"/>
      <c r="PYH20" s="2185"/>
      <c r="PYI20" s="16"/>
      <c r="PYJ20" s="2185"/>
      <c r="PYK20" s="16"/>
      <c r="PYL20" s="2185"/>
      <c r="PYM20" s="16"/>
      <c r="PYN20" s="2185"/>
      <c r="PYO20" s="16"/>
      <c r="PYP20" s="2185"/>
      <c r="PYQ20" s="16"/>
      <c r="PYR20" s="2185"/>
      <c r="PYS20" s="16"/>
      <c r="PYT20" s="2185"/>
      <c r="PYU20" s="16"/>
      <c r="PYV20" s="2185"/>
      <c r="PYW20" s="16"/>
      <c r="PYX20" s="2185"/>
      <c r="PYY20" s="16"/>
      <c r="PYZ20" s="2185"/>
      <c r="PZA20" s="16"/>
      <c r="PZB20" s="2185"/>
      <c r="PZC20" s="16"/>
      <c r="PZD20" s="2185"/>
      <c r="PZE20" s="16"/>
      <c r="PZF20" s="2185"/>
      <c r="PZG20" s="16"/>
      <c r="PZH20" s="2185"/>
      <c r="PZI20" s="16"/>
      <c r="PZJ20" s="2185"/>
      <c r="PZK20" s="16"/>
      <c r="PZL20" s="2185"/>
      <c r="PZM20" s="16"/>
      <c r="PZN20" s="2185"/>
      <c r="PZO20" s="16"/>
      <c r="PZP20" s="2185"/>
      <c r="PZQ20" s="16"/>
      <c r="PZR20" s="2185"/>
      <c r="PZS20" s="16"/>
      <c r="PZT20" s="2185"/>
      <c r="PZU20" s="16"/>
      <c r="PZV20" s="2185"/>
      <c r="PZW20" s="16"/>
      <c r="PZX20" s="2185"/>
      <c r="PZY20" s="16"/>
      <c r="PZZ20" s="2185"/>
      <c r="QAA20" s="16"/>
      <c r="QAB20" s="2185"/>
      <c r="QAC20" s="16"/>
      <c r="QAD20" s="2185"/>
      <c r="QAE20" s="16"/>
      <c r="QAF20" s="2185"/>
      <c r="QAG20" s="16"/>
      <c r="QAH20" s="2185"/>
      <c r="QAI20" s="16"/>
      <c r="QAJ20" s="2185"/>
      <c r="QAK20" s="16"/>
      <c r="QAL20" s="2185"/>
      <c r="QAM20" s="16"/>
      <c r="QAN20" s="2185"/>
      <c r="QAO20" s="16"/>
      <c r="QAP20" s="2185"/>
      <c r="QAQ20" s="16"/>
      <c r="QAR20" s="2185"/>
      <c r="QAS20" s="16"/>
      <c r="QAT20" s="2185"/>
      <c r="QAU20" s="16"/>
      <c r="QAV20" s="2185"/>
      <c r="QAW20" s="16"/>
      <c r="QAX20" s="2185"/>
      <c r="QAY20" s="16"/>
      <c r="QAZ20" s="2185"/>
      <c r="QBA20" s="16"/>
      <c r="QBB20" s="2185"/>
      <c r="QBC20" s="16"/>
      <c r="QBD20" s="2185"/>
      <c r="QBE20" s="16"/>
      <c r="QBF20" s="2185"/>
      <c r="QBG20" s="16"/>
      <c r="QBH20" s="2185"/>
      <c r="QBI20" s="16"/>
      <c r="QBJ20" s="2185"/>
      <c r="QBK20" s="16"/>
      <c r="QBL20" s="2185"/>
      <c r="QBM20" s="16"/>
      <c r="QBN20" s="2185"/>
      <c r="QBO20" s="16"/>
      <c r="QBP20" s="2185"/>
      <c r="QBQ20" s="16"/>
      <c r="QBR20" s="2185"/>
      <c r="QBS20" s="16"/>
      <c r="QBT20" s="2185"/>
      <c r="QBU20" s="16"/>
      <c r="QBV20" s="2185"/>
      <c r="QBW20" s="16"/>
      <c r="QBX20" s="2185"/>
      <c r="QBY20" s="16"/>
      <c r="QBZ20" s="2185"/>
      <c r="QCA20" s="16"/>
      <c r="QCB20" s="2185"/>
      <c r="QCC20" s="16"/>
      <c r="QCD20" s="2185"/>
      <c r="QCE20" s="16"/>
      <c r="QCF20" s="2185"/>
      <c r="QCG20" s="16"/>
      <c r="QCH20" s="2185"/>
      <c r="QCI20" s="16"/>
      <c r="QCJ20" s="2185"/>
      <c r="QCK20" s="16"/>
      <c r="QCL20" s="2185"/>
      <c r="QCM20" s="16"/>
      <c r="QCN20" s="2185"/>
      <c r="QCO20" s="16"/>
      <c r="QCP20" s="2185"/>
      <c r="QCQ20" s="16"/>
      <c r="QCR20" s="2185"/>
      <c r="QCS20" s="16"/>
      <c r="QCT20" s="2185"/>
      <c r="QCU20" s="16"/>
      <c r="QCV20" s="2185"/>
      <c r="QCW20" s="16"/>
      <c r="QCX20" s="2185"/>
      <c r="QCY20" s="16"/>
      <c r="QCZ20" s="2185"/>
      <c r="QDA20" s="16"/>
      <c r="QDB20" s="2185"/>
      <c r="QDC20" s="16"/>
      <c r="QDD20" s="2185"/>
      <c r="QDE20" s="16"/>
      <c r="QDF20" s="2185"/>
      <c r="QDG20" s="16"/>
      <c r="QDH20" s="2185"/>
      <c r="QDI20" s="16"/>
      <c r="QDJ20" s="2185"/>
      <c r="QDK20" s="16"/>
      <c r="QDL20" s="2185"/>
      <c r="QDM20" s="16"/>
      <c r="QDN20" s="2185"/>
      <c r="QDO20" s="16"/>
      <c r="QDP20" s="2185"/>
      <c r="QDQ20" s="16"/>
      <c r="QDR20" s="2185"/>
      <c r="QDS20" s="16"/>
      <c r="QDT20" s="2185"/>
      <c r="QDU20" s="16"/>
      <c r="QDV20" s="2185"/>
      <c r="QDW20" s="16"/>
      <c r="QDX20" s="2185"/>
      <c r="QDY20" s="16"/>
      <c r="QDZ20" s="2185"/>
      <c r="QEA20" s="16"/>
      <c r="QEB20" s="2185"/>
      <c r="QEC20" s="16"/>
      <c r="QED20" s="2185"/>
      <c r="QEE20" s="16"/>
      <c r="QEF20" s="2185"/>
      <c r="QEG20" s="16"/>
      <c r="QEH20" s="2185"/>
      <c r="QEI20" s="16"/>
      <c r="QEJ20" s="2185"/>
      <c r="QEK20" s="16"/>
      <c r="QEL20" s="2185"/>
      <c r="QEM20" s="16"/>
      <c r="QEN20" s="2185"/>
      <c r="QEO20" s="16"/>
      <c r="QEP20" s="2185"/>
      <c r="QEQ20" s="16"/>
      <c r="QER20" s="2185"/>
      <c r="QES20" s="16"/>
      <c r="QET20" s="2185"/>
      <c r="QEU20" s="16"/>
      <c r="QEV20" s="2185"/>
      <c r="QEW20" s="16"/>
      <c r="QEX20" s="2185"/>
      <c r="QEY20" s="16"/>
      <c r="QEZ20" s="2185"/>
      <c r="QFA20" s="16"/>
      <c r="QFB20" s="2185"/>
      <c r="QFC20" s="16"/>
      <c r="QFD20" s="2185"/>
      <c r="QFE20" s="16"/>
      <c r="QFF20" s="2185"/>
      <c r="QFG20" s="16"/>
      <c r="QFH20" s="2185"/>
      <c r="QFI20" s="16"/>
      <c r="QFJ20" s="2185"/>
      <c r="QFK20" s="16"/>
      <c r="QFL20" s="2185"/>
      <c r="QFM20" s="16"/>
      <c r="QFN20" s="2185"/>
      <c r="QFO20" s="16"/>
      <c r="QFP20" s="2185"/>
      <c r="QFQ20" s="16"/>
      <c r="QFR20" s="2185"/>
      <c r="QFS20" s="16"/>
      <c r="QFT20" s="2185"/>
      <c r="QFU20" s="16"/>
      <c r="QFV20" s="2185"/>
      <c r="QFW20" s="16"/>
      <c r="QFX20" s="2185"/>
      <c r="QFY20" s="16"/>
      <c r="QFZ20" s="2185"/>
      <c r="QGA20" s="16"/>
      <c r="QGB20" s="2185"/>
      <c r="QGC20" s="16"/>
      <c r="QGD20" s="2185"/>
      <c r="QGE20" s="16"/>
      <c r="QGF20" s="2185"/>
      <c r="QGG20" s="16"/>
      <c r="QGH20" s="2185"/>
      <c r="QGI20" s="16"/>
      <c r="QGJ20" s="2185"/>
      <c r="QGK20" s="16"/>
      <c r="QGL20" s="2185"/>
      <c r="QGM20" s="16"/>
      <c r="QGN20" s="2185"/>
      <c r="QGO20" s="16"/>
      <c r="QGP20" s="2185"/>
      <c r="QGQ20" s="16"/>
      <c r="QGR20" s="2185"/>
      <c r="QGS20" s="16"/>
      <c r="QGT20" s="2185"/>
      <c r="QGU20" s="16"/>
      <c r="QGV20" s="2185"/>
      <c r="QGW20" s="16"/>
      <c r="QGX20" s="2185"/>
      <c r="QGY20" s="16"/>
      <c r="QGZ20" s="2185"/>
      <c r="QHA20" s="16"/>
      <c r="QHB20" s="2185"/>
      <c r="QHC20" s="16"/>
      <c r="QHD20" s="2185"/>
      <c r="QHE20" s="16"/>
      <c r="QHF20" s="2185"/>
      <c r="QHG20" s="16"/>
      <c r="QHH20" s="2185"/>
      <c r="QHI20" s="16"/>
      <c r="QHJ20" s="2185"/>
      <c r="QHK20" s="16"/>
      <c r="QHL20" s="2185"/>
      <c r="QHM20" s="16"/>
      <c r="QHN20" s="2185"/>
      <c r="QHO20" s="16"/>
      <c r="QHP20" s="2185"/>
      <c r="QHQ20" s="16"/>
      <c r="QHR20" s="2185"/>
      <c r="QHS20" s="16"/>
      <c r="QHT20" s="2185"/>
      <c r="QHU20" s="16"/>
      <c r="QHV20" s="2185"/>
      <c r="QHW20" s="16"/>
      <c r="QHX20" s="2185"/>
      <c r="QHY20" s="16"/>
      <c r="QHZ20" s="2185"/>
      <c r="QIA20" s="16"/>
      <c r="QIB20" s="2185"/>
      <c r="QIC20" s="16"/>
      <c r="QID20" s="2185"/>
      <c r="QIE20" s="16"/>
      <c r="QIF20" s="2185"/>
      <c r="QIG20" s="16"/>
      <c r="QIH20" s="2185"/>
      <c r="QII20" s="16"/>
      <c r="QIJ20" s="2185"/>
      <c r="QIK20" s="16"/>
      <c r="QIL20" s="2185"/>
      <c r="QIM20" s="16"/>
      <c r="QIN20" s="2185"/>
      <c r="QIO20" s="16"/>
      <c r="QIP20" s="2185"/>
      <c r="QIQ20" s="16"/>
      <c r="QIR20" s="2185"/>
      <c r="QIS20" s="16"/>
      <c r="QIT20" s="2185"/>
      <c r="QIU20" s="16"/>
      <c r="QIV20" s="2185"/>
      <c r="QIW20" s="16"/>
      <c r="QIX20" s="2185"/>
      <c r="QIY20" s="16"/>
      <c r="QIZ20" s="2185"/>
      <c r="QJA20" s="16"/>
      <c r="QJB20" s="2185"/>
      <c r="QJC20" s="16"/>
      <c r="QJD20" s="2185"/>
      <c r="QJE20" s="16"/>
      <c r="QJF20" s="2185"/>
      <c r="QJG20" s="16"/>
      <c r="QJH20" s="2185"/>
      <c r="QJI20" s="16"/>
      <c r="QJJ20" s="2185"/>
      <c r="QJK20" s="16"/>
      <c r="QJL20" s="2185"/>
      <c r="QJM20" s="16"/>
      <c r="QJN20" s="2185"/>
      <c r="QJO20" s="16"/>
      <c r="QJP20" s="2185"/>
      <c r="QJQ20" s="16"/>
      <c r="QJR20" s="2185"/>
      <c r="QJS20" s="16"/>
      <c r="QJT20" s="2185"/>
      <c r="QJU20" s="16"/>
      <c r="QJV20" s="2185"/>
      <c r="QJW20" s="16"/>
      <c r="QJX20" s="2185"/>
      <c r="QJY20" s="16"/>
      <c r="QJZ20" s="2185"/>
      <c r="QKA20" s="16"/>
      <c r="QKB20" s="2185"/>
      <c r="QKC20" s="16"/>
      <c r="QKD20" s="2185"/>
      <c r="QKE20" s="16"/>
      <c r="QKF20" s="2185"/>
      <c r="QKG20" s="16"/>
      <c r="QKH20" s="2185"/>
      <c r="QKI20" s="16"/>
      <c r="QKJ20" s="2185"/>
      <c r="QKK20" s="16"/>
      <c r="QKL20" s="2185"/>
      <c r="QKM20" s="16"/>
      <c r="QKN20" s="2185"/>
      <c r="QKO20" s="16"/>
      <c r="QKP20" s="2185"/>
      <c r="QKQ20" s="16"/>
      <c r="QKR20" s="2185"/>
      <c r="QKS20" s="16"/>
      <c r="QKT20" s="2185"/>
      <c r="QKU20" s="16"/>
      <c r="QKV20" s="2185"/>
      <c r="QKW20" s="16"/>
      <c r="QKX20" s="2185"/>
      <c r="QKY20" s="16"/>
      <c r="QKZ20" s="2185"/>
      <c r="QLA20" s="16"/>
      <c r="QLB20" s="2185"/>
      <c r="QLC20" s="16"/>
      <c r="QLD20" s="2185"/>
      <c r="QLE20" s="16"/>
      <c r="QLF20" s="2185"/>
      <c r="QLG20" s="16"/>
      <c r="QLH20" s="2185"/>
      <c r="QLI20" s="16"/>
      <c r="QLJ20" s="2185"/>
      <c r="QLK20" s="16"/>
      <c r="QLL20" s="2185"/>
      <c r="QLM20" s="16"/>
      <c r="QLN20" s="2185"/>
      <c r="QLO20" s="16"/>
      <c r="QLP20" s="2185"/>
      <c r="QLQ20" s="16"/>
      <c r="QLR20" s="2185"/>
      <c r="QLS20" s="16"/>
      <c r="QLT20" s="2185"/>
      <c r="QLU20" s="16"/>
      <c r="QLV20" s="2185"/>
      <c r="QLW20" s="16"/>
      <c r="QLX20" s="2185"/>
      <c r="QLY20" s="16"/>
      <c r="QLZ20" s="2185"/>
      <c r="QMA20" s="16"/>
      <c r="QMB20" s="2185"/>
      <c r="QMC20" s="16"/>
      <c r="QMD20" s="2185"/>
      <c r="QME20" s="16"/>
      <c r="QMF20" s="2185"/>
      <c r="QMG20" s="16"/>
      <c r="QMH20" s="2185"/>
      <c r="QMI20" s="16"/>
      <c r="QMJ20" s="2185"/>
      <c r="QMK20" s="16"/>
      <c r="QML20" s="2185"/>
      <c r="QMM20" s="16"/>
      <c r="QMN20" s="2185"/>
      <c r="QMO20" s="16"/>
      <c r="QMP20" s="2185"/>
      <c r="QMQ20" s="16"/>
      <c r="QMR20" s="2185"/>
      <c r="QMS20" s="16"/>
      <c r="QMT20" s="2185"/>
      <c r="QMU20" s="16"/>
      <c r="QMV20" s="2185"/>
      <c r="QMW20" s="16"/>
      <c r="QMX20" s="2185"/>
      <c r="QMY20" s="16"/>
      <c r="QMZ20" s="2185"/>
      <c r="QNA20" s="16"/>
      <c r="QNB20" s="2185"/>
      <c r="QNC20" s="16"/>
      <c r="QND20" s="2185"/>
      <c r="QNE20" s="16"/>
      <c r="QNF20" s="2185"/>
      <c r="QNG20" s="16"/>
      <c r="QNH20" s="2185"/>
      <c r="QNI20" s="16"/>
      <c r="QNJ20" s="2185"/>
      <c r="QNK20" s="16"/>
      <c r="QNL20" s="2185"/>
      <c r="QNM20" s="16"/>
      <c r="QNN20" s="2185"/>
      <c r="QNO20" s="16"/>
      <c r="QNP20" s="2185"/>
      <c r="QNQ20" s="16"/>
      <c r="QNR20" s="2185"/>
      <c r="QNS20" s="16"/>
      <c r="QNT20" s="2185"/>
      <c r="QNU20" s="16"/>
      <c r="QNV20" s="2185"/>
      <c r="QNW20" s="16"/>
      <c r="QNX20" s="2185"/>
      <c r="QNY20" s="16"/>
      <c r="QNZ20" s="2185"/>
      <c r="QOA20" s="16"/>
      <c r="QOB20" s="2185"/>
      <c r="QOC20" s="16"/>
      <c r="QOD20" s="2185"/>
      <c r="QOE20" s="16"/>
      <c r="QOF20" s="2185"/>
      <c r="QOG20" s="16"/>
      <c r="QOH20" s="2185"/>
      <c r="QOI20" s="16"/>
      <c r="QOJ20" s="2185"/>
      <c r="QOK20" s="16"/>
      <c r="QOL20" s="2185"/>
      <c r="QOM20" s="16"/>
      <c r="QON20" s="2185"/>
      <c r="QOO20" s="16"/>
      <c r="QOP20" s="2185"/>
      <c r="QOQ20" s="16"/>
      <c r="QOR20" s="2185"/>
      <c r="QOS20" s="16"/>
      <c r="QOT20" s="2185"/>
      <c r="QOU20" s="16"/>
      <c r="QOV20" s="2185"/>
      <c r="QOW20" s="16"/>
      <c r="QOX20" s="2185"/>
      <c r="QOY20" s="16"/>
      <c r="QOZ20" s="2185"/>
      <c r="QPA20" s="16"/>
      <c r="QPB20" s="2185"/>
      <c r="QPC20" s="16"/>
      <c r="QPD20" s="2185"/>
      <c r="QPE20" s="16"/>
      <c r="QPF20" s="2185"/>
      <c r="QPG20" s="16"/>
      <c r="QPH20" s="2185"/>
      <c r="QPI20" s="16"/>
      <c r="QPJ20" s="2185"/>
      <c r="QPK20" s="16"/>
      <c r="QPL20" s="2185"/>
      <c r="QPM20" s="16"/>
      <c r="QPN20" s="2185"/>
      <c r="QPO20" s="16"/>
      <c r="QPP20" s="2185"/>
      <c r="QPQ20" s="16"/>
      <c r="QPR20" s="2185"/>
      <c r="QPS20" s="16"/>
      <c r="QPT20" s="2185"/>
      <c r="QPU20" s="16"/>
      <c r="QPV20" s="2185"/>
      <c r="QPW20" s="16"/>
      <c r="QPX20" s="2185"/>
      <c r="QPY20" s="16"/>
      <c r="QPZ20" s="2185"/>
      <c r="QQA20" s="16"/>
      <c r="QQB20" s="2185"/>
      <c r="QQC20" s="16"/>
      <c r="QQD20" s="2185"/>
      <c r="QQE20" s="16"/>
      <c r="QQF20" s="2185"/>
      <c r="QQG20" s="16"/>
      <c r="QQH20" s="2185"/>
      <c r="QQI20" s="16"/>
      <c r="QQJ20" s="2185"/>
      <c r="QQK20" s="16"/>
      <c r="QQL20" s="2185"/>
      <c r="QQM20" s="16"/>
      <c r="QQN20" s="2185"/>
      <c r="QQO20" s="16"/>
      <c r="QQP20" s="2185"/>
      <c r="QQQ20" s="16"/>
      <c r="QQR20" s="2185"/>
      <c r="QQS20" s="16"/>
      <c r="QQT20" s="2185"/>
      <c r="QQU20" s="16"/>
      <c r="QQV20" s="2185"/>
      <c r="QQW20" s="16"/>
      <c r="QQX20" s="2185"/>
      <c r="QQY20" s="16"/>
      <c r="QQZ20" s="2185"/>
      <c r="QRA20" s="16"/>
      <c r="QRB20" s="2185"/>
      <c r="QRC20" s="16"/>
      <c r="QRD20" s="2185"/>
      <c r="QRE20" s="16"/>
      <c r="QRF20" s="2185"/>
      <c r="QRG20" s="16"/>
      <c r="QRH20" s="2185"/>
      <c r="QRI20" s="16"/>
      <c r="QRJ20" s="2185"/>
      <c r="QRK20" s="16"/>
      <c r="QRL20" s="2185"/>
      <c r="QRM20" s="16"/>
      <c r="QRN20" s="2185"/>
      <c r="QRO20" s="16"/>
      <c r="QRP20" s="2185"/>
      <c r="QRQ20" s="16"/>
      <c r="QRR20" s="2185"/>
      <c r="QRS20" s="16"/>
      <c r="QRT20" s="2185"/>
      <c r="QRU20" s="16"/>
      <c r="QRV20" s="2185"/>
      <c r="QRW20" s="16"/>
      <c r="QRX20" s="2185"/>
      <c r="QRY20" s="16"/>
      <c r="QRZ20" s="2185"/>
      <c r="QSA20" s="16"/>
      <c r="QSB20" s="2185"/>
      <c r="QSC20" s="16"/>
      <c r="QSD20" s="2185"/>
      <c r="QSE20" s="16"/>
      <c r="QSF20" s="2185"/>
      <c r="QSG20" s="16"/>
      <c r="QSH20" s="2185"/>
      <c r="QSI20" s="16"/>
      <c r="QSJ20" s="2185"/>
      <c r="QSK20" s="16"/>
      <c r="QSL20" s="2185"/>
      <c r="QSM20" s="16"/>
      <c r="QSN20" s="2185"/>
      <c r="QSO20" s="16"/>
      <c r="QSP20" s="2185"/>
      <c r="QSQ20" s="16"/>
      <c r="QSR20" s="2185"/>
      <c r="QSS20" s="16"/>
      <c r="QST20" s="2185"/>
      <c r="QSU20" s="16"/>
      <c r="QSV20" s="2185"/>
      <c r="QSW20" s="16"/>
      <c r="QSX20" s="2185"/>
      <c r="QSY20" s="16"/>
      <c r="QSZ20" s="2185"/>
      <c r="QTA20" s="16"/>
      <c r="QTB20" s="2185"/>
      <c r="QTC20" s="16"/>
      <c r="QTD20" s="2185"/>
      <c r="QTE20" s="16"/>
      <c r="QTF20" s="2185"/>
      <c r="QTG20" s="16"/>
      <c r="QTH20" s="2185"/>
      <c r="QTI20" s="16"/>
      <c r="QTJ20" s="2185"/>
      <c r="QTK20" s="16"/>
      <c r="QTL20" s="2185"/>
      <c r="QTM20" s="16"/>
      <c r="QTN20" s="2185"/>
      <c r="QTO20" s="16"/>
      <c r="QTP20" s="2185"/>
      <c r="QTQ20" s="16"/>
      <c r="QTR20" s="2185"/>
      <c r="QTS20" s="16"/>
      <c r="QTT20" s="2185"/>
      <c r="QTU20" s="16"/>
      <c r="QTV20" s="2185"/>
      <c r="QTW20" s="16"/>
      <c r="QTX20" s="2185"/>
      <c r="QTY20" s="16"/>
      <c r="QTZ20" s="2185"/>
      <c r="QUA20" s="16"/>
      <c r="QUB20" s="2185"/>
      <c r="QUC20" s="16"/>
      <c r="QUD20" s="2185"/>
      <c r="QUE20" s="16"/>
      <c r="QUF20" s="2185"/>
      <c r="QUG20" s="16"/>
      <c r="QUH20" s="2185"/>
      <c r="QUI20" s="16"/>
      <c r="QUJ20" s="2185"/>
      <c r="QUK20" s="16"/>
      <c r="QUL20" s="2185"/>
      <c r="QUM20" s="16"/>
      <c r="QUN20" s="2185"/>
      <c r="QUO20" s="16"/>
      <c r="QUP20" s="2185"/>
      <c r="QUQ20" s="16"/>
      <c r="QUR20" s="2185"/>
      <c r="QUS20" s="16"/>
      <c r="QUT20" s="2185"/>
      <c r="QUU20" s="16"/>
      <c r="QUV20" s="2185"/>
      <c r="QUW20" s="16"/>
      <c r="QUX20" s="2185"/>
      <c r="QUY20" s="16"/>
      <c r="QUZ20" s="2185"/>
      <c r="QVA20" s="16"/>
      <c r="QVB20" s="2185"/>
      <c r="QVC20" s="16"/>
      <c r="QVD20" s="2185"/>
      <c r="QVE20" s="16"/>
      <c r="QVF20" s="2185"/>
      <c r="QVG20" s="16"/>
      <c r="QVH20" s="2185"/>
      <c r="QVI20" s="16"/>
      <c r="QVJ20" s="2185"/>
      <c r="QVK20" s="16"/>
      <c r="QVL20" s="2185"/>
      <c r="QVM20" s="16"/>
      <c r="QVN20" s="2185"/>
      <c r="QVO20" s="16"/>
      <c r="QVP20" s="2185"/>
      <c r="QVQ20" s="16"/>
      <c r="QVR20" s="2185"/>
      <c r="QVS20" s="16"/>
      <c r="QVT20" s="2185"/>
      <c r="QVU20" s="16"/>
      <c r="QVV20" s="2185"/>
      <c r="QVW20" s="16"/>
      <c r="QVX20" s="2185"/>
      <c r="QVY20" s="16"/>
      <c r="QVZ20" s="2185"/>
      <c r="QWA20" s="16"/>
      <c r="QWB20" s="2185"/>
      <c r="QWC20" s="16"/>
      <c r="QWD20" s="2185"/>
      <c r="QWE20" s="16"/>
      <c r="QWF20" s="2185"/>
      <c r="QWG20" s="16"/>
      <c r="QWH20" s="2185"/>
      <c r="QWI20" s="16"/>
      <c r="QWJ20" s="2185"/>
      <c r="QWK20" s="16"/>
      <c r="QWL20" s="2185"/>
      <c r="QWM20" s="16"/>
      <c r="QWN20" s="2185"/>
      <c r="QWO20" s="16"/>
      <c r="QWP20" s="2185"/>
      <c r="QWQ20" s="16"/>
      <c r="QWR20" s="2185"/>
      <c r="QWS20" s="16"/>
      <c r="QWT20" s="2185"/>
      <c r="QWU20" s="16"/>
      <c r="QWV20" s="2185"/>
      <c r="QWW20" s="16"/>
      <c r="QWX20" s="2185"/>
      <c r="QWY20" s="16"/>
      <c r="QWZ20" s="2185"/>
      <c r="QXA20" s="16"/>
      <c r="QXB20" s="2185"/>
      <c r="QXC20" s="16"/>
      <c r="QXD20" s="2185"/>
      <c r="QXE20" s="16"/>
      <c r="QXF20" s="2185"/>
      <c r="QXG20" s="16"/>
      <c r="QXH20" s="2185"/>
      <c r="QXI20" s="16"/>
      <c r="QXJ20" s="2185"/>
      <c r="QXK20" s="16"/>
      <c r="QXL20" s="2185"/>
      <c r="QXM20" s="16"/>
      <c r="QXN20" s="2185"/>
      <c r="QXO20" s="16"/>
      <c r="QXP20" s="2185"/>
      <c r="QXQ20" s="16"/>
      <c r="QXR20" s="2185"/>
      <c r="QXS20" s="16"/>
      <c r="QXT20" s="2185"/>
      <c r="QXU20" s="16"/>
      <c r="QXV20" s="2185"/>
      <c r="QXW20" s="16"/>
      <c r="QXX20" s="2185"/>
      <c r="QXY20" s="16"/>
      <c r="QXZ20" s="2185"/>
      <c r="QYA20" s="16"/>
      <c r="QYB20" s="2185"/>
      <c r="QYC20" s="16"/>
      <c r="QYD20" s="2185"/>
      <c r="QYE20" s="16"/>
      <c r="QYF20" s="2185"/>
      <c r="QYG20" s="16"/>
      <c r="QYH20" s="2185"/>
      <c r="QYI20" s="16"/>
      <c r="QYJ20" s="2185"/>
      <c r="QYK20" s="16"/>
      <c r="QYL20" s="2185"/>
      <c r="QYM20" s="16"/>
      <c r="QYN20" s="2185"/>
      <c r="QYO20" s="16"/>
      <c r="QYP20" s="2185"/>
      <c r="QYQ20" s="16"/>
      <c r="QYR20" s="2185"/>
      <c r="QYS20" s="16"/>
      <c r="QYT20" s="2185"/>
      <c r="QYU20" s="16"/>
      <c r="QYV20" s="2185"/>
      <c r="QYW20" s="16"/>
      <c r="QYX20" s="2185"/>
      <c r="QYY20" s="16"/>
      <c r="QYZ20" s="2185"/>
      <c r="QZA20" s="16"/>
      <c r="QZB20" s="2185"/>
      <c r="QZC20" s="16"/>
      <c r="QZD20" s="2185"/>
      <c r="QZE20" s="16"/>
      <c r="QZF20" s="2185"/>
      <c r="QZG20" s="16"/>
      <c r="QZH20" s="2185"/>
      <c r="QZI20" s="16"/>
      <c r="QZJ20" s="2185"/>
      <c r="QZK20" s="16"/>
      <c r="QZL20" s="2185"/>
      <c r="QZM20" s="16"/>
      <c r="QZN20" s="2185"/>
      <c r="QZO20" s="16"/>
      <c r="QZP20" s="2185"/>
      <c r="QZQ20" s="16"/>
      <c r="QZR20" s="2185"/>
      <c r="QZS20" s="16"/>
      <c r="QZT20" s="2185"/>
      <c r="QZU20" s="16"/>
      <c r="QZV20" s="2185"/>
      <c r="QZW20" s="16"/>
      <c r="QZX20" s="2185"/>
      <c r="QZY20" s="16"/>
      <c r="QZZ20" s="2185"/>
      <c r="RAA20" s="16"/>
      <c r="RAB20" s="2185"/>
      <c r="RAC20" s="16"/>
      <c r="RAD20" s="2185"/>
      <c r="RAE20" s="16"/>
      <c r="RAF20" s="2185"/>
      <c r="RAG20" s="16"/>
      <c r="RAH20" s="2185"/>
      <c r="RAI20" s="16"/>
      <c r="RAJ20" s="2185"/>
      <c r="RAK20" s="16"/>
      <c r="RAL20" s="2185"/>
      <c r="RAM20" s="16"/>
      <c r="RAN20" s="2185"/>
      <c r="RAO20" s="16"/>
      <c r="RAP20" s="2185"/>
      <c r="RAQ20" s="16"/>
      <c r="RAR20" s="2185"/>
      <c r="RAS20" s="16"/>
      <c r="RAT20" s="2185"/>
      <c r="RAU20" s="16"/>
      <c r="RAV20" s="2185"/>
      <c r="RAW20" s="16"/>
      <c r="RAX20" s="2185"/>
      <c r="RAY20" s="16"/>
      <c r="RAZ20" s="2185"/>
      <c r="RBA20" s="16"/>
      <c r="RBB20" s="2185"/>
      <c r="RBC20" s="16"/>
      <c r="RBD20" s="2185"/>
      <c r="RBE20" s="16"/>
      <c r="RBF20" s="2185"/>
      <c r="RBG20" s="16"/>
      <c r="RBH20" s="2185"/>
      <c r="RBI20" s="16"/>
      <c r="RBJ20" s="2185"/>
      <c r="RBK20" s="16"/>
      <c r="RBL20" s="2185"/>
      <c r="RBM20" s="16"/>
      <c r="RBN20" s="2185"/>
      <c r="RBO20" s="16"/>
      <c r="RBP20" s="2185"/>
      <c r="RBQ20" s="16"/>
      <c r="RBR20" s="2185"/>
      <c r="RBS20" s="16"/>
      <c r="RBT20" s="2185"/>
      <c r="RBU20" s="16"/>
      <c r="RBV20" s="2185"/>
      <c r="RBW20" s="16"/>
      <c r="RBX20" s="2185"/>
      <c r="RBY20" s="16"/>
      <c r="RBZ20" s="2185"/>
      <c r="RCA20" s="16"/>
      <c r="RCB20" s="2185"/>
      <c r="RCC20" s="16"/>
      <c r="RCD20" s="2185"/>
      <c r="RCE20" s="16"/>
      <c r="RCF20" s="2185"/>
      <c r="RCG20" s="16"/>
      <c r="RCH20" s="2185"/>
      <c r="RCI20" s="16"/>
      <c r="RCJ20" s="2185"/>
      <c r="RCK20" s="16"/>
      <c r="RCL20" s="2185"/>
      <c r="RCM20" s="16"/>
      <c r="RCN20" s="2185"/>
      <c r="RCO20" s="16"/>
      <c r="RCP20" s="2185"/>
      <c r="RCQ20" s="16"/>
      <c r="RCR20" s="2185"/>
      <c r="RCS20" s="16"/>
      <c r="RCT20" s="2185"/>
      <c r="RCU20" s="16"/>
      <c r="RCV20" s="2185"/>
      <c r="RCW20" s="16"/>
      <c r="RCX20" s="2185"/>
      <c r="RCY20" s="16"/>
      <c r="RCZ20" s="2185"/>
      <c r="RDA20" s="16"/>
      <c r="RDB20" s="2185"/>
      <c r="RDC20" s="16"/>
      <c r="RDD20" s="2185"/>
      <c r="RDE20" s="16"/>
      <c r="RDF20" s="2185"/>
      <c r="RDG20" s="16"/>
      <c r="RDH20" s="2185"/>
      <c r="RDI20" s="16"/>
      <c r="RDJ20" s="2185"/>
      <c r="RDK20" s="16"/>
      <c r="RDL20" s="2185"/>
      <c r="RDM20" s="16"/>
      <c r="RDN20" s="2185"/>
      <c r="RDO20" s="16"/>
      <c r="RDP20" s="2185"/>
      <c r="RDQ20" s="16"/>
      <c r="RDR20" s="2185"/>
      <c r="RDS20" s="16"/>
      <c r="RDT20" s="2185"/>
      <c r="RDU20" s="16"/>
      <c r="RDV20" s="2185"/>
      <c r="RDW20" s="16"/>
      <c r="RDX20" s="2185"/>
      <c r="RDY20" s="16"/>
      <c r="RDZ20" s="2185"/>
      <c r="REA20" s="16"/>
      <c r="REB20" s="2185"/>
      <c r="REC20" s="16"/>
      <c r="RED20" s="2185"/>
      <c r="REE20" s="16"/>
      <c r="REF20" s="2185"/>
      <c r="REG20" s="16"/>
      <c r="REH20" s="2185"/>
      <c r="REI20" s="16"/>
      <c r="REJ20" s="2185"/>
      <c r="REK20" s="16"/>
      <c r="REL20" s="2185"/>
      <c r="REM20" s="16"/>
      <c r="REN20" s="2185"/>
      <c r="REO20" s="16"/>
      <c r="REP20" s="2185"/>
      <c r="REQ20" s="16"/>
      <c r="RER20" s="2185"/>
      <c r="RES20" s="16"/>
      <c r="RET20" s="2185"/>
      <c r="REU20" s="16"/>
      <c r="REV20" s="2185"/>
      <c r="REW20" s="16"/>
      <c r="REX20" s="2185"/>
      <c r="REY20" s="16"/>
      <c r="REZ20" s="2185"/>
      <c r="RFA20" s="16"/>
      <c r="RFB20" s="2185"/>
      <c r="RFC20" s="16"/>
      <c r="RFD20" s="2185"/>
      <c r="RFE20" s="16"/>
      <c r="RFF20" s="2185"/>
      <c r="RFG20" s="16"/>
      <c r="RFH20" s="2185"/>
      <c r="RFI20" s="16"/>
      <c r="RFJ20" s="2185"/>
      <c r="RFK20" s="16"/>
      <c r="RFL20" s="2185"/>
      <c r="RFM20" s="16"/>
      <c r="RFN20" s="2185"/>
      <c r="RFO20" s="16"/>
      <c r="RFP20" s="2185"/>
      <c r="RFQ20" s="16"/>
      <c r="RFR20" s="2185"/>
      <c r="RFS20" s="16"/>
      <c r="RFT20" s="2185"/>
      <c r="RFU20" s="16"/>
      <c r="RFV20" s="2185"/>
      <c r="RFW20" s="16"/>
      <c r="RFX20" s="2185"/>
      <c r="RFY20" s="16"/>
      <c r="RFZ20" s="2185"/>
      <c r="RGA20" s="16"/>
      <c r="RGB20" s="2185"/>
      <c r="RGC20" s="16"/>
      <c r="RGD20" s="2185"/>
      <c r="RGE20" s="16"/>
      <c r="RGF20" s="2185"/>
      <c r="RGG20" s="16"/>
      <c r="RGH20" s="2185"/>
      <c r="RGI20" s="16"/>
      <c r="RGJ20" s="2185"/>
      <c r="RGK20" s="16"/>
      <c r="RGL20" s="2185"/>
      <c r="RGM20" s="16"/>
      <c r="RGN20" s="2185"/>
      <c r="RGO20" s="16"/>
      <c r="RGP20" s="2185"/>
      <c r="RGQ20" s="16"/>
      <c r="RGR20" s="2185"/>
      <c r="RGS20" s="16"/>
      <c r="RGT20" s="2185"/>
      <c r="RGU20" s="16"/>
      <c r="RGV20" s="2185"/>
      <c r="RGW20" s="16"/>
      <c r="RGX20" s="2185"/>
      <c r="RGY20" s="16"/>
      <c r="RGZ20" s="2185"/>
      <c r="RHA20" s="16"/>
      <c r="RHB20" s="2185"/>
      <c r="RHC20" s="16"/>
      <c r="RHD20" s="2185"/>
      <c r="RHE20" s="16"/>
      <c r="RHF20" s="2185"/>
      <c r="RHG20" s="16"/>
      <c r="RHH20" s="2185"/>
      <c r="RHI20" s="16"/>
      <c r="RHJ20" s="2185"/>
      <c r="RHK20" s="16"/>
      <c r="RHL20" s="2185"/>
      <c r="RHM20" s="16"/>
      <c r="RHN20" s="2185"/>
      <c r="RHO20" s="16"/>
      <c r="RHP20" s="2185"/>
      <c r="RHQ20" s="16"/>
      <c r="RHR20" s="2185"/>
      <c r="RHS20" s="16"/>
      <c r="RHT20" s="2185"/>
      <c r="RHU20" s="16"/>
      <c r="RHV20" s="2185"/>
      <c r="RHW20" s="16"/>
      <c r="RHX20" s="2185"/>
      <c r="RHY20" s="16"/>
      <c r="RHZ20" s="2185"/>
      <c r="RIA20" s="16"/>
      <c r="RIB20" s="2185"/>
      <c r="RIC20" s="16"/>
      <c r="RID20" s="2185"/>
      <c r="RIE20" s="16"/>
      <c r="RIF20" s="2185"/>
      <c r="RIG20" s="16"/>
      <c r="RIH20" s="2185"/>
      <c r="RII20" s="16"/>
      <c r="RIJ20" s="2185"/>
      <c r="RIK20" s="16"/>
      <c r="RIL20" s="2185"/>
      <c r="RIM20" s="16"/>
      <c r="RIN20" s="2185"/>
      <c r="RIO20" s="16"/>
      <c r="RIP20" s="2185"/>
      <c r="RIQ20" s="16"/>
      <c r="RIR20" s="2185"/>
      <c r="RIS20" s="16"/>
      <c r="RIT20" s="2185"/>
      <c r="RIU20" s="16"/>
      <c r="RIV20" s="2185"/>
      <c r="RIW20" s="16"/>
      <c r="RIX20" s="2185"/>
      <c r="RIY20" s="16"/>
      <c r="RIZ20" s="2185"/>
      <c r="RJA20" s="16"/>
      <c r="RJB20" s="2185"/>
      <c r="RJC20" s="16"/>
      <c r="RJD20" s="2185"/>
      <c r="RJE20" s="16"/>
      <c r="RJF20" s="2185"/>
      <c r="RJG20" s="16"/>
      <c r="RJH20" s="2185"/>
      <c r="RJI20" s="16"/>
      <c r="RJJ20" s="2185"/>
      <c r="RJK20" s="16"/>
      <c r="RJL20" s="2185"/>
      <c r="RJM20" s="16"/>
      <c r="RJN20" s="2185"/>
      <c r="RJO20" s="16"/>
      <c r="RJP20" s="2185"/>
      <c r="RJQ20" s="16"/>
      <c r="RJR20" s="2185"/>
      <c r="RJS20" s="16"/>
      <c r="RJT20" s="2185"/>
      <c r="RJU20" s="16"/>
      <c r="RJV20" s="2185"/>
      <c r="RJW20" s="16"/>
      <c r="RJX20" s="2185"/>
      <c r="RJY20" s="16"/>
      <c r="RJZ20" s="2185"/>
      <c r="RKA20" s="16"/>
      <c r="RKB20" s="2185"/>
      <c r="RKC20" s="16"/>
      <c r="RKD20" s="2185"/>
      <c r="RKE20" s="16"/>
      <c r="RKF20" s="2185"/>
      <c r="RKG20" s="16"/>
      <c r="RKH20" s="2185"/>
      <c r="RKI20" s="16"/>
      <c r="RKJ20" s="2185"/>
      <c r="RKK20" s="16"/>
      <c r="RKL20" s="2185"/>
      <c r="RKM20" s="16"/>
      <c r="RKN20" s="2185"/>
      <c r="RKO20" s="16"/>
      <c r="RKP20" s="2185"/>
      <c r="RKQ20" s="16"/>
      <c r="RKR20" s="2185"/>
      <c r="RKS20" s="16"/>
      <c r="RKT20" s="2185"/>
      <c r="RKU20" s="16"/>
      <c r="RKV20" s="2185"/>
      <c r="RKW20" s="16"/>
      <c r="RKX20" s="2185"/>
      <c r="RKY20" s="16"/>
      <c r="RKZ20" s="2185"/>
      <c r="RLA20" s="16"/>
      <c r="RLB20" s="2185"/>
      <c r="RLC20" s="16"/>
      <c r="RLD20" s="2185"/>
      <c r="RLE20" s="16"/>
      <c r="RLF20" s="2185"/>
      <c r="RLG20" s="16"/>
      <c r="RLH20" s="2185"/>
      <c r="RLI20" s="16"/>
      <c r="RLJ20" s="2185"/>
      <c r="RLK20" s="16"/>
      <c r="RLL20" s="2185"/>
      <c r="RLM20" s="16"/>
      <c r="RLN20" s="2185"/>
      <c r="RLO20" s="16"/>
      <c r="RLP20" s="2185"/>
      <c r="RLQ20" s="16"/>
      <c r="RLR20" s="2185"/>
      <c r="RLS20" s="16"/>
      <c r="RLT20" s="2185"/>
      <c r="RLU20" s="16"/>
      <c r="RLV20" s="2185"/>
      <c r="RLW20" s="16"/>
      <c r="RLX20" s="2185"/>
      <c r="RLY20" s="16"/>
      <c r="RLZ20" s="2185"/>
      <c r="RMA20" s="16"/>
      <c r="RMB20" s="2185"/>
      <c r="RMC20" s="16"/>
      <c r="RMD20" s="2185"/>
      <c r="RME20" s="16"/>
      <c r="RMF20" s="2185"/>
      <c r="RMG20" s="16"/>
      <c r="RMH20" s="2185"/>
      <c r="RMI20" s="16"/>
      <c r="RMJ20" s="2185"/>
      <c r="RMK20" s="16"/>
      <c r="RML20" s="2185"/>
      <c r="RMM20" s="16"/>
      <c r="RMN20" s="2185"/>
      <c r="RMO20" s="16"/>
      <c r="RMP20" s="2185"/>
      <c r="RMQ20" s="16"/>
      <c r="RMR20" s="2185"/>
      <c r="RMS20" s="16"/>
      <c r="RMT20" s="2185"/>
      <c r="RMU20" s="16"/>
      <c r="RMV20" s="2185"/>
      <c r="RMW20" s="16"/>
      <c r="RMX20" s="2185"/>
      <c r="RMY20" s="16"/>
      <c r="RMZ20" s="2185"/>
      <c r="RNA20" s="16"/>
      <c r="RNB20" s="2185"/>
      <c r="RNC20" s="16"/>
      <c r="RND20" s="2185"/>
      <c r="RNE20" s="16"/>
      <c r="RNF20" s="2185"/>
      <c r="RNG20" s="16"/>
      <c r="RNH20" s="2185"/>
      <c r="RNI20" s="16"/>
      <c r="RNJ20" s="2185"/>
      <c r="RNK20" s="16"/>
      <c r="RNL20" s="2185"/>
      <c r="RNM20" s="16"/>
      <c r="RNN20" s="2185"/>
      <c r="RNO20" s="16"/>
      <c r="RNP20" s="2185"/>
      <c r="RNQ20" s="16"/>
      <c r="RNR20" s="2185"/>
      <c r="RNS20" s="16"/>
      <c r="RNT20" s="2185"/>
      <c r="RNU20" s="16"/>
      <c r="RNV20" s="2185"/>
      <c r="RNW20" s="16"/>
      <c r="RNX20" s="2185"/>
      <c r="RNY20" s="16"/>
      <c r="RNZ20" s="2185"/>
      <c r="ROA20" s="16"/>
      <c r="ROB20" s="2185"/>
      <c r="ROC20" s="16"/>
      <c r="ROD20" s="2185"/>
      <c r="ROE20" s="16"/>
      <c r="ROF20" s="2185"/>
      <c r="ROG20" s="16"/>
      <c r="ROH20" s="2185"/>
      <c r="ROI20" s="16"/>
      <c r="ROJ20" s="2185"/>
      <c r="ROK20" s="16"/>
      <c r="ROL20" s="2185"/>
      <c r="ROM20" s="16"/>
      <c r="RON20" s="2185"/>
      <c r="ROO20" s="16"/>
      <c r="ROP20" s="2185"/>
      <c r="ROQ20" s="16"/>
      <c r="ROR20" s="2185"/>
      <c r="ROS20" s="16"/>
      <c r="ROT20" s="2185"/>
      <c r="ROU20" s="16"/>
      <c r="ROV20" s="2185"/>
      <c r="ROW20" s="16"/>
      <c r="ROX20" s="2185"/>
      <c r="ROY20" s="16"/>
      <c r="ROZ20" s="2185"/>
      <c r="RPA20" s="16"/>
      <c r="RPB20" s="2185"/>
      <c r="RPC20" s="16"/>
      <c r="RPD20" s="2185"/>
      <c r="RPE20" s="16"/>
      <c r="RPF20" s="2185"/>
      <c r="RPG20" s="16"/>
      <c r="RPH20" s="2185"/>
      <c r="RPI20" s="16"/>
      <c r="RPJ20" s="2185"/>
      <c r="RPK20" s="16"/>
      <c r="RPL20" s="2185"/>
      <c r="RPM20" s="16"/>
      <c r="RPN20" s="2185"/>
      <c r="RPO20" s="16"/>
      <c r="RPP20" s="2185"/>
      <c r="RPQ20" s="16"/>
      <c r="RPR20" s="2185"/>
      <c r="RPS20" s="16"/>
      <c r="RPT20" s="2185"/>
      <c r="RPU20" s="16"/>
      <c r="RPV20" s="2185"/>
      <c r="RPW20" s="16"/>
      <c r="RPX20" s="2185"/>
      <c r="RPY20" s="16"/>
      <c r="RPZ20" s="2185"/>
      <c r="RQA20" s="16"/>
      <c r="RQB20" s="2185"/>
      <c r="RQC20" s="16"/>
      <c r="RQD20" s="2185"/>
      <c r="RQE20" s="16"/>
      <c r="RQF20" s="2185"/>
      <c r="RQG20" s="16"/>
      <c r="RQH20" s="2185"/>
      <c r="RQI20" s="16"/>
      <c r="RQJ20" s="2185"/>
      <c r="RQK20" s="16"/>
      <c r="RQL20" s="2185"/>
      <c r="RQM20" s="16"/>
      <c r="RQN20" s="2185"/>
      <c r="RQO20" s="16"/>
      <c r="RQP20" s="2185"/>
      <c r="RQQ20" s="16"/>
      <c r="RQR20" s="2185"/>
      <c r="RQS20" s="16"/>
      <c r="RQT20" s="2185"/>
      <c r="RQU20" s="16"/>
      <c r="RQV20" s="2185"/>
      <c r="RQW20" s="16"/>
      <c r="RQX20" s="2185"/>
      <c r="RQY20" s="16"/>
      <c r="RQZ20" s="2185"/>
      <c r="RRA20" s="16"/>
      <c r="RRB20" s="2185"/>
      <c r="RRC20" s="16"/>
      <c r="RRD20" s="2185"/>
      <c r="RRE20" s="16"/>
      <c r="RRF20" s="2185"/>
      <c r="RRG20" s="16"/>
      <c r="RRH20" s="2185"/>
      <c r="RRI20" s="16"/>
      <c r="RRJ20" s="2185"/>
      <c r="RRK20" s="16"/>
      <c r="RRL20" s="2185"/>
      <c r="RRM20" s="16"/>
      <c r="RRN20" s="2185"/>
      <c r="RRO20" s="16"/>
      <c r="RRP20" s="2185"/>
      <c r="RRQ20" s="16"/>
      <c r="RRR20" s="2185"/>
      <c r="RRS20" s="16"/>
      <c r="RRT20" s="2185"/>
      <c r="RRU20" s="16"/>
      <c r="RRV20" s="2185"/>
      <c r="RRW20" s="16"/>
      <c r="RRX20" s="2185"/>
      <c r="RRY20" s="16"/>
      <c r="RRZ20" s="2185"/>
      <c r="RSA20" s="16"/>
      <c r="RSB20" s="2185"/>
      <c r="RSC20" s="16"/>
      <c r="RSD20" s="2185"/>
      <c r="RSE20" s="16"/>
      <c r="RSF20" s="2185"/>
      <c r="RSG20" s="16"/>
      <c r="RSH20" s="2185"/>
      <c r="RSI20" s="16"/>
      <c r="RSJ20" s="2185"/>
      <c r="RSK20" s="16"/>
      <c r="RSL20" s="2185"/>
      <c r="RSM20" s="16"/>
      <c r="RSN20" s="2185"/>
      <c r="RSO20" s="16"/>
      <c r="RSP20" s="2185"/>
      <c r="RSQ20" s="16"/>
      <c r="RSR20" s="2185"/>
      <c r="RSS20" s="16"/>
      <c r="RST20" s="2185"/>
      <c r="RSU20" s="16"/>
      <c r="RSV20" s="2185"/>
      <c r="RSW20" s="16"/>
      <c r="RSX20" s="2185"/>
      <c r="RSY20" s="16"/>
      <c r="RSZ20" s="2185"/>
      <c r="RTA20" s="16"/>
      <c r="RTB20" s="2185"/>
      <c r="RTC20" s="16"/>
      <c r="RTD20" s="2185"/>
      <c r="RTE20" s="16"/>
      <c r="RTF20" s="2185"/>
      <c r="RTG20" s="16"/>
      <c r="RTH20" s="2185"/>
      <c r="RTI20" s="16"/>
      <c r="RTJ20" s="2185"/>
      <c r="RTK20" s="16"/>
      <c r="RTL20" s="2185"/>
      <c r="RTM20" s="16"/>
      <c r="RTN20" s="2185"/>
      <c r="RTO20" s="16"/>
      <c r="RTP20" s="2185"/>
      <c r="RTQ20" s="16"/>
      <c r="RTR20" s="2185"/>
      <c r="RTS20" s="16"/>
      <c r="RTT20" s="2185"/>
      <c r="RTU20" s="16"/>
      <c r="RTV20" s="2185"/>
      <c r="RTW20" s="16"/>
      <c r="RTX20" s="2185"/>
      <c r="RTY20" s="16"/>
      <c r="RTZ20" s="2185"/>
      <c r="RUA20" s="16"/>
      <c r="RUB20" s="2185"/>
      <c r="RUC20" s="16"/>
      <c r="RUD20" s="2185"/>
      <c r="RUE20" s="16"/>
      <c r="RUF20" s="2185"/>
      <c r="RUG20" s="16"/>
      <c r="RUH20" s="2185"/>
      <c r="RUI20" s="16"/>
      <c r="RUJ20" s="2185"/>
      <c r="RUK20" s="16"/>
      <c r="RUL20" s="2185"/>
      <c r="RUM20" s="16"/>
      <c r="RUN20" s="2185"/>
      <c r="RUO20" s="16"/>
      <c r="RUP20" s="2185"/>
      <c r="RUQ20" s="16"/>
      <c r="RUR20" s="2185"/>
      <c r="RUS20" s="16"/>
      <c r="RUT20" s="2185"/>
      <c r="RUU20" s="16"/>
      <c r="RUV20" s="2185"/>
      <c r="RUW20" s="16"/>
      <c r="RUX20" s="2185"/>
      <c r="RUY20" s="16"/>
      <c r="RUZ20" s="2185"/>
      <c r="RVA20" s="16"/>
      <c r="RVB20" s="2185"/>
      <c r="RVC20" s="16"/>
      <c r="RVD20" s="2185"/>
      <c r="RVE20" s="16"/>
      <c r="RVF20" s="2185"/>
      <c r="RVG20" s="16"/>
      <c r="RVH20" s="2185"/>
      <c r="RVI20" s="16"/>
      <c r="RVJ20" s="2185"/>
      <c r="RVK20" s="16"/>
      <c r="RVL20" s="2185"/>
      <c r="RVM20" s="16"/>
      <c r="RVN20" s="2185"/>
      <c r="RVO20" s="16"/>
      <c r="RVP20" s="2185"/>
      <c r="RVQ20" s="16"/>
      <c r="RVR20" s="2185"/>
      <c r="RVS20" s="16"/>
      <c r="RVT20" s="2185"/>
      <c r="RVU20" s="16"/>
      <c r="RVV20" s="2185"/>
      <c r="RVW20" s="16"/>
      <c r="RVX20" s="2185"/>
      <c r="RVY20" s="16"/>
      <c r="RVZ20" s="2185"/>
      <c r="RWA20" s="16"/>
      <c r="RWB20" s="2185"/>
      <c r="RWC20" s="16"/>
      <c r="RWD20" s="2185"/>
      <c r="RWE20" s="16"/>
      <c r="RWF20" s="2185"/>
      <c r="RWG20" s="16"/>
      <c r="RWH20" s="2185"/>
      <c r="RWI20" s="16"/>
      <c r="RWJ20" s="2185"/>
      <c r="RWK20" s="16"/>
      <c r="RWL20" s="2185"/>
      <c r="RWM20" s="16"/>
      <c r="RWN20" s="2185"/>
      <c r="RWO20" s="16"/>
      <c r="RWP20" s="2185"/>
      <c r="RWQ20" s="16"/>
      <c r="RWR20" s="2185"/>
      <c r="RWS20" s="16"/>
      <c r="RWT20" s="2185"/>
      <c r="RWU20" s="16"/>
      <c r="RWV20" s="2185"/>
      <c r="RWW20" s="16"/>
      <c r="RWX20" s="2185"/>
      <c r="RWY20" s="16"/>
      <c r="RWZ20" s="2185"/>
      <c r="RXA20" s="16"/>
      <c r="RXB20" s="2185"/>
      <c r="RXC20" s="16"/>
      <c r="RXD20" s="2185"/>
      <c r="RXE20" s="16"/>
      <c r="RXF20" s="2185"/>
      <c r="RXG20" s="16"/>
      <c r="RXH20" s="2185"/>
      <c r="RXI20" s="16"/>
      <c r="RXJ20" s="2185"/>
      <c r="RXK20" s="16"/>
      <c r="RXL20" s="2185"/>
      <c r="RXM20" s="16"/>
      <c r="RXN20" s="2185"/>
      <c r="RXO20" s="16"/>
      <c r="RXP20" s="2185"/>
      <c r="RXQ20" s="16"/>
      <c r="RXR20" s="2185"/>
      <c r="RXS20" s="16"/>
      <c r="RXT20" s="2185"/>
      <c r="RXU20" s="16"/>
      <c r="RXV20" s="2185"/>
      <c r="RXW20" s="16"/>
      <c r="RXX20" s="2185"/>
      <c r="RXY20" s="16"/>
      <c r="RXZ20" s="2185"/>
      <c r="RYA20" s="16"/>
      <c r="RYB20" s="2185"/>
      <c r="RYC20" s="16"/>
      <c r="RYD20" s="2185"/>
      <c r="RYE20" s="16"/>
      <c r="RYF20" s="2185"/>
      <c r="RYG20" s="16"/>
      <c r="RYH20" s="2185"/>
      <c r="RYI20" s="16"/>
      <c r="RYJ20" s="2185"/>
      <c r="RYK20" s="16"/>
      <c r="RYL20" s="2185"/>
      <c r="RYM20" s="16"/>
      <c r="RYN20" s="2185"/>
      <c r="RYO20" s="16"/>
      <c r="RYP20" s="2185"/>
      <c r="RYQ20" s="16"/>
      <c r="RYR20" s="2185"/>
      <c r="RYS20" s="16"/>
      <c r="RYT20" s="2185"/>
      <c r="RYU20" s="16"/>
      <c r="RYV20" s="2185"/>
      <c r="RYW20" s="16"/>
      <c r="RYX20" s="2185"/>
      <c r="RYY20" s="16"/>
      <c r="RYZ20" s="2185"/>
      <c r="RZA20" s="16"/>
      <c r="RZB20" s="2185"/>
      <c r="RZC20" s="16"/>
      <c r="RZD20" s="2185"/>
      <c r="RZE20" s="16"/>
      <c r="RZF20" s="2185"/>
      <c r="RZG20" s="16"/>
      <c r="RZH20" s="2185"/>
      <c r="RZI20" s="16"/>
      <c r="RZJ20" s="2185"/>
      <c r="RZK20" s="16"/>
      <c r="RZL20" s="2185"/>
      <c r="RZM20" s="16"/>
      <c r="RZN20" s="2185"/>
      <c r="RZO20" s="16"/>
      <c r="RZP20" s="2185"/>
      <c r="RZQ20" s="16"/>
      <c r="RZR20" s="2185"/>
      <c r="RZS20" s="16"/>
      <c r="RZT20" s="2185"/>
      <c r="RZU20" s="16"/>
      <c r="RZV20" s="2185"/>
      <c r="RZW20" s="16"/>
      <c r="RZX20" s="2185"/>
      <c r="RZY20" s="16"/>
      <c r="RZZ20" s="2185"/>
      <c r="SAA20" s="16"/>
      <c r="SAB20" s="2185"/>
      <c r="SAC20" s="16"/>
      <c r="SAD20" s="2185"/>
      <c r="SAE20" s="16"/>
      <c r="SAF20" s="2185"/>
      <c r="SAG20" s="16"/>
      <c r="SAH20" s="2185"/>
      <c r="SAI20" s="16"/>
      <c r="SAJ20" s="2185"/>
      <c r="SAK20" s="16"/>
      <c r="SAL20" s="2185"/>
      <c r="SAM20" s="16"/>
      <c r="SAN20" s="2185"/>
      <c r="SAO20" s="16"/>
      <c r="SAP20" s="2185"/>
      <c r="SAQ20" s="16"/>
      <c r="SAR20" s="2185"/>
      <c r="SAS20" s="16"/>
      <c r="SAT20" s="2185"/>
      <c r="SAU20" s="16"/>
      <c r="SAV20" s="2185"/>
      <c r="SAW20" s="16"/>
      <c r="SAX20" s="2185"/>
      <c r="SAY20" s="16"/>
      <c r="SAZ20" s="2185"/>
      <c r="SBA20" s="16"/>
      <c r="SBB20" s="2185"/>
      <c r="SBC20" s="16"/>
      <c r="SBD20" s="2185"/>
      <c r="SBE20" s="16"/>
      <c r="SBF20" s="2185"/>
      <c r="SBG20" s="16"/>
      <c r="SBH20" s="2185"/>
      <c r="SBI20" s="16"/>
      <c r="SBJ20" s="2185"/>
      <c r="SBK20" s="16"/>
      <c r="SBL20" s="2185"/>
      <c r="SBM20" s="16"/>
      <c r="SBN20" s="2185"/>
      <c r="SBO20" s="16"/>
      <c r="SBP20" s="2185"/>
      <c r="SBQ20" s="16"/>
      <c r="SBR20" s="2185"/>
      <c r="SBS20" s="16"/>
      <c r="SBT20" s="2185"/>
      <c r="SBU20" s="16"/>
      <c r="SBV20" s="2185"/>
      <c r="SBW20" s="16"/>
      <c r="SBX20" s="2185"/>
      <c r="SBY20" s="16"/>
      <c r="SBZ20" s="2185"/>
      <c r="SCA20" s="16"/>
      <c r="SCB20" s="2185"/>
      <c r="SCC20" s="16"/>
      <c r="SCD20" s="2185"/>
      <c r="SCE20" s="16"/>
      <c r="SCF20" s="2185"/>
      <c r="SCG20" s="16"/>
      <c r="SCH20" s="2185"/>
      <c r="SCI20" s="16"/>
      <c r="SCJ20" s="2185"/>
      <c r="SCK20" s="16"/>
      <c r="SCL20" s="2185"/>
      <c r="SCM20" s="16"/>
      <c r="SCN20" s="2185"/>
      <c r="SCO20" s="16"/>
      <c r="SCP20" s="2185"/>
      <c r="SCQ20" s="16"/>
      <c r="SCR20" s="2185"/>
      <c r="SCS20" s="16"/>
      <c r="SCT20" s="2185"/>
      <c r="SCU20" s="16"/>
      <c r="SCV20" s="2185"/>
      <c r="SCW20" s="16"/>
      <c r="SCX20" s="2185"/>
      <c r="SCY20" s="16"/>
      <c r="SCZ20" s="2185"/>
      <c r="SDA20" s="16"/>
      <c r="SDB20" s="2185"/>
      <c r="SDC20" s="16"/>
      <c r="SDD20" s="2185"/>
      <c r="SDE20" s="16"/>
      <c r="SDF20" s="2185"/>
      <c r="SDG20" s="16"/>
      <c r="SDH20" s="2185"/>
      <c r="SDI20" s="16"/>
      <c r="SDJ20" s="2185"/>
      <c r="SDK20" s="16"/>
      <c r="SDL20" s="2185"/>
      <c r="SDM20" s="16"/>
      <c r="SDN20" s="2185"/>
      <c r="SDO20" s="16"/>
      <c r="SDP20" s="2185"/>
      <c r="SDQ20" s="16"/>
      <c r="SDR20" s="2185"/>
      <c r="SDS20" s="16"/>
      <c r="SDT20" s="2185"/>
      <c r="SDU20" s="16"/>
      <c r="SDV20" s="2185"/>
      <c r="SDW20" s="16"/>
      <c r="SDX20" s="2185"/>
      <c r="SDY20" s="16"/>
      <c r="SDZ20" s="2185"/>
      <c r="SEA20" s="16"/>
      <c r="SEB20" s="2185"/>
      <c r="SEC20" s="16"/>
      <c r="SED20" s="2185"/>
      <c r="SEE20" s="16"/>
      <c r="SEF20" s="2185"/>
      <c r="SEG20" s="16"/>
      <c r="SEH20" s="2185"/>
      <c r="SEI20" s="16"/>
      <c r="SEJ20" s="2185"/>
      <c r="SEK20" s="16"/>
      <c r="SEL20" s="2185"/>
      <c r="SEM20" s="16"/>
      <c r="SEN20" s="2185"/>
      <c r="SEO20" s="16"/>
      <c r="SEP20" s="2185"/>
      <c r="SEQ20" s="16"/>
      <c r="SER20" s="2185"/>
      <c r="SES20" s="16"/>
      <c r="SET20" s="2185"/>
      <c r="SEU20" s="16"/>
      <c r="SEV20" s="2185"/>
      <c r="SEW20" s="16"/>
      <c r="SEX20" s="2185"/>
      <c r="SEY20" s="16"/>
      <c r="SEZ20" s="2185"/>
      <c r="SFA20" s="16"/>
      <c r="SFB20" s="2185"/>
      <c r="SFC20" s="16"/>
      <c r="SFD20" s="2185"/>
      <c r="SFE20" s="16"/>
      <c r="SFF20" s="2185"/>
      <c r="SFG20" s="16"/>
      <c r="SFH20" s="2185"/>
      <c r="SFI20" s="16"/>
      <c r="SFJ20" s="2185"/>
      <c r="SFK20" s="16"/>
      <c r="SFL20" s="2185"/>
      <c r="SFM20" s="16"/>
      <c r="SFN20" s="2185"/>
      <c r="SFO20" s="16"/>
      <c r="SFP20" s="2185"/>
      <c r="SFQ20" s="16"/>
      <c r="SFR20" s="2185"/>
      <c r="SFS20" s="16"/>
      <c r="SFT20" s="2185"/>
      <c r="SFU20" s="16"/>
      <c r="SFV20" s="2185"/>
      <c r="SFW20" s="16"/>
      <c r="SFX20" s="2185"/>
      <c r="SFY20" s="16"/>
      <c r="SFZ20" s="2185"/>
      <c r="SGA20" s="16"/>
      <c r="SGB20" s="2185"/>
      <c r="SGC20" s="16"/>
      <c r="SGD20" s="2185"/>
      <c r="SGE20" s="16"/>
      <c r="SGF20" s="2185"/>
      <c r="SGG20" s="16"/>
      <c r="SGH20" s="2185"/>
      <c r="SGI20" s="16"/>
      <c r="SGJ20" s="2185"/>
      <c r="SGK20" s="16"/>
      <c r="SGL20" s="2185"/>
      <c r="SGM20" s="16"/>
      <c r="SGN20" s="2185"/>
      <c r="SGO20" s="16"/>
      <c r="SGP20" s="2185"/>
      <c r="SGQ20" s="16"/>
      <c r="SGR20" s="2185"/>
      <c r="SGS20" s="16"/>
      <c r="SGT20" s="2185"/>
      <c r="SGU20" s="16"/>
      <c r="SGV20" s="2185"/>
      <c r="SGW20" s="16"/>
      <c r="SGX20" s="2185"/>
      <c r="SGY20" s="16"/>
      <c r="SGZ20" s="2185"/>
      <c r="SHA20" s="16"/>
      <c r="SHB20" s="2185"/>
      <c r="SHC20" s="16"/>
      <c r="SHD20" s="2185"/>
      <c r="SHE20" s="16"/>
      <c r="SHF20" s="2185"/>
      <c r="SHG20" s="16"/>
      <c r="SHH20" s="2185"/>
      <c r="SHI20" s="16"/>
      <c r="SHJ20" s="2185"/>
      <c r="SHK20" s="16"/>
      <c r="SHL20" s="2185"/>
      <c r="SHM20" s="16"/>
      <c r="SHN20" s="2185"/>
      <c r="SHO20" s="16"/>
      <c r="SHP20" s="2185"/>
      <c r="SHQ20" s="16"/>
      <c r="SHR20" s="2185"/>
      <c r="SHS20" s="16"/>
      <c r="SHT20" s="2185"/>
      <c r="SHU20" s="16"/>
      <c r="SHV20" s="2185"/>
      <c r="SHW20" s="16"/>
      <c r="SHX20" s="2185"/>
      <c r="SHY20" s="16"/>
      <c r="SHZ20" s="2185"/>
      <c r="SIA20" s="16"/>
      <c r="SIB20" s="2185"/>
      <c r="SIC20" s="16"/>
      <c r="SID20" s="2185"/>
      <c r="SIE20" s="16"/>
      <c r="SIF20" s="2185"/>
      <c r="SIG20" s="16"/>
      <c r="SIH20" s="2185"/>
      <c r="SII20" s="16"/>
      <c r="SIJ20" s="2185"/>
      <c r="SIK20" s="16"/>
      <c r="SIL20" s="2185"/>
      <c r="SIM20" s="16"/>
      <c r="SIN20" s="2185"/>
      <c r="SIO20" s="16"/>
      <c r="SIP20" s="2185"/>
      <c r="SIQ20" s="16"/>
      <c r="SIR20" s="2185"/>
      <c r="SIS20" s="16"/>
      <c r="SIT20" s="2185"/>
      <c r="SIU20" s="16"/>
      <c r="SIV20" s="2185"/>
      <c r="SIW20" s="16"/>
      <c r="SIX20" s="2185"/>
      <c r="SIY20" s="16"/>
      <c r="SIZ20" s="2185"/>
      <c r="SJA20" s="16"/>
      <c r="SJB20" s="2185"/>
      <c r="SJC20" s="16"/>
      <c r="SJD20" s="2185"/>
      <c r="SJE20" s="16"/>
      <c r="SJF20" s="2185"/>
      <c r="SJG20" s="16"/>
      <c r="SJH20" s="2185"/>
      <c r="SJI20" s="16"/>
      <c r="SJJ20" s="2185"/>
      <c r="SJK20" s="16"/>
      <c r="SJL20" s="2185"/>
      <c r="SJM20" s="16"/>
      <c r="SJN20" s="2185"/>
      <c r="SJO20" s="16"/>
      <c r="SJP20" s="2185"/>
      <c r="SJQ20" s="16"/>
      <c r="SJR20" s="2185"/>
      <c r="SJS20" s="16"/>
      <c r="SJT20" s="2185"/>
      <c r="SJU20" s="16"/>
      <c r="SJV20" s="2185"/>
      <c r="SJW20" s="16"/>
      <c r="SJX20" s="2185"/>
      <c r="SJY20" s="16"/>
      <c r="SJZ20" s="2185"/>
      <c r="SKA20" s="16"/>
      <c r="SKB20" s="2185"/>
      <c r="SKC20" s="16"/>
      <c r="SKD20" s="2185"/>
      <c r="SKE20" s="16"/>
      <c r="SKF20" s="2185"/>
      <c r="SKG20" s="16"/>
      <c r="SKH20" s="2185"/>
      <c r="SKI20" s="16"/>
      <c r="SKJ20" s="2185"/>
      <c r="SKK20" s="16"/>
      <c r="SKL20" s="2185"/>
      <c r="SKM20" s="16"/>
      <c r="SKN20" s="2185"/>
      <c r="SKO20" s="16"/>
      <c r="SKP20" s="2185"/>
      <c r="SKQ20" s="16"/>
      <c r="SKR20" s="2185"/>
      <c r="SKS20" s="16"/>
      <c r="SKT20" s="2185"/>
      <c r="SKU20" s="16"/>
      <c r="SKV20" s="2185"/>
      <c r="SKW20" s="16"/>
      <c r="SKX20" s="2185"/>
      <c r="SKY20" s="16"/>
      <c r="SKZ20" s="2185"/>
      <c r="SLA20" s="16"/>
      <c r="SLB20" s="2185"/>
      <c r="SLC20" s="16"/>
      <c r="SLD20" s="2185"/>
      <c r="SLE20" s="16"/>
      <c r="SLF20" s="2185"/>
      <c r="SLG20" s="16"/>
      <c r="SLH20" s="2185"/>
      <c r="SLI20" s="16"/>
      <c r="SLJ20" s="2185"/>
      <c r="SLK20" s="16"/>
      <c r="SLL20" s="2185"/>
      <c r="SLM20" s="16"/>
      <c r="SLN20" s="2185"/>
      <c r="SLO20" s="16"/>
      <c r="SLP20" s="2185"/>
      <c r="SLQ20" s="16"/>
      <c r="SLR20" s="2185"/>
      <c r="SLS20" s="16"/>
      <c r="SLT20" s="2185"/>
      <c r="SLU20" s="16"/>
      <c r="SLV20" s="2185"/>
      <c r="SLW20" s="16"/>
      <c r="SLX20" s="2185"/>
      <c r="SLY20" s="16"/>
      <c r="SLZ20" s="2185"/>
      <c r="SMA20" s="16"/>
      <c r="SMB20" s="2185"/>
      <c r="SMC20" s="16"/>
      <c r="SMD20" s="2185"/>
      <c r="SME20" s="16"/>
      <c r="SMF20" s="2185"/>
      <c r="SMG20" s="16"/>
      <c r="SMH20" s="2185"/>
      <c r="SMI20" s="16"/>
      <c r="SMJ20" s="2185"/>
      <c r="SMK20" s="16"/>
      <c r="SML20" s="2185"/>
      <c r="SMM20" s="16"/>
      <c r="SMN20" s="2185"/>
      <c r="SMO20" s="16"/>
      <c r="SMP20" s="2185"/>
      <c r="SMQ20" s="16"/>
      <c r="SMR20" s="2185"/>
      <c r="SMS20" s="16"/>
      <c r="SMT20" s="2185"/>
      <c r="SMU20" s="16"/>
      <c r="SMV20" s="2185"/>
      <c r="SMW20" s="16"/>
      <c r="SMX20" s="2185"/>
      <c r="SMY20" s="16"/>
      <c r="SMZ20" s="2185"/>
      <c r="SNA20" s="16"/>
      <c r="SNB20" s="2185"/>
      <c r="SNC20" s="16"/>
      <c r="SND20" s="2185"/>
      <c r="SNE20" s="16"/>
      <c r="SNF20" s="2185"/>
      <c r="SNG20" s="16"/>
      <c r="SNH20" s="2185"/>
      <c r="SNI20" s="16"/>
      <c r="SNJ20" s="2185"/>
      <c r="SNK20" s="16"/>
      <c r="SNL20" s="2185"/>
      <c r="SNM20" s="16"/>
      <c r="SNN20" s="2185"/>
      <c r="SNO20" s="16"/>
      <c r="SNP20" s="2185"/>
      <c r="SNQ20" s="16"/>
      <c r="SNR20" s="2185"/>
      <c r="SNS20" s="16"/>
      <c r="SNT20" s="2185"/>
      <c r="SNU20" s="16"/>
      <c r="SNV20" s="2185"/>
      <c r="SNW20" s="16"/>
      <c r="SNX20" s="2185"/>
      <c r="SNY20" s="16"/>
      <c r="SNZ20" s="2185"/>
      <c r="SOA20" s="16"/>
      <c r="SOB20" s="2185"/>
      <c r="SOC20" s="16"/>
      <c r="SOD20" s="2185"/>
      <c r="SOE20" s="16"/>
      <c r="SOF20" s="2185"/>
      <c r="SOG20" s="16"/>
      <c r="SOH20" s="2185"/>
      <c r="SOI20" s="16"/>
      <c r="SOJ20" s="2185"/>
      <c r="SOK20" s="16"/>
      <c r="SOL20" s="2185"/>
      <c r="SOM20" s="16"/>
      <c r="SON20" s="2185"/>
      <c r="SOO20" s="16"/>
      <c r="SOP20" s="2185"/>
      <c r="SOQ20" s="16"/>
      <c r="SOR20" s="2185"/>
      <c r="SOS20" s="16"/>
      <c r="SOT20" s="2185"/>
      <c r="SOU20" s="16"/>
      <c r="SOV20" s="2185"/>
      <c r="SOW20" s="16"/>
      <c r="SOX20" s="2185"/>
      <c r="SOY20" s="16"/>
      <c r="SOZ20" s="2185"/>
      <c r="SPA20" s="16"/>
      <c r="SPB20" s="2185"/>
      <c r="SPC20" s="16"/>
      <c r="SPD20" s="2185"/>
      <c r="SPE20" s="16"/>
      <c r="SPF20" s="2185"/>
      <c r="SPG20" s="16"/>
      <c r="SPH20" s="2185"/>
      <c r="SPI20" s="16"/>
      <c r="SPJ20" s="2185"/>
      <c r="SPK20" s="16"/>
      <c r="SPL20" s="2185"/>
      <c r="SPM20" s="16"/>
      <c r="SPN20" s="2185"/>
      <c r="SPO20" s="16"/>
      <c r="SPP20" s="2185"/>
      <c r="SPQ20" s="16"/>
      <c r="SPR20" s="2185"/>
      <c r="SPS20" s="16"/>
      <c r="SPT20" s="2185"/>
      <c r="SPU20" s="16"/>
      <c r="SPV20" s="2185"/>
      <c r="SPW20" s="16"/>
      <c r="SPX20" s="2185"/>
      <c r="SPY20" s="16"/>
      <c r="SPZ20" s="2185"/>
      <c r="SQA20" s="16"/>
      <c r="SQB20" s="2185"/>
      <c r="SQC20" s="16"/>
      <c r="SQD20" s="2185"/>
      <c r="SQE20" s="16"/>
      <c r="SQF20" s="2185"/>
      <c r="SQG20" s="16"/>
      <c r="SQH20" s="2185"/>
      <c r="SQI20" s="16"/>
      <c r="SQJ20" s="2185"/>
      <c r="SQK20" s="16"/>
      <c r="SQL20" s="2185"/>
      <c r="SQM20" s="16"/>
      <c r="SQN20" s="2185"/>
      <c r="SQO20" s="16"/>
      <c r="SQP20" s="2185"/>
      <c r="SQQ20" s="16"/>
      <c r="SQR20" s="2185"/>
      <c r="SQS20" s="16"/>
      <c r="SQT20" s="2185"/>
      <c r="SQU20" s="16"/>
      <c r="SQV20" s="2185"/>
      <c r="SQW20" s="16"/>
      <c r="SQX20" s="2185"/>
      <c r="SQY20" s="16"/>
      <c r="SQZ20" s="2185"/>
      <c r="SRA20" s="16"/>
      <c r="SRB20" s="2185"/>
      <c r="SRC20" s="16"/>
      <c r="SRD20" s="2185"/>
      <c r="SRE20" s="16"/>
      <c r="SRF20" s="2185"/>
      <c r="SRG20" s="16"/>
      <c r="SRH20" s="2185"/>
      <c r="SRI20" s="16"/>
      <c r="SRJ20" s="2185"/>
      <c r="SRK20" s="16"/>
      <c r="SRL20" s="2185"/>
      <c r="SRM20" s="16"/>
      <c r="SRN20" s="2185"/>
      <c r="SRO20" s="16"/>
      <c r="SRP20" s="2185"/>
      <c r="SRQ20" s="16"/>
      <c r="SRR20" s="2185"/>
      <c r="SRS20" s="16"/>
      <c r="SRT20" s="2185"/>
      <c r="SRU20" s="16"/>
      <c r="SRV20" s="2185"/>
      <c r="SRW20" s="16"/>
      <c r="SRX20" s="2185"/>
      <c r="SRY20" s="16"/>
      <c r="SRZ20" s="2185"/>
      <c r="SSA20" s="16"/>
      <c r="SSB20" s="2185"/>
      <c r="SSC20" s="16"/>
      <c r="SSD20" s="2185"/>
      <c r="SSE20" s="16"/>
      <c r="SSF20" s="2185"/>
      <c r="SSG20" s="16"/>
      <c r="SSH20" s="2185"/>
      <c r="SSI20" s="16"/>
      <c r="SSJ20" s="2185"/>
      <c r="SSK20" s="16"/>
      <c r="SSL20" s="2185"/>
      <c r="SSM20" s="16"/>
      <c r="SSN20" s="2185"/>
      <c r="SSO20" s="16"/>
      <c r="SSP20" s="2185"/>
      <c r="SSQ20" s="16"/>
      <c r="SSR20" s="2185"/>
      <c r="SSS20" s="16"/>
      <c r="SST20" s="2185"/>
      <c r="SSU20" s="16"/>
      <c r="SSV20" s="2185"/>
      <c r="SSW20" s="16"/>
      <c r="SSX20" s="2185"/>
      <c r="SSY20" s="16"/>
      <c r="SSZ20" s="2185"/>
      <c r="STA20" s="16"/>
      <c r="STB20" s="2185"/>
      <c r="STC20" s="16"/>
      <c r="STD20" s="2185"/>
      <c r="STE20" s="16"/>
      <c r="STF20" s="2185"/>
      <c r="STG20" s="16"/>
      <c r="STH20" s="2185"/>
      <c r="STI20" s="16"/>
      <c r="STJ20" s="2185"/>
      <c r="STK20" s="16"/>
      <c r="STL20" s="2185"/>
      <c r="STM20" s="16"/>
      <c r="STN20" s="2185"/>
      <c r="STO20" s="16"/>
      <c r="STP20" s="2185"/>
      <c r="STQ20" s="16"/>
      <c r="STR20" s="2185"/>
      <c r="STS20" s="16"/>
      <c r="STT20" s="2185"/>
      <c r="STU20" s="16"/>
      <c r="STV20" s="2185"/>
      <c r="STW20" s="16"/>
      <c r="STX20" s="2185"/>
      <c r="STY20" s="16"/>
      <c r="STZ20" s="2185"/>
      <c r="SUA20" s="16"/>
      <c r="SUB20" s="2185"/>
      <c r="SUC20" s="16"/>
      <c r="SUD20" s="2185"/>
      <c r="SUE20" s="16"/>
      <c r="SUF20" s="2185"/>
      <c r="SUG20" s="16"/>
      <c r="SUH20" s="2185"/>
      <c r="SUI20" s="16"/>
      <c r="SUJ20" s="2185"/>
      <c r="SUK20" s="16"/>
      <c r="SUL20" s="2185"/>
      <c r="SUM20" s="16"/>
      <c r="SUN20" s="2185"/>
      <c r="SUO20" s="16"/>
      <c r="SUP20" s="2185"/>
      <c r="SUQ20" s="16"/>
      <c r="SUR20" s="2185"/>
      <c r="SUS20" s="16"/>
      <c r="SUT20" s="2185"/>
      <c r="SUU20" s="16"/>
      <c r="SUV20" s="2185"/>
      <c r="SUW20" s="16"/>
      <c r="SUX20" s="2185"/>
      <c r="SUY20" s="16"/>
      <c r="SUZ20" s="2185"/>
      <c r="SVA20" s="16"/>
      <c r="SVB20" s="2185"/>
      <c r="SVC20" s="16"/>
      <c r="SVD20" s="2185"/>
      <c r="SVE20" s="16"/>
      <c r="SVF20" s="2185"/>
      <c r="SVG20" s="16"/>
      <c r="SVH20" s="2185"/>
      <c r="SVI20" s="16"/>
      <c r="SVJ20" s="2185"/>
      <c r="SVK20" s="16"/>
      <c r="SVL20" s="2185"/>
      <c r="SVM20" s="16"/>
      <c r="SVN20" s="2185"/>
      <c r="SVO20" s="16"/>
      <c r="SVP20" s="2185"/>
      <c r="SVQ20" s="16"/>
      <c r="SVR20" s="2185"/>
      <c r="SVS20" s="16"/>
      <c r="SVT20" s="2185"/>
      <c r="SVU20" s="16"/>
      <c r="SVV20" s="2185"/>
      <c r="SVW20" s="16"/>
      <c r="SVX20" s="2185"/>
      <c r="SVY20" s="16"/>
      <c r="SVZ20" s="2185"/>
      <c r="SWA20" s="16"/>
      <c r="SWB20" s="2185"/>
      <c r="SWC20" s="16"/>
      <c r="SWD20" s="2185"/>
      <c r="SWE20" s="16"/>
      <c r="SWF20" s="2185"/>
      <c r="SWG20" s="16"/>
      <c r="SWH20" s="2185"/>
      <c r="SWI20" s="16"/>
      <c r="SWJ20" s="2185"/>
      <c r="SWK20" s="16"/>
      <c r="SWL20" s="2185"/>
      <c r="SWM20" s="16"/>
      <c r="SWN20" s="2185"/>
      <c r="SWO20" s="16"/>
      <c r="SWP20" s="2185"/>
      <c r="SWQ20" s="16"/>
      <c r="SWR20" s="2185"/>
      <c r="SWS20" s="16"/>
      <c r="SWT20" s="2185"/>
      <c r="SWU20" s="16"/>
      <c r="SWV20" s="2185"/>
      <c r="SWW20" s="16"/>
      <c r="SWX20" s="2185"/>
      <c r="SWY20" s="16"/>
      <c r="SWZ20" s="2185"/>
      <c r="SXA20" s="16"/>
      <c r="SXB20" s="2185"/>
      <c r="SXC20" s="16"/>
      <c r="SXD20" s="2185"/>
      <c r="SXE20" s="16"/>
      <c r="SXF20" s="2185"/>
      <c r="SXG20" s="16"/>
      <c r="SXH20" s="2185"/>
      <c r="SXI20" s="16"/>
      <c r="SXJ20" s="2185"/>
      <c r="SXK20" s="16"/>
      <c r="SXL20" s="2185"/>
      <c r="SXM20" s="16"/>
      <c r="SXN20" s="2185"/>
      <c r="SXO20" s="16"/>
      <c r="SXP20" s="2185"/>
      <c r="SXQ20" s="16"/>
      <c r="SXR20" s="2185"/>
      <c r="SXS20" s="16"/>
      <c r="SXT20" s="2185"/>
      <c r="SXU20" s="16"/>
      <c r="SXV20" s="2185"/>
      <c r="SXW20" s="16"/>
      <c r="SXX20" s="2185"/>
      <c r="SXY20" s="16"/>
      <c r="SXZ20" s="2185"/>
      <c r="SYA20" s="16"/>
      <c r="SYB20" s="2185"/>
      <c r="SYC20" s="16"/>
      <c r="SYD20" s="2185"/>
      <c r="SYE20" s="16"/>
      <c r="SYF20" s="2185"/>
      <c r="SYG20" s="16"/>
      <c r="SYH20" s="2185"/>
      <c r="SYI20" s="16"/>
      <c r="SYJ20" s="2185"/>
      <c r="SYK20" s="16"/>
      <c r="SYL20" s="2185"/>
      <c r="SYM20" s="16"/>
      <c r="SYN20" s="2185"/>
      <c r="SYO20" s="16"/>
      <c r="SYP20" s="2185"/>
      <c r="SYQ20" s="16"/>
      <c r="SYR20" s="2185"/>
      <c r="SYS20" s="16"/>
      <c r="SYT20" s="2185"/>
      <c r="SYU20" s="16"/>
      <c r="SYV20" s="2185"/>
      <c r="SYW20" s="16"/>
      <c r="SYX20" s="2185"/>
      <c r="SYY20" s="16"/>
      <c r="SYZ20" s="2185"/>
      <c r="SZA20" s="16"/>
      <c r="SZB20" s="2185"/>
      <c r="SZC20" s="16"/>
      <c r="SZD20" s="2185"/>
      <c r="SZE20" s="16"/>
      <c r="SZF20" s="2185"/>
      <c r="SZG20" s="16"/>
      <c r="SZH20" s="2185"/>
      <c r="SZI20" s="16"/>
      <c r="SZJ20" s="2185"/>
      <c r="SZK20" s="16"/>
      <c r="SZL20" s="2185"/>
      <c r="SZM20" s="16"/>
      <c r="SZN20" s="2185"/>
      <c r="SZO20" s="16"/>
      <c r="SZP20" s="2185"/>
      <c r="SZQ20" s="16"/>
      <c r="SZR20" s="2185"/>
      <c r="SZS20" s="16"/>
      <c r="SZT20" s="2185"/>
      <c r="SZU20" s="16"/>
      <c r="SZV20" s="2185"/>
      <c r="SZW20" s="16"/>
      <c r="SZX20" s="2185"/>
      <c r="SZY20" s="16"/>
      <c r="SZZ20" s="2185"/>
      <c r="TAA20" s="16"/>
      <c r="TAB20" s="2185"/>
      <c r="TAC20" s="16"/>
      <c r="TAD20" s="2185"/>
      <c r="TAE20" s="16"/>
      <c r="TAF20" s="2185"/>
      <c r="TAG20" s="16"/>
      <c r="TAH20" s="2185"/>
      <c r="TAI20" s="16"/>
      <c r="TAJ20" s="2185"/>
      <c r="TAK20" s="16"/>
      <c r="TAL20" s="2185"/>
      <c r="TAM20" s="16"/>
      <c r="TAN20" s="2185"/>
      <c r="TAO20" s="16"/>
      <c r="TAP20" s="2185"/>
      <c r="TAQ20" s="16"/>
      <c r="TAR20" s="2185"/>
      <c r="TAS20" s="16"/>
      <c r="TAT20" s="2185"/>
      <c r="TAU20" s="16"/>
      <c r="TAV20" s="2185"/>
      <c r="TAW20" s="16"/>
      <c r="TAX20" s="2185"/>
      <c r="TAY20" s="16"/>
      <c r="TAZ20" s="2185"/>
      <c r="TBA20" s="16"/>
      <c r="TBB20" s="2185"/>
      <c r="TBC20" s="16"/>
      <c r="TBD20" s="2185"/>
      <c r="TBE20" s="16"/>
      <c r="TBF20" s="2185"/>
      <c r="TBG20" s="16"/>
      <c r="TBH20" s="2185"/>
      <c r="TBI20" s="16"/>
      <c r="TBJ20" s="2185"/>
      <c r="TBK20" s="16"/>
      <c r="TBL20" s="2185"/>
      <c r="TBM20" s="16"/>
      <c r="TBN20" s="2185"/>
      <c r="TBO20" s="16"/>
      <c r="TBP20" s="2185"/>
      <c r="TBQ20" s="16"/>
      <c r="TBR20" s="2185"/>
      <c r="TBS20" s="16"/>
      <c r="TBT20" s="2185"/>
      <c r="TBU20" s="16"/>
      <c r="TBV20" s="2185"/>
      <c r="TBW20" s="16"/>
      <c r="TBX20" s="2185"/>
      <c r="TBY20" s="16"/>
      <c r="TBZ20" s="2185"/>
      <c r="TCA20" s="16"/>
      <c r="TCB20" s="2185"/>
      <c r="TCC20" s="16"/>
      <c r="TCD20" s="2185"/>
      <c r="TCE20" s="16"/>
      <c r="TCF20" s="2185"/>
      <c r="TCG20" s="16"/>
      <c r="TCH20" s="2185"/>
      <c r="TCI20" s="16"/>
      <c r="TCJ20" s="2185"/>
      <c r="TCK20" s="16"/>
      <c r="TCL20" s="2185"/>
      <c r="TCM20" s="16"/>
      <c r="TCN20" s="2185"/>
      <c r="TCO20" s="16"/>
      <c r="TCP20" s="2185"/>
      <c r="TCQ20" s="16"/>
      <c r="TCR20" s="2185"/>
      <c r="TCS20" s="16"/>
      <c r="TCT20" s="2185"/>
      <c r="TCU20" s="16"/>
      <c r="TCV20" s="2185"/>
      <c r="TCW20" s="16"/>
      <c r="TCX20" s="2185"/>
      <c r="TCY20" s="16"/>
      <c r="TCZ20" s="2185"/>
      <c r="TDA20" s="16"/>
      <c r="TDB20" s="2185"/>
      <c r="TDC20" s="16"/>
      <c r="TDD20" s="2185"/>
      <c r="TDE20" s="16"/>
      <c r="TDF20" s="2185"/>
      <c r="TDG20" s="16"/>
      <c r="TDH20" s="2185"/>
      <c r="TDI20" s="16"/>
      <c r="TDJ20" s="2185"/>
      <c r="TDK20" s="16"/>
      <c r="TDL20" s="2185"/>
      <c r="TDM20" s="16"/>
      <c r="TDN20" s="2185"/>
      <c r="TDO20" s="16"/>
      <c r="TDP20" s="2185"/>
      <c r="TDQ20" s="16"/>
      <c r="TDR20" s="2185"/>
      <c r="TDS20" s="16"/>
      <c r="TDT20" s="2185"/>
      <c r="TDU20" s="16"/>
      <c r="TDV20" s="2185"/>
      <c r="TDW20" s="16"/>
      <c r="TDX20" s="2185"/>
      <c r="TDY20" s="16"/>
      <c r="TDZ20" s="2185"/>
      <c r="TEA20" s="16"/>
      <c r="TEB20" s="2185"/>
      <c r="TEC20" s="16"/>
      <c r="TED20" s="2185"/>
      <c r="TEE20" s="16"/>
      <c r="TEF20" s="2185"/>
      <c r="TEG20" s="16"/>
      <c r="TEH20" s="2185"/>
      <c r="TEI20" s="16"/>
      <c r="TEJ20" s="2185"/>
      <c r="TEK20" s="16"/>
      <c r="TEL20" s="2185"/>
      <c r="TEM20" s="16"/>
      <c r="TEN20" s="2185"/>
      <c r="TEO20" s="16"/>
      <c r="TEP20" s="2185"/>
      <c r="TEQ20" s="16"/>
      <c r="TER20" s="2185"/>
      <c r="TES20" s="16"/>
      <c r="TET20" s="2185"/>
      <c r="TEU20" s="16"/>
      <c r="TEV20" s="2185"/>
      <c r="TEW20" s="16"/>
      <c r="TEX20" s="2185"/>
      <c r="TEY20" s="16"/>
      <c r="TEZ20" s="2185"/>
      <c r="TFA20" s="16"/>
      <c r="TFB20" s="2185"/>
      <c r="TFC20" s="16"/>
      <c r="TFD20" s="2185"/>
      <c r="TFE20" s="16"/>
      <c r="TFF20" s="2185"/>
      <c r="TFG20" s="16"/>
      <c r="TFH20" s="2185"/>
      <c r="TFI20" s="16"/>
      <c r="TFJ20" s="2185"/>
      <c r="TFK20" s="16"/>
      <c r="TFL20" s="2185"/>
      <c r="TFM20" s="16"/>
      <c r="TFN20" s="2185"/>
      <c r="TFO20" s="16"/>
      <c r="TFP20" s="2185"/>
      <c r="TFQ20" s="16"/>
      <c r="TFR20" s="2185"/>
      <c r="TFS20" s="16"/>
      <c r="TFT20" s="2185"/>
      <c r="TFU20" s="16"/>
      <c r="TFV20" s="2185"/>
      <c r="TFW20" s="16"/>
      <c r="TFX20" s="2185"/>
      <c r="TFY20" s="16"/>
      <c r="TFZ20" s="2185"/>
      <c r="TGA20" s="16"/>
      <c r="TGB20" s="2185"/>
      <c r="TGC20" s="16"/>
      <c r="TGD20" s="2185"/>
      <c r="TGE20" s="16"/>
      <c r="TGF20" s="2185"/>
      <c r="TGG20" s="16"/>
      <c r="TGH20" s="2185"/>
      <c r="TGI20" s="16"/>
      <c r="TGJ20" s="2185"/>
      <c r="TGK20" s="16"/>
      <c r="TGL20" s="2185"/>
      <c r="TGM20" s="16"/>
      <c r="TGN20" s="2185"/>
      <c r="TGO20" s="16"/>
      <c r="TGP20" s="2185"/>
      <c r="TGQ20" s="16"/>
      <c r="TGR20" s="2185"/>
      <c r="TGS20" s="16"/>
      <c r="TGT20" s="2185"/>
      <c r="TGU20" s="16"/>
      <c r="TGV20" s="2185"/>
      <c r="TGW20" s="16"/>
      <c r="TGX20" s="2185"/>
      <c r="TGY20" s="16"/>
      <c r="TGZ20" s="2185"/>
      <c r="THA20" s="16"/>
      <c r="THB20" s="2185"/>
      <c r="THC20" s="16"/>
      <c r="THD20" s="2185"/>
      <c r="THE20" s="16"/>
      <c r="THF20" s="2185"/>
      <c r="THG20" s="16"/>
      <c r="THH20" s="2185"/>
      <c r="THI20" s="16"/>
      <c r="THJ20" s="2185"/>
      <c r="THK20" s="16"/>
      <c r="THL20" s="2185"/>
      <c r="THM20" s="16"/>
      <c r="THN20" s="2185"/>
      <c r="THO20" s="16"/>
      <c r="THP20" s="2185"/>
      <c r="THQ20" s="16"/>
      <c r="THR20" s="2185"/>
      <c r="THS20" s="16"/>
      <c r="THT20" s="2185"/>
      <c r="THU20" s="16"/>
      <c r="THV20" s="2185"/>
      <c r="THW20" s="16"/>
      <c r="THX20" s="2185"/>
      <c r="THY20" s="16"/>
      <c r="THZ20" s="2185"/>
      <c r="TIA20" s="16"/>
      <c r="TIB20" s="2185"/>
      <c r="TIC20" s="16"/>
      <c r="TID20" s="2185"/>
      <c r="TIE20" s="16"/>
      <c r="TIF20" s="2185"/>
      <c r="TIG20" s="16"/>
      <c r="TIH20" s="2185"/>
      <c r="TII20" s="16"/>
      <c r="TIJ20" s="2185"/>
      <c r="TIK20" s="16"/>
      <c r="TIL20" s="2185"/>
      <c r="TIM20" s="16"/>
      <c r="TIN20" s="2185"/>
      <c r="TIO20" s="16"/>
      <c r="TIP20" s="2185"/>
      <c r="TIQ20" s="16"/>
      <c r="TIR20" s="2185"/>
      <c r="TIS20" s="16"/>
      <c r="TIT20" s="2185"/>
      <c r="TIU20" s="16"/>
      <c r="TIV20" s="2185"/>
      <c r="TIW20" s="16"/>
      <c r="TIX20" s="2185"/>
      <c r="TIY20" s="16"/>
      <c r="TIZ20" s="2185"/>
      <c r="TJA20" s="16"/>
      <c r="TJB20" s="2185"/>
      <c r="TJC20" s="16"/>
      <c r="TJD20" s="2185"/>
      <c r="TJE20" s="16"/>
      <c r="TJF20" s="2185"/>
      <c r="TJG20" s="16"/>
      <c r="TJH20" s="2185"/>
      <c r="TJI20" s="16"/>
      <c r="TJJ20" s="2185"/>
      <c r="TJK20" s="16"/>
      <c r="TJL20" s="2185"/>
      <c r="TJM20" s="16"/>
      <c r="TJN20" s="2185"/>
      <c r="TJO20" s="16"/>
      <c r="TJP20" s="2185"/>
      <c r="TJQ20" s="16"/>
      <c r="TJR20" s="2185"/>
      <c r="TJS20" s="16"/>
      <c r="TJT20" s="2185"/>
      <c r="TJU20" s="16"/>
      <c r="TJV20" s="2185"/>
      <c r="TJW20" s="16"/>
      <c r="TJX20" s="2185"/>
      <c r="TJY20" s="16"/>
      <c r="TJZ20" s="2185"/>
      <c r="TKA20" s="16"/>
      <c r="TKB20" s="2185"/>
      <c r="TKC20" s="16"/>
      <c r="TKD20" s="2185"/>
      <c r="TKE20" s="16"/>
      <c r="TKF20" s="2185"/>
      <c r="TKG20" s="16"/>
      <c r="TKH20" s="2185"/>
      <c r="TKI20" s="16"/>
      <c r="TKJ20" s="2185"/>
      <c r="TKK20" s="16"/>
      <c r="TKL20" s="2185"/>
      <c r="TKM20" s="16"/>
      <c r="TKN20" s="2185"/>
      <c r="TKO20" s="16"/>
      <c r="TKP20" s="2185"/>
      <c r="TKQ20" s="16"/>
      <c r="TKR20" s="2185"/>
      <c r="TKS20" s="16"/>
      <c r="TKT20" s="2185"/>
      <c r="TKU20" s="16"/>
      <c r="TKV20" s="2185"/>
      <c r="TKW20" s="16"/>
      <c r="TKX20" s="2185"/>
      <c r="TKY20" s="16"/>
      <c r="TKZ20" s="2185"/>
      <c r="TLA20" s="16"/>
      <c r="TLB20" s="2185"/>
      <c r="TLC20" s="16"/>
      <c r="TLD20" s="2185"/>
      <c r="TLE20" s="16"/>
      <c r="TLF20" s="2185"/>
      <c r="TLG20" s="16"/>
      <c r="TLH20" s="2185"/>
      <c r="TLI20" s="16"/>
      <c r="TLJ20" s="2185"/>
      <c r="TLK20" s="16"/>
      <c r="TLL20" s="2185"/>
      <c r="TLM20" s="16"/>
      <c r="TLN20" s="2185"/>
      <c r="TLO20" s="16"/>
      <c r="TLP20" s="2185"/>
      <c r="TLQ20" s="16"/>
      <c r="TLR20" s="2185"/>
      <c r="TLS20" s="16"/>
      <c r="TLT20" s="2185"/>
      <c r="TLU20" s="16"/>
      <c r="TLV20" s="2185"/>
      <c r="TLW20" s="16"/>
      <c r="TLX20" s="2185"/>
      <c r="TLY20" s="16"/>
      <c r="TLZ20" s="2185"/>
      <c r="TMA20" s="16"/>
      <c r="TMB20" s="2185"/>
      <c r="TMC20" s="16"/>
      <c r="TMD20" s="2185"/>
      <c r="TME20" s="16"/>
      <c r="TMF20" s="2185"/>
      <c r="TMG20" s="16"/>
      <c r="TMH20" s="2185"/>
      <c r="TMI20" s="16"/>
      <c r="TMJ20" s="2185"/>
      <c r="TMK20" s="16"/>
      <c r="TML20" s="2185"/>
      <c r="TMM20" s="16"/>
      <c r="TMN20" s="2185"/>
      <c r="TMO20" s="16"/>
      <c r="TMP20" s="2185"/>
      <c r="TMQ20" s="16"/>
      <c r="TMR20" s="2185"/>
      <c r="TMS20" s="16"/>
      <c r="TMT20" s="2185"/>
      <c r="TMU20" s="16"/>
      <c r="TMV20" s="2185"/>
      <c r="TMW20" s="16"/>
      <c r="TMX20" s="2185"/>
      <c r="TMY20" s="16"/>
      <c r="TMZ20" s="2185"/>
      <c r="TNA20" s="16"/>
      <c r="TNB20" s="2185"/>
      <c r="TNC20" s="16"/>
      <c r="TND20" s="2185"/>
      <c r="TNE20" s="16"/>
      <c r="TNF20" s="2185"/>
      <c r="TNG20" s="16"/>
      <c r="TNH20" s="2185"/>
      <c r="TNI20" s="16"/>
      <c r="TNJ20" s="2185"/>
      <c r="TNK20" s="16"/>
      <c r="TNL20" s="2185"/>
      <c r="TNM20" s="16"/>
      <c r="TNN20" s="2185"/>
      <c r="TNO20" s="16"/>
      <c r="TNP20" s="2185"/>
      <c r="TNQ20" s="16"/>
      <c r="TNR20" s="2185"/>
      <c r="TNS20" s="16"/>
      <c r="TNT20" s="2185"/>
      <c r="TNU20" s="16"/>
      <c r="TNV20" s="2185"/>
      <c r="TNW20" s="16"/>
      <c r="TNX20" s="2185"/>
      <c r="TNY20" s="16"/>
      <c r="TNZ20" s="2185"/>
      <c r="TOA20" s="16"/>
      <c r="TOB20" s="2185"/>
      <c r="TOC20" s="16"/>
      <c r="TOD20" s="2185"/>
      <c r="TOE20" s="16"/>
      <c r="TOF20" s="2185"/>
      <c r="TOG20" s="16"/>
      <c r="TOH20" s="2185"/>
      <c r="TOI20" s="16"/>
      <c r="TOJ20" s="2185"/>
      <c r="TOK20" s="16"/>
      <c r="TOL20" s="2185"/>
      <c r="TOM20" s="16"/>
      <c r="TON20" s="2185"/>
      <c r="TOO20" s="16"/>
      <c r="TOP20" s="2185"/>
      <c r="TOQ20" s="16"/>
      <c r="TOR20" s="2185"/>
      <c r="TOS20" s="16"/>
      <c r="TOT20" s="2185"/>
      <c r="TOU20" s="16"/>
      <c r="TOV20" s="2185"/>
      <c r="TOW20" s="16"/>
      <c r="TOX20" s="2185"/>
      <c r="TOY20" s="16"/>
      <c r="TOZ20" s="2185"/>
      <c r="TPA20" s="16"/>
      <c r="TPB20" s="2185"/>
      <c r="TPC20" s="16"/>
      <c r="TPD20" s="2185"/>
      <c r="TPE20" s="16"/>
      <c r="TPF20" s="2185"/>
      <c r="TPG20" s="16"/>
      <c r="TPH20" s="2185"/>
      <c r="TPI20" s="16"/>
      <c r="TPJ20" s="2185"/>
      <c r="TPK20" s="16"/>
      <c r="TPL20" s="2185"/>
      <c r="TPM20" s="16"/>
      <c r="TPN20" s="2185"/>
      <c r="TPO20" s="16"/>
      <c r="TPP20" s="2185"/>
      <c r="TPQ20" s="16"/>
      <c r="TPR20" s="2185"/>
      <c r="TPS20" s="16"/>
      <c r="TPT20" s="2185"/>
      <c r="TPU20" s="16"/>
      <c r="TPV20" s="2185"/>
      <c r="TPW20" s="16"/>
      <c r="TPX20" s="2185"/>
      <c r="TPY20" s="16"/>
      <c r="TPZ20" s="2185"/>
      <c r="TQA20" s="16"/>
      <c r="TQB20" s="2185"/>
      <c r="TQC20" s="16"/>
      <c r="TQD20" s="2185"/>
      <c r="TQE20" s="16"/>
      <c r="TQF20" s="2185"/>
      <c r="TQG20" s="16"/>
      <c r="TQH20" s="2185"/>
      <c r="TQI20" s="16"/>
      <c r="TQJ20" s="2185"/>
      <c r="TQK20" s="16"/>
      <c r="TQL20" s="2185"/>
      <c r="TQM20" s="16"/>
      <c r="TQN20" s="2185"/>
      <c r="TQO20" s="16"/>
      <c r="TQP20" s="2185"/>
      <c r="TQQ20" s="16"/>
      <c r="TQR20" s="2185"/>
      <c r="TQS20" s="16"/>
      <c r="TQT20" s="2185"/>
      <c r="TQU20" s="16"/>
      <c r="TQV20" s="2185"/>
      <c r="TQW20" s="16"/>
      <c r="TQX20" s="2185"/>
      <c r="TQY20" s="16"/>
      <c r="TQZ20" s="2185"/>
      <c r="TRA20" s="16"/>
      <c r="TRB20" s="2185"/>
      <c r="TRC20" s="16"/>
      <c r="TRD20" s="2185"/>
      <c r="TRE20" s="16"/>
      <c r="TRF20" s="2185"/>
      <c r="TRG20" s="16"/>
      <c r="TRH20" s="2185"/>
      <c r="TRI20" s="16"/>
      <c r="TRJ20" s="2185"/>
      <c r="TRK20" s="16"/>
      <c r="TRL20" s="2185"/>
      <c r="TRM20" s="16"/>
      <c r="TRN20" s="2185"/>
      <c r="TRO20" s="16"/>
      <c r="TRP20" s="2185"/>
      <c r="TRQ20" s="16"/>
      <c r="TRR20" s="2185"/>
      <c r="TRS20" s="16"/>
      <c r="TRT20" s="2185"/>
      <c r="TRU20" s="16"/>
      <c r="TRV20" s="2185"/>
      <c r="TRW20" s="16"/>
      <c r="TRX20" s="2185"/>
      <c r="TRY20" s="16"/>
      <c r="TRZ20" s="2185"/>
      <c r="TSA20" s="16"/>
      <c r="TSB20" s="2185"/>
      <c r="TSC20" s="16"/>
      <c r="TSD20" s="2185"/>
      <c r="TSE20" s="16"/>
      <c r="TSF20" s="2185"/>
      <c r="TSG20" s="16"/>
      <c r="TSH20" s="2185"/>
      <c r="TSI20" s="16"/>
      <c r="TSJ20" s="2185"/>
      <c r="TSK20" s="16"/>
      <c r="TSL20" s="2185"/>
      <c r="TSM20" s="16"/>
      <c r="TSN20" s="2185"/>
      <c r="TSO20" s="16"/>
      <c r="TSP20" s="2185"/>
      <c r="TSQ20" s="16"/>
      <c r="TSR20" s="2185"/>
      <c r="TSS20" s="16"/>
      <c r="TST20" s="2185"/>
      <c r="TSU20" s="16"/>
      <c r="TSV20" s="2185"/>
      <c r="TSW20" s="16"/>
      <c r="TSX20" s="2185"/>
      <c r="TSY20" s="16"/>
      <c r="TSZ20" s="2185"/>
      <c r="TTA20" s="16"/>
      <c r="TTB20" s="2185"/>
      <c r="TTC20" s="16"/>
      <c r="TTD20" s="2185"/>
      <c r="TTE20" s="16"/>
      <c r="TTF20" s="2185"/>
      <c r="TTG20" s="16"/>
      <c r="TTH20" s="2185"/>
      <c r="TTI20" s="16"/>
      <c r="TTJ20" s="2185"/>
      <c r="TTK20" s="16"/>
      <c r="TTL20" s="2185"/>
      <c r="TTM20" s="16"/>
      <c r="TTN20" s="2185"/>
      <c r="TTO20" s="16"/>
      <c r="TTP20" s="2185"/>
      <c r="TTQ20" s="16"/>
      <c r="TTR20" s="2185"/>
      <c r="TTS20" s="16"/>
      <c r="TTT20" s="2185"/>
      <c r="TTU20" s="16"/>
      <c r="TTV20" s="2185"/>
      <c r="TTW20" s="16"/>
      <c r="TTX20" s="2185"/>
      <c r="TTY20" s="16"/>
      <c r="TTZ20" s="2185"/>
      <c r="TUA20" s="16"/>
      <c r="TUB20" s="2185"/>
      <c r="TUC20" s="16"/>
      <c r="TUD20" s="2185"/>
      <c r="TUE20" s="16"/>
      <c r="TUF20" s="2185"/>
      <c r="TUG20" s="16"/>
      <c r="TUH20" s="2185"/>
      <c r="TUI20" s="16"/>
      <c r="TUJ20" s="2185"/>
      <c r="TUK20" s="16"/>
      <c r="TUL20" s="2185"/>
      <c r="TUM20" s="16"/>
      <c r="TUN20" s="2185"/>
      <c r="TUO20" s="16"/>
      <c r="TUP20" s="2185"/>
      <c r="TUQ20" s="16"/>
      <c r="TUR20" s="2185"/>
      <c r="TUS20" s="16"/>
      <c r="TUT20" s="2185"/>
      <c r="TUU20" s="16"/>
      <c r="TUV20" s="2185"/>
      <c r="TUW20" s="16"/>
      <c r="TUX20" s="2185"/>
      <c r="TUY20" s="16"/>
      <c r="TUZ20" s="2185"/>
      <c r="TVA20" s="16"/>
      <c r="TVB20" s="2185"/>
      <c r="TVC20" s="16"/>
      <c r="TVD20" s="2185"/>
      <c r="TVE20" s="16"/>
      <c r="TVF20" s="2185"/>
      <c r="TVG20" s="16"/>
      <c r="TVH20" s="2185"/>
      <c r="TVI20" s="16"/>
      <c r="TVJ20" s="2185"/>
      <c r="TVK20" s="16"/>
      <c r="TVL20" s="2185"/>
      <c r="TVM20" s="16"/>
      <c r="TVN20" s="2185"/>
      <c r="TVO20" s="16"/>
      <c r="TVP20" s="2185"/>
      <c r="TVQ20" s="16"/>
      <c r="TVR20" s="2185"/>
      <c r="TVS20" s="16"/>
      <c r="TVT20" s="2185"/>
      <c r="TVU20" s="16"/>
      <c r="TVV20" s="2185"/>
      <c r="TVW20" s="16"/>
      <c r="TVX20" s="2185"/>
      <c r="TVY20" s="16"/>
      <c r="TVZ20" s="2185"/>
      <c r="TWA20" s="16"/>
      <c r="TWB20" s="2185"/>
      <c r="TWC20" s="16"/>
      <c r="TWD20" s="2185"/>
      <c r="TWE20" s="16"/>
      <c r="TWF20" s="2185"/>
      <c r="TWG20" s="16"/>
      <c r="TWH20" s="2185"/>
      <c r="TWI20" s="16"/>
      <c r="TWJ20" s="2185"/>
      <c r="TWK20" s="16"/>
      <c r="TWL20" s="2185"/>
      <c r="TWM20" s="16"/>
      <c r="TWN20" s="2185"/>
      <c r="TWO20" s="16"/>
      <c r="TWP20" s="2185"/>
      <c r="TWQ20" s="16"/>
      <c r="TWR20" s="2185"/>
      <c r="TWS20" s="16"/>
      <c r="TWT20" s="2185"/>
      <c r="TWU20" s="16"/>
      <c r="TWV20" s="2185"/>
      <c r="TWW20" s="16"/>
      <c r="TWX20" s="2185"/>
      <c r="TWY20" s="16"/>
      <c r="TWZ20" s="2185"/>
      <c r="TXA20" s="16"/>
      <c r="TXB20" s="2185"/>
      <c r="TXC20" s="16"/>
      <c r="TXD20" s="2185"/>
      <c r="TXE20" s="16"/>
      <c r="TXF20" s="2185"/>
      <c r="TXG20" s="16"/>
      <c r="TXH20" s="2185"/>
      <c r="TXI20" s="16"/>
      <c r="TXJ20" s="2185"/>
      <c r="TXK20" s="16"/>
      <c r="TXL20" s="2185"/>
      <c r="TXM20" s="16"/>
      <c r="TXN20" s="2185"/>
      <c r="TXO20" s="16"/>
      <c r="TXP20" s="2185"/>
      <c r="TXQ20" s="16"/>
      <c r="TXR20" s="2185"/>
      <c r="TXS20" s="16"/>
      <c r="TXT20" s="2185"/>
      <c r="TXU20" s="16"/>
      <c r="TXV20" s="2185"/>
      <c r="TXW20" s="16"/>
      <c r="TXX20" s="2185"/>
      <c r="TXY20" s="16"/>
      <c r="TXZ20" s="2185"/>
      <c r="TYA20" s="16"/>
      <c r="TYB20" s="2185"/>
      <c r="TYC20" s="16"/>
      <c r="TYD20" s="2185"/>
      <c r="TYE20" s="16"/>
      <c r="TYF20" s="2185"/>
      <c r="TYG20" s="16"/>
      <c r="TYH20" s="2185"/>
      <c r="TYI20" s="16"/>
      <c r="TYJ20" s="2185"/>
      <c r="TYK20" s="16"/>
      <c r="TYL20" s="2185"/>
      <c r="TYM20" s="16"/>
      <c r="TYN20" s="2185"/>
      <c r="TYO20" s="16"/>
      <c r="TYP20" s="2185"/>
      <c r="TYQ20" s="16"/>
      <c r="TYR20" s="2185"/>
      <c r="TYS20" s="16"/>
      <c r="TYT20" s="2185"/>
      <c r="TYU20" s="16"/>
      <c r="TYV20" s="2185"/>
      <c r="TYW20" s="16"/>
      <c r="TYX20" s="2185"/>
      <c r="TYY20" s="16"/>
      <c r="TYZ20" s="2185"/>
      <c r="TZA20" s="16"/>
      <c r="TZB20" s="2185"/>
      <c r="TZC20" s="16"/>
      <c r="TZD20" s="2185"/>
      <c r="TZE20" s="16"/>
      <c r="TZF20" s="2185"/>
      <c r="TZG20" s="16"/>
      <c r="TZH20" s="2185"/>
      <c r="TZI20" s="16"/>
      <c r="TZJ20" s="2185"/>
      <c r="TZK20" s="16"/>
      <c r="TZL20" s="2185"/>
      <c r="TZM20" s="16"/>
      <c r="TZN20" s="2185"/>
      <c r="TZO20" s="16"/>
      <c r="TZP20" s="2185"/>
      <c r="TZQ20" s="16"/>
      <c r="TZR20" s="2185"/>
      <c r="TZS20" s="16"/>
      <c r="TZT20" s="2185"/>
      <c r="TZU20" s="16"/>
      <c r="TZV20" s="2185"/>
      <c r="TZW20" s="16"/>
      <c r="TZX20" s="2185"/>
      <c r="TZY20" s="16"/>
      <c r="TZZ20" s="2185"/>
      <c r="UAA20" s="16"/>
      <c r="UAB20" s="2185"/>
      <c r="UAC20" s="16"/>
      <c r="UAD20" s="2185"/>
      <c r="UAE20" s="16"/>
      <c r="UAF20" s="2185"/>
      <c r="UAG20" s="16"/>
      <c r="UAH20" s="2185"/>
      <c r="UAI20" s="16"/>
      <c r="UAJ20" s="2185"/>
      <c r="UAK20" s="16"/>
      <c r="UAL20" s="2185"/>
      <c r="UAM20" s="16"/>
      <c r="UAN20" s="2185"/>
      <c r="UAO20" s="16"/>
      <c r="UAP20" s="2185"/>
      <c r="UAQ20" s="16"/>
      <c r="UAR20" s="2185"/>
      <c r="UAS20" s="16"/>
      <c r="UAT20" s="2185"/>
      <c r="UAU20" s="16"/>
      <c r="UAV20" s="2185"/>
      <c r="UAW20" s="16"/>
      <c r="UAX20" s="2185"/>
      <c r="UAY20" s="16"/>
      <c r="UAZ20" s="2185"/>
      <c r="UBA20" s="16"/>
      <c r="UBB20" s="2185"/>
      <c r="UBC20" s="16"/>
      <c r="UBD20" s="2185"/>
      <c r="UBE20" s="16"/>
      <c r="UBF20" s="2185"/>
      <c r="UBG20" s="16"/>
      <c r="UBH20" s="2185"/>
      <c r="UBI20" s="16"/>
      <c r="UBJ20" s="2185"/>
      <c r="UBK20" s="16"/>
      <c r="UBL20" s="2185"/>
      <c r="UBM20" s="16"/>
      <c r="UBN20" s="2185"/>
      <c r="UBO20" s="16"/>
      <c r="UBP20" s="2185"/>
      <c r="UBQ20" s="16"/>
      <c r="UBR20" s="2185"/>
      <c r="UBS20" s="16"/>
      <c r="UBT20" s="2185"/>
      <c r="UBU20" s="16"/>
      <c r="UBV20" s="2185"/>
      <c r="UBW20" s="16"/>
      <c r="UBX20" s="2185"/>
      <c r="UBY20" s="16"/>
      <c r="UBZ20" s="2185"/>
      <c r="UCA20" s="16"/>
      <c r="UCB20" s="2185"/>
      <c r="UCC20" s="16"/>
      <c r="UCD20" s="2185"/>
      <c r="UCE20" s="16"/>
      <c r="UCF20" s="2185"/>
      <c r="UCG20" s="16"/>
      <c r="UCH20" s="2185"/>
      <c r="UCI20" s="16"/>
      <c r="UCJ20" s="2185"/>
      <c r="UCK20" s="16"/>
      <c r="UCL20" s="2185"/>
      <c r="UCM20" s="16"/>
      <c r="UCN20" s="2185"/>
      <c r="UCO20" s="16"/>
      <c r="UCP20" s="2185"/>
      <c r="UCQ20" s="16"/>
      <c r="UCR20" s="2185"/>
      <c r="UCS20" s="16"/>
      <c r="UCT20" s="2185"/>
      <c r="UCU20" s="16"/>
      <c r="UCV20" s="2185"/>
      <c r="UCW20" s="16"/>
      <c r="UCX20" s="2185"/>
      <c r="UCY20" s="16"/>
      <c r="UCZ20" s="2185"/>
      <c r="UDA20" s="16"/>
      <c r="UDB20" s="2185"/>
      <c r="UDC20" s="16"/>
      <c r="UDD20" s="2185"/>
      <c r="UDE20" s="16"/>
      <c r="UDF20" s="2185"/>
      <c r="UDG20" s="16"/>
      <c r="UDH20" s="2185"/>
      <c r="UDI20" s="16"/>
      <c r="UDJ20" s="2185"/>
      <c r="UDK20" s="16"/>
      <c r="UDL20" s="2185"/>
      <c r="UDM20" s="16"/>
      <c r="UDN20" s="2185"/>
      <c r="UDO20" s="16"/>
      <c r="UDP20" s="2185"/>
      <c r="UDQ20" s="16"/>
      <c r="UDR20" s="2185"/>
      <c r="UDS20" s="16"/>
      <c r="UDT20" s="2185"/>
      <c r="UDU20" s="16"/>
      <c r="UDV20" s="2185"/>
      <c r="UDW20" s="16"/>
      <c r="UDX20" s="2185"/>
      <c r="UDY20" s="16"/>
      <c r="UDZ20" s="2185"/>
      <c r="UEA20" s="16"/>
      <c r="UEB20" s="2185"/>
      <c r="UEC20" s="16"/>
      <c r="UED20" s="2185"/>
      <c r="UEE20" s="16"/>
      <c r="UEF20" s="2185"/>
      <c r="UEG20" s="16"/>
      <c r="UEH20" s="2185"/>
      <c r="UEI20" s="16"/>
      <c r="UEJ20" s="2185"/>
      <c r="UEK20" s="16"/>
      <c r="UEL20" s="2185"/>
      <c r="UEM20" s="16"/>
      <c r="UEN20" s="2185"/>
      <c r="UEO20" s="16"/>
      <c r="UEP20" s="2185"/>
      <c r="UEQ20" s="16"/>
      <c r="UER20" s="2185"/>
      <c r="UES20" s="16"/>
      <c r="UET20" s="2185"/>
      <c r="UEU20" s="16"/>
      <c r="UEV20" s="2185"/>
      <c r="UEW20" s="16"/>
      <c r="UEX20" s="2185"/>
      <c r="UEY20" s="16"/>
      <c r="UEZ20" s="2185"/>
      <c r="UFA20" s="16"/>
      <c r="UFB20" s="2185"/>
      <c r="UFC20" s="16"/>
      <c r="UFD20" s="2185"/>
      <c r="UFE20" s="16"/>
      <c r="UFF20" s="2185"/>
      <c r="UFG20" s="16"/>
      <c r="UFH20" s="2185"/>
      <c r="UFI20" s="16"/>
      <c r="UFJ20" s="2185"/>
      <c r="UFK20" s="16"/>
      <c r="UFL20" s="2185"/>
      <c r="UFM20" s="16"/>
      <c r="UFN20" s="2185"/>
      <c r="UFO20" s="16"/>
      <c r="UFP20" s="2185"/>
      <c r="UFQ20" s="16"/>
      <c r="UFR20" s="2185"/>
      <c r="UFS20" s="16"/>
      <c r="UFT20" s="2185"/>
      <c r="UFU20" s="16"/>
      <c r="UFV20" s="2185"/>
      <c r="UFW20" s="16"/>
      <c r="UFX20" s="2185"/>
      <c r="UFY20" s="16"/>
      <c r="UFZ20" s="2185"/>
      <c r="UGA20" s="16"/>
      <c r="UGB20" s="2185"/>
      <c r="UGC20" s="16"/>
      <c r="UGD20" s="2185"/>
      <c r="UGE20" s="16"/>
      <c r="UGF20" s="2185"/>
      <c r="UGG20" s="16"/>
      <c r="UGH20" s="2185"/>
      <c r="UGI20" s="16"/>
      <c r="UGJ20" s="2185"/>
      <c r="UGK20" s="16"/>
      <c r="UGL20" s="2185"/>
      <c r="UGM20" s="16"/>
      <c r="UGN20" s="2185"/>
      <c r="UGO20" s="16"/>
      <c r="UGP20" s="2185"/>
      <c r="UGQ20" s="16"/>
      <c r="UGR20" s="2185"/>
      <c r="UGS20" s="16"/>
      <c r="UGT20" s="2185"/>
      <c r="UGU20" s="16"/>
      <c r="UGV20" s="2185"/>
      <c r="UGW20" s="16"/>
      <c r="UGX20" s="2185"/>
      <c r="UGY20" s="16"/>
      <c r="UGZ20" s="2185"/>
      <c r="UHA20" s="16"/>
      <c r="UHB20" s="2185"/>
      <c r="UHC20" s="16"/>
      <c r="UHD20" s="2185"/>
      <c r="UHE20" s="16"/>
      <c r="UHF20" s="2185"/>
      <c r="UHG20" s="16"/>
      <c r="UHH20" s="2185"/>
      <c r="UHI20" s="16"/>
      <c r="UHJ20" s="2185"/>
      <c r="UHK20" s="16"/>
      <c r="UHL20" s="2185"/>
      <c r="UHM20" s="16"/>
      <c r="UHN20" s="2185"/>
      <c r="UHO20" s="16"/>
      <c r="UHP20" s="2185"/>
      <c r="UHQ20" s="16"/>
      <c r="UHR20" s="2185"/>
      <c r="UHS20" s="16"/>
      <c r="UHT20" s="2185"/>
      <c r="UHU20" s="16"/>
      <c r="UHV20" s="2185"/>
      <c r="UHW20" s="16"/>
      <c r="UHX20" s="2185"/>
      <c r="UHY20" s="16"/>
      <c r="UHZ20" s="2185"/>
      <c r="UIA20" s="16"/>
      <c r="UIB20" s="2185"/>
      <c r="UIC20" s="16"/>
      <c r="UID20" s="2185"/>
      <c r="UIE20" s="16"/>
      <c r="UIF20" s="2185"/>
      <c r="UIG20" s="16"/>
      <c r="UIH20" s="2185"/>
      <c r="UII20" s="16"/>
      <c r="UIJ20" s="2185"/>
      <c r="UIK20" s="16"/>
      <c r="UIL20" s="2185"/>
      <c r="UIM20" s="16"/>
      <c r="UIN20" s="2185"/>
      <c r="UIO20" s="16"/>
      <c r="UIP20" s="2185"/>
      <c r="UIQ20" s="16"/>
      <c r="UIR20" s="2185"/>
      <c r="UIS20" s="16"/>
      <c r="UIT20" s="2185"/>
      <c r="UIU20" s="16"/>
      <c r="UIV20" s="2185"/>
      <c r="UIW20" s="16"/>
      <c r="UIX20" s="2185"/>
      <c r="UIY20" s="16"/>
      <c r="UIZ20" s="2185"/>
      <c r="UJA20" s="16"/>
      <c r="UJB20" s="2185"/>
      <c r="UJC20" s="16"/>
      <c r="UJD20" s="2185"/>
      <c r="UJE20" s="16"/>
      <c r="UJF20" s="2185"/>
      <c r="UJG20" s="16"/>
      <c r="UJH20" s="2185"/>
      <c r="UJI20" s="16"/>
      <c r="UJJ20" s="2185"/>
      <c r="UJK20" s="16"/>
      <c r="UJL20" s="2185"/>
      <c r="UJM20" s="16"/>
      <c r="UJN20" s="2185"/>
      <c r="UJO20" s="16"/>
      <c r="UJP20" s="2185"/>
      <c r="UJQ20" s="16"/>
      <c r="UJR20" s="2185"/>
      <c r="UJS20" s="16"/>
      <c r="UJT20" s="2185"/>
      <c r="UJU20" s="16"/>
      <c r="UJV20" s="2185"/>
      <c r="UJW20" s="16"/>
      <c r="UJX20" s="2185"/>
      <c r="UJY20" s="16"/>
      <c r="UJZ20" s="2185"/>
      <c r="UKA20" s="16"/>
      <c r="UKB20" s="2185"/>
      <c r="UKC20" s="16"/>
      <c r="UKD20" s="2185"/>
      <c r="UKE20" s="16"/>
      <c r="UKF20" s="2185"/>
      <c r="UKG20" s="16"/>
      <c r="UKH20" s="2185"/>
      <c r="UKI20" s="16"/>
      <c r="UKJ20" s="2185"/>
      <c r="UKK20" s="16"/>
      <c r="UKL20" s="2185"/>
      <c r="UKM20" s="16"/>
      <c r="UKN20" s="2185"/>
      <c r="UKO20" s="16"/>
      <c r="UKP20" s="2185"/>
      <c r="UKQ20" s="16"/>
      <c r="UKR20" s="2185"/>
      <c r="UKS20" s="16"/>
      <c r="UKT20" s="2185"/>
      <c r="UKU20" s="16"/>
      <c r="UKV20" s="2185"/>
      <c r="UKW20" s="16"/>
      <c r="UKX20" s="2185"/>
      <c r="UKY20" s="16"/>
      <c r="UKZ20" s="2185"/>
      <c r="ULA20" s="16"/>
      <c r="ULB20" s="2185"/>
      <c r="ULC20" s="16"/>
      <c r="ULD20" s="2185"/>
      <c r="ULE20" s="16"/>
      <c r="ULF20" s="2185"/>
      <c r="ULG20" s="16"/>
      <c r="ULH20" s="2185"/>
      <c r="ULI20" s="16"/>
      <c r="ULJ20" s="2185"/>
      <c r="ULK20" s="16"/>
      <c r="ULL20" s="2185"/>
      <c r="ULM20" s="16"/>
      <c r="ULN20" s="2185"/>
      <c r="ULO20" s="16"/>
      <c r="ULP20" s="2185"/>
      <c r="ULQ20" s="16"/>
      <c r="ULR20" s="2185"/>
      <c r="ULS20" s="16"/>
      <c r="ULT20" s="2185"/>
      <c r="ULU20" s="16"/>
      <c r="ULV20" s="2185"/>
      <c r="ULW20" s="16"/>
      <c r="ULX20" s="2185"/>
      <c r="ULY20" s="16"/>
      <c r="ULZ20" s="2185"/>
      <c r="UMA20" s="16"/>
      <c r="UMB20" s="2185"/>
      <c r="UMC20" s="16"/>
      <c r="UMD20" s="2185"/>
      <c r="UME20" s="16"/>
      <c r="UMF20" s="2185"/>
      <c r="UMG20" s="16"/>
      <c r="UMH20" s="2185"/>
      <c r="UMI20" s="16"/>
      <c r="UMJ20" s="2185"/>
      <c r="UMK20" s="16"/>
      <c r="UML20" s="2185"/>
      <c r="UMM20" s="16"/>
      <c r="UMN20" s="2185"/>
      <c r="UMO20" s="16"/>
      <c r="UMP20" s="2185"/>
      <c r="UMQ20" s="16"/>
      <c r="UMR20" s="2185"/>
      <c r="UMS20" s="16"/>
      <c r="UMT20" s="2185"/>
      <c r="UMU20" s="16"/>
      <c r="UMV20" s="2185"/>
      <c r="UMW20" s="16"/>
      <c r="UMX20" s="2185"/>
      <c r="UMY20" s="16"/>
      <c r="UMZ20" s="2185"/>
      <c r="UNA20" s="16"/>
      <c r="UNB20" s="2185"/>
      <c r="UNC20" s="16"/>
      <c r="UND20" s="2185"/>
      <c r="UNE20" s="16"/>
      <c r="UNF20" s="2185"/>
      <c r="UNG20" s="16"/>
      <c r="UNH20" s="2185"/>
      <c r="UNI20" s="16"/>
      <c r="UNJ20" s="2185"/>
      <c r="UNK20" s="16"/>
      <c r="UNL20" s="2185"/>
      <c r="UNM20" s="16"/>
      <c r="UNN20" s="2185"/>
      <c r="UNO20" s="16"/>
      <c r="UNP20" s="2185"/>
      <c r="UNQ20" s="16"/>
      <c r="UNR20" s="2185"/>
      <c r="UNS20" s="16"/>
      <c r="UNT20" s="2185"/>
      <c r="UNU20" s="16"/>
      <c r="UNV20" s="2185"/>
      <c r="UNW20" s="16"/>
      <c r="UNX20" s="2185"/>
      <c r="UNY20" s="16"/>
      <c r="UNZ20" s="2185"/>
      <c r="UOA20" s="16"/>
      <c r="UOB20" s="2185"/>
      <c r="UOC20" s="16"/>
      <c r="UOD20" s="2185"/>
      <c r="UOE20" s="16"/>
      <c r="UOF20" s="2185"/>
      <c r="UOG20" s="16"/>
      <c r="UOH20" s="2185"/>
      <c r="UOI20" s="16"/>
      <c r="UOJ20" s="2185"/>
      <c r="UOK20" s="16"/>
      <c r="UOL20" s="2185"/>
      <c r="UOM20" s="16"/>
      <c r="UON20" s="2185"/>
      <c r="UOO20" s="16"/>
      <c r="UOP20" s="2185"/>
      <c r="UOQ20" s="16"/>
      <c r="UOR20" s="2185"/>
      <c r="UOS20" s="16"/>
      <c r="UOT20" s="2185"/>
      <c r="UOU20" s="16"/>
      <c r="UOV20" s="2185"/>
      <c r="UOW20" s="16"/>
      <c r="UOX20" s="2185"/>
      <c r="UOY20" s="16"/>
      <c r="UOZ20" s="2185"/>
      <c r="UPA20" s="16"/>
      <c r="UPB20" s="2185"/>
      <c r="UPC20" s="16"/>
      <c r="UPD20" s="2185"/>
      <c r="UPE20" s="16"/>
      <c r="UPF20" s="2185"/>
      <c r="UPG20" s="16"/>
      <c r="UPH20" s="2185"/>
      <c r="UPI20" s="16"/>
      <c r="UPJ20" s="2185"/>
      <c r="UPK20" s="16"/>
      <c r="UPL20" s="2185"/>
      <c r="UPM20" s="16"/>
      <c r="UPN20" s="2185"/>
      <c r="UPO20" s="16"/>
      <c r="UPP20" s="2185"/>
      <c r="UPQ20" s="16"/>
      <c r="UPR20" s="2185"/>
      <c r="UPS20" s="16"/>
      <c r="UPT20" s="2185"/>
      <c r="UPU20" s="16"/>
      <c r="UPV20" s="2185"/>
      <c r="UPW20" s="16"/>
      <c r="UPX20" s="2185"/>
      <c r="UPY20" s="16"/>
      <c r="UPZ20" s="2185"/>
      <c r="UQA20" s="16"/>
      <c r="UQB20" s="2185"/>
      <c r="UQC20" s="16"/>
      <c r="UQD20" s="2185"/>
      <c r="UQE20" s="16"/>
      <c r="UQF20" s="2185"/>
      <c r="UQG20" s="16"/>
      <c r="UQH20" s="2185"/>
      <c r="UQI20" s="16"/>
      <c r="UQJ20" s="2185"/>
      <c r="UQK20" s="16"/>
      <c r="UQL20" s="2185"/>
      <c r="UQM20" s="16"/>
      <c r="UQN20" s="2185"/>
      <c r="UQO20" s="16"/>
      <c r="UQP20" s="2185"/>
      <c r="UQQ20" s="16"/>
      <c r="UQR20" s="2185"/>
      <c r="UQS20" s="16"/>
      <c r="UQT20" s="2185"/>
      <c r="UQU20" s="16"/>
      <c r="UQV20" s="2185"/>
      <c r="UQW20" s="16"/>
      <c r="UQX20" s="2185"/>
      <c r="UQY20" s="16"/>
      <c r="UQZ20" s="2185"/>
      <c r="URA20" s="16"/>
      <c r="URB20" s="2185"/>
      <c r="URC20" s="16"/>
      <c r="URD20" s="2185"/>
      <c r="URE20" s="16"/>
      <c r="URF20" s="2185"/>
      <c r="URG20" s="16"/>
      <c r="URH20" s="2185"/>
      <c r="URI20" s="16"/>
      <c r="URJ20" s="2185"/>
      <c r="URK20" s="16"/>
      <c r="URL20" s="2185"/>
      <c r="URM20" s="16"/>
      <c r="URN20" s="2185"/>
      <c r="URO20" s="16"/>
      <c r="URP20" s="2185"/>
      <c r="URQ20" s="16"/>
      <c r="URR20" s="2185"/>
      <c r="URS20" s="16"/>
      <c r="URT20" s="2185"/>
      <c r="URU20" s="16"/>
      <c r="URV20" s="2185"/>
      <c r="URW20" s="16"/>
      <c r="URX20" s="2185"/>
      <c r="URY20" s="16"/>
      <c r="URZ20" s="2185"/>
      <c r="USA20" s="16"/>
      <c r="USB20" s="2185"/>
      <c r="USC20" s="16"/>
      <c r="USD20" s="2185"/>
      <c r="USE20" s="16"/>
      <c r="USF20" s="2185"/>
      <c r="USG20" s="16"/>
      <c r="USH20" s="2185"/>
      <c r="USI20" s="16"/>
      <c r="USJ20" s="2185"/>
      <c r="USK20" s="16"/>
      <c r="USL20" s="2185"/>
      <c r="USM20" s="16"/>
      <c r="USN20" s="2185"/>
      <c r="USO20" s="16"/>
      <c r="USP20" s="2185"/>
      <c r="USQ20" s="16"/>
      <c r="USR20" s="2185"/>
      <c r="USS20" s="16"/>
      <c r="UST20" s="2185"/>
      <c r="USU20" s="16"/>
      <c r="USV20" s="2185"/>
      <c r="USW20" s="16"/>
      <c r="USX20" s="2185"/>
      <c r="USY20" s="16"/>
      <c r="USZ20" s="2185"/>
      <c r="UTA20" s="16"/>
      <c r="UTB20" s="2185"/>
      <c r="UTC20" s="16"/>
      <c r="UTD20" s="2185"/>
      <c r="UTE20" s="16"/>
      <c r="UTF20" s="2185"/>
      <c r="UTG20" s="16"/>
      <c r="UTH20" s="2185"/>
      <c r="UTI20" s="16"/>
      <c r="UTJ20" s="2185"/>
      <c r="UTK20" s="16"/>
      <c r="UTL20" s="2185"/>
      <c r="UTM20" s="16"/>
      <c r="UTN20" s="2185"/>
      <c r="UTO20" s="16"/>
      <c r="UTP20" s="2185"/>
      <c r="UTQ20" s="16"/>
      <c r="UTR20" s="2185"/>
      <c r="UTS20" s="16"/>
      <c r="UTT20" s="2185"/>
      <c r="UTU20" s="16"/>
      <c r="UTV20" s="2185"/>
      <c r="UTW20" s="16"/>
      <c r="UTX20" s="2185"/>
      <c r="UTY20" s="16"/>
      <c r="UTZ20" s="2185"/>
      <c r="UUA20" s="16"/>
      <c r="UUB20" s="2185"/>
      <c r="UUC20" s="16"/>
      <c r="UUD20" s="2185"/>
      <c r="UUE20" s="16"/>
      <c r="UUF20" s="2185"/>
      <c r="UUG20" s="16"/>
      <c r="UUH20" s="2185"/>
      <c r="UUI20" s="16"/>
      <c r="UUJ20" s="2185"/>
      <c r="UUK20" s="16"/>
      <c r="UUL20" s="2185"/>
      <c r="UUM20" s="16"/>
      <c r="UUN20" s="2185"/>
      <c r="UUO20" s="16"/>
      <c r="UUP20" s="2185"/>
      <c r="UUQ20" s="16"/>
      <c r="UUR20" s="2185"/>
      <c r="UUS20" s="16"/>
      <c r="UUT20" s="2185"/>
      <c r="UUU20" s="16"/>
      <c r="UUV20" s="2185"/>
      <c r="UUW20" s="16"/>
      <c r="UUX20" s="2185"/>
      <c r="UUY20" s="16"/>
      <c r="UUZ20" s="2185"/>
      <c r="UVA20" s="16"/>
      <c r="UVB20" s="2185"/>
      <c r="UVC20" s="16"/>
      <c r="UVD20" s="2185"/>
      <c r="UVE20" s="16"/>
      <c r="UVF20" s="2185"/>
      <c r="UVG20" s="16"/>
      <c r="UVH20" s="2185"/>
      <c r="UVI20" s="16"/>
      <c r="UVJ20" s="2185"/>
      <c r="UVK20" s="16"/>
      <c r="UVL20" s="2185"/>
      <c r="UVM20" s="16"/>
      <c r="UVN20" s="2185"/>
      <c r="UVO20" s="16"/>
      <c r="UVP20" s="2185"/>
      <c r="UVQ20" s="16"/>
      <c r="UVR20" s="2185"/>
      <c r="UVS20" s="16"/>
      <c r="UVT20" s="2185"/>
      <c r="UVU20" s="16"/>
      <c r="UVV20" s="2185"/>
      <c r="UVW20" s="16"/>
      <c r="UVX20" s="2185"/>
      <c r="UVY20" s="16"/>
      <c r="UVZ20" s="2185"/>
      <c r="UWA20" s="16"/>
      <c r="UWB20" s="2185"/>
      <c r="UWC20" s="16"/>
      <c r="UWD20" s="2185"/>
      <c r="UWE20" s="16"/>
      <c r="UWF20" s="2185"/>
      <c r="UWG20" s="16"/>
      <c r="UWH20" s="2185"/>
      <c r="UWI20" s="16"/>
      <c r="UWJ20" s="2185"/>
      <c r="UWK20" s="16"/>
      <c r="UWL20" s="2185"/>
      <c r="UWM20" s="16"/>
      <c r="UWN20" s="2185"/>
      <c r="UWO20" s="16"/>
      <c r="UWP20" s="2185"/>
      <c r="UWQ20" s="16"/>
      <c r="UWR20" s="2185"/>
      <c r="UWS20" s="16"/>
      <c r="UWT20" s="2185"/>
      <c r="UWU20" s="16"/>
      <c r="UWV20" s="2185"/>
      <c r="UWW20" s="16"/>
      <c r="UWX20" s="2185"/>
      <c r="UWY20" s="16"/>
      <c r="UWZ20" s="2185"/>
      <c r="UXA20" s="16"/>
      <c r="UXB20" s="2185"/>
      <c r="UXC20" s="16"/>
      <c r="UXD20" s="2185"/>
      <c r="UXE20" s="16"/>
      <c r="UXF20" s="2185"/>
      <c r="UXG20" s="16"/>
      <c r="UXH20" s="2185"/>
      <c r="UXI20" s="16"/>
      <c r="UXJ20" s="2185"/>
      <c r="UXK20" s="16"/>
      <c r="UXL20" s="2185"/>
      <c r="UXM20" s="16"/>
      <c r="UXN20" s="2185"/>
      <c r="UXO20" s="16"/>
      <c r="UXP20" s="2185"/>
      <c r="UXQ20" s="16"/>
      <c r="UXR20" s="2185"/>
      <c r="UXS20" s="16"/>
      <c r="UXT20" s="2185"/>
      <c r="UXU20" s="16"/>
      <c r="UXV20" s="2185"/>
      <c r="UXW20" s="16"/>
      <c r="UXX20" s="2185"/>
      <c r="UXY20" s="16"/>
      <c r="UXZ20" s="2185"/>
      <c r="UYA20" s="16"/>
      <c r="UYB20" s="2185"/>
      <c r="UYC20" s="16"/>
      <c r="UYD20" s="2185"/>
      <c r="UYE20" s="16"/>
      <c r="UYF20" s="2185"/>
      <c r="UYG20" s="16"/>
      <c r="UYH20" s="2185"/>
      <c r="UYI20" s="16"/>
      <c r="UYJ20" s="2185"/>
      <c r="UYK20" s="16"/>
      <c r="UYL20" s="2185"/>
      <c r="UYM20" s="16"/>
      <c r="UYN20" s="2185"/>
      <c r="UYO20" s="16"/>
      <c r="UYP20" s="2185"/>
      <c r="UYQ20" s="16"/>
      <c r="UYR20" s="2185"/>
      <c r="UYS20" s="16"/>
      <c r="UYT20" s="2185"/>
      <c r="UYU20" s="16"/>
      <c r="UYV20" s="2185"/>
      <c r="UYW20" s="16"/>
      <c r="UYX20" s="2185"/>
      <c r="UYY20" s="16"/>
      <c r="UYZ20" s="2185"/>
      <c r="UZA20" s="16"/>
      <c r="UZB20" s="2185"/>
      <c r="UZC20" s="16"/>
      <c r="UZD20" s="2185"/>
      <c r="UZE20" s="16"/>
      <c r="UZF20" s="2185"/>
      <c r="UZG20" s="16"/>
      <c r="UZH20" s="2185"/>
      <c r="UZI20" s="16"/>
      <c r="UZJ20" s="2185"/>
      <c r="UZK20" s="16"/>
      <c r="UZL20" s="2185"/>
      <c r="UZM20" s="16"/>
      <c r="UZN20" s="2185"/>
      <c r="UZO20" s="16"/>
      <c r="UZP20" s="2185"/>
      <c r="UZQ20" s="16"/>
      <c r="UZR20" s="2185"/>
      <c r="UZS20" s="16"/>
      <c r="UZT20" s="2185"/>
      <c r="UZU20" s="16"/>
      <c r="UZV20" s="2185"/>
      <c r="UZW20" s="16"/>
      <c r="UZX20" s="2185"/>
      <c r="UZY20" s="16"/>
      <c r="UZZ20" s="2185"/>
      <c r="VAA20" s="16"/>
      <c r="VAB20" s="2185"/>
      <c r="VAC20" s="16"/>
      <c r="VAD20" s="2185"/>
      <c r="VAE20" s="16"/>
      <c r="VAF20" s="2185"/>
      <c r="VAG20" s="16"/>
      <c r="VAH20" s="2185"/>
      <c r="VAI20" s="16"/>
      <c r="VAJ20" s="2185"/>
      <c r="VAK20" s="16"/>
      <c r="VAL20" s="2185"/>
      <c r="VAM20" s="16"/>
      <c r="VAN20" s="2185"/>
      <c r="VAO20" s="16"/>
      <c r="VAP20" s="2185"/>
      <c r="VAQ20" s="16"/>
      <c r="VAR20" s="2185"/>
      <c r="VAS20" s="16"/>
      <c r="VAT20" s="2185"/>
      <c r="VAU20" s="16"/>
      <c r="VAV20" s="2185"/>
      <c r="VAW20" s="16"/>
      <c r="VAX20" s="2185"/>
      <c r="VAY20" s="16"/>
      <c r="VAZ20" s="2185"/>
      <c r="VBA20" s="16"/>
      <c r="VBB20" s="2185"/>
      <c r="VBC20" s="16"/>
      <c r="VBD20" s="2185"/>
      <c r="VBE20" s="16"/>
      <c r="VBF20" s="2185"/>
      <c r="VBG20" s="16"/>
      <c r="VBH20" s="2185"/>
      <c r="VBI20" s="16"/>
      <c r="VBJ20" s="2185"/>
      <c r="VBK20" s="16"/>
      <c r="VBL20" s="2185"/>
      <c r="VBM20" s="16"/>
      <c r="VBN20" s="2185"/>
      <c r="VBO20" s="16"/>
      <c r="VBP20" s="2185"/>
      <c r="VBQ20" s="16"/>
      <c r="VBR20" s="2185"/>
      <c r="VBS20" s="16"/>
      <c r="VBT20" s="2185"/>
      <c r="VBU20" s="16"/>
      <c r="VBV20" s="2185"/>
      <c r="VBW20" s="16"/>
      <c r="VBX20" s="2185"/>
      <c r="VBY20" s="16"/>
      <c r="VBZ20" s="2185"/>
      <c r="VCA20" s="16"/>
      <c r="VCB20" s="2185"/>
      <c r="VCC20" s="16"/>
      <c r="VCD20" s="2185"/>
      <c r="VCE20" s="16"/>
      <c r="VCF20" s="2185"/>
      <c r="VCG20" s="16"/>
      <c r="VCH20" s="2185"/>
      <c r="VCI20" s="16"/>
      <c r="VCJ20" s="2185"/>
      <c r="VCK20" s="16"/>
      <c r="VCL20" s="2185"/>
      <c r="VCM20" s="16"/>
      <c r="VCN20" s="2185"/>
      <c r="VCO20" s="16"/>
      <c r="VCP20" s="2185"/>
      <c r="VCQ20" s="16"/>
      <c r="VCR20" s="2185"/>
      <c r="VCS20" s="16"/>
      <c r="VCT20" s="2185"/>
      <c r="VCU20" s="16"/>
      <c r="VCV20" s="2185"/>
      <c r="VCW20" s="16"/>
      <c r="VCX20" s="2185"/>
      <c r="VCY20" s="16"/>
      <c r="VCZ20" s="2185"/>
      <c r="VDA20" s="16"/>
      <c r="VDB20" s="2185"/>
      <c r="VDC20" s="16"/>
      <c r="VDD20" s="2185"/>
      <c r="VDE20" s="16"/>
      <c r="VDF20" s="2185"/>
      <c r="VDG20" s="16"/>
      <c r="VDH20" s="2185"/>
      <c r="VDI20" s="16"/>
      <c r="VDJ20" s="2185"/>
      <c r="VDK20" s="16"/>
      <c r="VDL20" s="2185"/>
      <c r="VDM20" s="16"/>
      <c r="VDN20" s="2185"/>
      <c r="VDO20" s="16"/>
      <c r="VDP20" s="2185"/>
      <c r="VDQ20" s="16"/>
      <c r="VDR20" s="2185"/>
      <c r="VDS20" s="16"/>
      <c r="VDT20" s="2185"/>
      <c r="VDU20" s="16"/>
      <c r="VDV20" s="2185"/>
      <c r="VDW20" s="16"/>
      <c r="VDX20" s="2185"/>
      <c r="VDY20" s="16"/>
      <c r="VDZ20" s="2185"/>
      <c r="VEA20" s="16"/>
      <c r="VEB20" s="2185"/>
      <c r="VEC20" s="16"/>
      <c r="VED20" s="2185"/>
      <c r="VEE20" s="16"/>
      <c r="VEF20" s="2185"/>
      <c r="VEG20" s="16"/>
      <c r="VEH20" s="2185"/>
      <c r="VEI20" s="16"/>
      <c r="VEJ20" s="2185"/>
      <c r="VEK20" s="16"/>
      <c r="VEL20" s="2185"/>
      <c r="VEM20" s="16"/>
      <c r="VEN20" s="2185"/>
      <c r="VEO20" s="16"/>
      <c r="VEP20" s="2185"/>
      <c r="VEQ20" s="16"/>
      <c r="VER20" s="2185"/>
      <c r="VES20" s="16"/>
      <c r="VET20" s="2185"/>
      <c r="VEU20" s="16"/>
      <c r="VEV20" s="2185"/>
      <c r="VEW20" s="16"/>
      <c r="VEX20" s="2185"/>
      <c r="VEY20" s="16"/>
      <c r="VEZ20" s="2185"/>
      <c r="VFA20" s="16"/>
      <c r="VFB20" s="2185"/>
      <c r="VFC20" s="16"/>
      <c r="VFD20" s="2185"/>
      <c r="VFE20" s="16"/>
      <c r="VFF20" s="2185"/>
      <c r="VFG20" s="16"/>
      <c r="VFH20" s="2185"/>
      <c r="VFI20" s="16"/>
      <c r="VFJ20" s="2185"/>
      <c r="VFK20" s="16"/>
      <c r="VFL20" s="2185"/>
      <c r="VFM20" s="16"/>
      <c r="VFN20" s="2185"/>
      <c r="VFO20" s="16"/>
      <c r="VFP20" s="2185"/>
      <c r="VFQ20" s="16"/>
      <c r="VFR20" s="2185"/>
      <c r="VFS20" s="16"/>
      <c r="VFT20" s="2185"/>
      <c r="VFU20" s="16"/>
      <c r="VFV20" s="2185"/>
      <c r="VFW20" s="16"/>
      <c r="VFX20" s="2185"/>
      <c r="VFY20" s="16"/>
      <c r="VFZ20" s="2185"/>
      <c r="VGA20" s="16"/>
      <c r="VGB20" s="2185"/>
      <c r="VGC20" s="16"/>
      <c r="VGD20" s="2185"/>
      <c r="VGE20" s="16"/>
      <c r="VGF20" s="2185"/>
      <c r="VGG20" s="16"/>
      <c r="VGH20" s="2185"/>
      <c r="VGI20" s="16"/>
      <c r="VGJ20" s="2185"/>
      <c r="VGK20" s="16"/>
      <c r="VGL20" s="2185"/>
      <c r="VGM20" s="16"/>
      <c r="VGN20" s="2185"/>
      <c r="VGO20" s="16"/>
      <c r="VGP20" s="2185"/>
      <c r="VGQ20" s="16"/>
      <c r="VGR20" s="2185"/>
      <c r="VGS20" s="16"/>
      <c r="VGT20" s="2185"/>
      <c r="VGU20" s="16"/>
      <c r="VGV20" s="2185"/>
      <c r="VGW20" s="16"/>
      <c r="VGX20" s="2185"/>
      <c r="VGY20" s="16"/>
      <c r="VGZ20" s="2185"/>
      <c r="VHA20" s="16"/>
      <c r="VHB20" s="2185"/>
      <c r="VHC20" s="16"/>
      <c r="VHD20" s="2185"/>
      <c r="VHE20" s="16"/>
      <c r="VHF20" s="2185"/>
      <c r="VHG20" s="16"/>
      <c r="VHH20" s="2185"/>
      <c r="VHI20" s="16"/>
      <c r="VHJ20" s="2185"/>
      <c r="VHK20" s="16"/>
      <c r="VHL20" s="2185"/>
      <c r="VHM20" s="16"/>
      <c r="VHN20" s="2185"/>
      <c r="VHO20" s="16"/>
      <c r="VHP20" s="2185"/>
      <c r="VHQ20" s="16"/>
      <c r="VHR20" s="2185"/>
      <c r="VHS20" s="16"/>
      <c r="VHT20" s="2185"/>
      <c r="VHU20" s="16"/>
      <c r="VHV20" s="2185"/>
      <c r="VHW20" s="16"/>
      <c r="VHX20" s="2185"/>
      <c r="VHY20" s="16"/>
      <c r="VHZ20" s="2185"/>
      <c r="VIA20" s="16"/>
      <c r="VIB20" s="2185"/>
      <c r="VIC20" s="16"/>
      <c r="VID20" s="2185"/>
      <c r="VIE20" s="16"/>
      <c r="VIF20" s="2185"/>
      <c r="VIG20" s="16"/>
      <c r="VIH20" s="2185"/>
      <c r="VII20" s="16"/>
      <c r="VIJ20" s="2185"/>
      <c r="VIK20" s="16"/>
      <c r="VIL20" s="2185"/>
      <c r="VIM20" s="16"/>
      <c r="VIN20" s="2185"/>
      <c r="VIO20" s="16"/>
      <c r="VIP20" s="2185"/>
      <c r="VIQ20" s="16"/>
      <c r="VIR20" s="2185"/>
      <c r="VIS20" s="16"/>
      <c r="VIT20" s="2185"/>
      <c r="VIU20" s="16"/>
      <c r="VIV20" s="2185"/>
      <c r="VIW20" s="16"/>
      <c r="VIX20" s="2185"/>
      <c r="VIY20" s="16"/>
      <c r="VIZ20" s="2185"/>
      <c r="VJA20" s="16"/>
      <c r="VJB20" s="2185"/>
      <c r="VJC20" s="16"/>
      <c r="VJD20" s="2185"/>
      <c r="VJE20" s="16"/>
      <c r="VJF20" s="2185"/>
      <c r="VJG20" s="16"/>
      <c r="VJH20" s="2185"/>
      <c r="VJI20" s="16"/>
      <c r="VJJ20" s="2185"/>
      <c r="VJK20" s="16"/>
      <c r="VJL20" s="2185"/>
      <c r="VJM20" s="16"/>
      <c r="VJN20" s="2185"/>
      <c r="VJO20" s="16"/>
      <c r="VJP20" s="2185"/>
      <c r="VJQ20" s="16"/>
      <c r="VJR20" s="2185"/>
      <c r="VJS20" s="16"/>
      <c r="VJT20" s="2185"/>
      <c r="VJU20" s="16"/>
      <c r="VJV20" s="2185"/>
      <c r="VJW20" s="16"/>
      <c r="VJX20" s="2185"/>
      <c r="VJY20" s="16"/>
      <c r="VJZ20" s="2185"/>
      <c r="VKA20" s="16"/>
      <c r="VKB20" s="2185"/>
      <c r="VKC20" s="16"/>
      <c r="VKD20" s="2185"/>
      <c r="VKE20" s="16"/>
      <c r="VKF20" s="2185"/>
      <c r="VKG20" s="16"/>
      <c r="VKH20" s="2185"/>
      <c r="VKI20" s="16"/>
      <c r="VKJ20" s="2185"/>
      <c r="VKK20" s="16"/>
      <c r="VKL20" s="2185"/>
      <c r="VKM20" s="16"/>
      <c r="VKN20" s="2185"/>
      <c r="VKO20" s="16"/>
      <c r="VKP20" s="2185"/>
      <c r="VKQ20" s="16"/>
      <c r="VKR20" s="2185"/>
      <c r="VKS20" s="16"/>
      <c r="VKT20" s="2185"/>
      <c r="VKU20" s="16"/>
      <c r="VKV20" s="2185"/>
      <c r="VKW20" s="16"/>
      <c r="VKX20" s="2185"/>
      <c r="VKY20" s="16"/>
      <c r="VKZ20" s="2185"/>
      <c r="VLA20" s="16"/>
      <c r="VLB20" s="2185"/>
      <c r="VLC20" s="16"/>
      <c r="VLD20" s="2185"/>
      <c r="VLE20" s="16"/>
      <c r="VLF20" s="2185"/>
      <c r="VLG20" s="16"/>
      <c r="VLH20" s="2185"/>
      <c r="VLI20" s="16"/>
      <c r="VLJ20" s="2185"/>
      <c r="VLK20" s="16"/>
      <c r="VLL20" s="2185"/>
      <c r="VLM20" s="16"/>
      <c r="VLN20" s="2185"/>
      <c r="VLO20" s="16"/>
      <c r="VLP20" s="2185"/>
      <c r="VLQ20" s="16"/>
      <c r="VLR20" s="2185"/>
      <c r="VLS20" s="16"/>
      <c r="VLT20" s="2185"/>
      <c r="VLU20" s="16"/>
      <c r="VLV20" s="2185"/>
      <c r="VLW20" s="16"/>
      <c r="VLX20" s="2185"/>
      <c r="VLY20" s="16"/>
      <c r="VLZ20" s="2185"/>
      <c r="VMA20" s="16"/>
      <c r="VMB20" s="2185"/>
      <c r="VMC20" s="16"/>
      <c r="VMD20" s="2185"/>
      <c r="VME20" s="16"/>
      <c r="VMF20" s="2185"/>
      <c r="VMG20" s="16"/>
      <c r="VMH20" s="2185"/>
      <c r="VMI20" s="16"/>
      <c r="VMJ20" s="2185"/>
      <c r="VMK20" s="16"/>
      <c r="VML20" s="2185"/>
      <c r="VMM20" s="16"/>
      <c r="VMN20" s="2185"/>
      <c r="VMO20" s="16"/>
      <c r="VMP20" s="2185"/>
      <c r="VMQ20" s="16"/>
      <c r="VMR20" s="2185"/>
      <c r="VMS20" s="16"/>
      <c r="VMT20" s="2185"/>
      <c r="VMU20" s="16"/>
      <c r="VMV20" s="2185"/>
      <c r="VMW20" s="16"/>
      <c r="VMX20" s="2185"/>
      <c r="VMY20" s="16"/>
      <c r="VMZ20" s="2185"/>
      <c r="VNA20" s="16"/>
      <c r="VNB20" s="2185"/>
      <c r="VNC20" s="16"/>
      <c r="VND20" s="2185"/>
      <c r="VNE20" s="16"/>
      <c r="VNF20" s="2185"/>
      <c r="VNG20" s="16"/>
      <c r="VNH20" s="2185"/>
      <c r="VNI20" s="16"/>
      <c r="VNJ20" s="2185"/>
      <c r="VNK20" s="16"/>
      <c r="VNL20" s="2185"/>
      <c r="VNM20" s="16"/>
      <c r="VNN20" s="2185"/>
      <c r="VNO20" s="16"/>
      <c r="VNP20" s="2185"/>
      <c r="VNQ20" s="16"/>
      <c r="VNR20" s="2185"/>
      <c r="VNS20" s="16"/>
      <c r="VNT20" s="2185"/>
      <c r="VNU20" s="16"/>
      <c r="VNV20" s="2185"/>
      <c r="VNW20" s="16"/>
      <c r="VNX20" s="2185"/>
      <c r="VNY20" s="16"/>
      <c r="VNZ20" s="2185"/>
      <c r="VOA20" s="16"/>
      <c r="VOB20" s="2185"/>
      <c r="VOC20" s="16"/>
      <c r="VOD20" s="2185"/>
      <c r="VOE20" s="16"/>
      <c r="VOF20" s="2185"/>
      <c r="VOG20" s="16"/>
      <c r="VOH20" s="2185"/>
      <c r="VOI20" s="16"/>
      <c r="VOJ20" s="2185"/>
      <c r="VOK20" s="16"/>
      <c r="VOL20" s="2185"/>
      <c r="VOM20" s="16"/>
      <c r="VON20" s="2185"/>
      <c r="VOO20" s="16"/>
      <c r="VOP20" s="2185"/>
      <c r="VOQ20" s="16"/>
      <c r="VOR20" s="2185"/>
      <c r="VOS20" s="16"/>
      <c r="VOT20" s="2185"/>
      <c r="VOU20" s="16"/>
      <c r="VOV20" s="2185"/>
      <c r="VOW20" s="16"/>
      <c r="VOX20" s="2185"/>
      <c r="VOY20" s="16"/>
      <c r="VOZ20" s="2185"/>
      <c r="VPA20" s="16"/>
      <c r="VPB20" s="2185"/>
      <c r="VPC20" s="16"/>
      <c r="VPD20" s="2185"/>
      <c r="VPE20" s="16"/>
      <c r="VPF20" s="2185"/>
      <c r="VPG20" s="16"/>
      <c r="VPH20" s="2185"/>
      <c r="VPI20" s="16"/>
      <c r="VPJ20" s="2185"/>
      <c r="VPK20" s="16"/>
      <c r="VPL20" s="2185"/>
      <c r="VPM20" s="16"/>
      <c r="VPN20" s="2185"/>
      <c r="VPO20" s="16"/>
      <c r="VPP20" s="2185"/>
      <c r="VPQ20" s="16"/>
      <c r="VPR20" s="2185"/>
      <c r="VPS20" s="16"/>
      <c r="VPT20" s="2185"/>
      <c r="VPU20" s="16"/>
      <c r="VPV20" s="2185"/>
      <c r="VPW20" s="16"/>
      <c r="VPX20" s="2185"/>
      <c r="VPY20" s="16"/>
      <c r="VPZ20" s="2185"/>
      <c r="VQA20" s="16"/>
      <c r="VQB20" s="2185"/>
      <c r="VQC20" s="16"/>
      <c r="VQD20" s="2185"/>
      <c r="VQE20" s="16"/>
      <c r="VQF20" s="2185"/>
      <c r="VQG20" s="16"/>
      <c r="VQH20" s="2185"/>
      <c r="VQI20" s="16"/>
      <c r="VQJ20" s="2185"/>
      <c r="VQK20" s="16"/>
      <c r="VQL20" s="2185"/>
      <c r="VQM20" s="16"/>
      <c r="VQN20" s="2185"/>
      <c r="VQO20" s="16"/>
      <c r="VQP20" s="2185"/>
      <c r="VQQ20" s="16"/>
      <c r="VQR20" s="2185"/>
      <c r="VQS20" s="16"/>
      <c r="VQT20" s="2185"/>
      <c r="VQU20" s="16"/>
      <c r="VQV20" s="2185"/>
      <c r="VQW20" s="16"/>
      <c r="VQX20" s="2185"/>
      <c r="VQY20" s="16"/>
      <c r="VQZ20" s="2185"/>
      <c r="VRA20" s="16"/>
      <c r="VRB20" s="2185"/>
      <c r="VRC20" s="16"/>
      <c r="VRD20" s="2185"/>
      <c r="VRE20" s="16"/>
      <c r="VRF20" s="2185"/>
      <c r="VRG20" s="16"/>
      <c r="VRH20" s="2185"/>
      <c r="VRI20" s="16"/>
      <c r="VRJ20" s="2185"/>
      <c r="VRK20" s="16"/>
      <c r="VRL20" s="2185"/>
      <c r="VRM20" s="16"/>
      <c r="VRN20" s="2185"/>
      <c r="VRO20" s="16"/>
      <c r="VRP20" s="2185"/>
      <c r="VRQ20" s="16"/>
      <c r="VRR20" s="2185"/>
      <c r="VRS20" s="16"/>
      <c r="VRT20" s="2185"/>
      <c r="VRU20" s="16"/>
      <c r="VRV20" s="2185"/>
      <c r="VRW20" s="16"/>
      <c r="VRX20" s="2185"/>
      <c r="VRY20" s="16"/>
      <c r="VRZ20" s="2185"/>
      <c r="VSA20" s="16"/>
      <c r="VSB20" s="2185"/>
      <c r="VSC20" s="16"/>
      <c r="VSD20" s="2185"/>
      <c r="VSE20" s="16"/>
      <c r="VSF20" s="2185"/>
      <c r="VSG20" s="16"/>
      <c r="VSH20" s="2185"/>
      <c r="VSI20" s="16"/>
      <c r="VSJ20" s="2185"/>
      <c r="VSK20" s="16"/>
      <c r="VSL20" s="2185"/>
      <c r="VSM20" s="16"/>
      <c r="VSN20" s="2185"/>
      <c r="VSO20" s="16"/>
      <c r="VSP20" s="2185"/>
      <c r="VSQ20" s="16"/>
      <c r="VSR20" s="2185"/>
      <c r="VSS20" s="16"/>
      <c r="VST20" s="2185"/>
      <c r="VSU20" s="16"/>
      <c r="VSV20" s="2185"/>
      <c r="VSW20" s="16"/>
      <c r="VSX20" s="2185"/>
      <c r="VSY20" s="16"/>
      <c r="VSZ20" s="2185"/>
      <c r="VTA20" s="16"/>
      <c r="VTB20" s="2185"/>
      <c r="VTC20" s="16"/>
      <c r="VTD20" s="2185"/>
      <c r="VTE20" s="16"/>
      <c r="VTF20" s="2185"/>
      <c r="VTG20" s="16"/>
      <c r="VTH20" s="2185"/>
      <c r="VTI20" s="16"/>
      <c r="VTJ20" s="2185"/>
      <c r="VTK20" s="16"/>
      <c r="VTL20" s="2185"/>
      <c r="VTM20" s="16"/>
      <c r="VTN20" s="2185"/>
      <c r="VTO20" s="16"/>
      <c r="VTP20" s="2185"/>
      <c r="VTQ20" s="16"/>
      <c r="VTR20" s="2185"/>
      <c r="VTS20" s="16"/>
      <c r="VTT20" s="2185"/>
      <c r="VTU20" s="16"/>
      <c r="VTV20" s="2185"/>
      <c r="VTW20" s="16"/>
      <c r="VTX20" s="2185"/>
      <c r="VTY20" s="16"/>
      <c r="VTZ20" s="2185"/>
      <c r="VUA20" s="16"/>
      <c r="VUB20" s="2185"/>
      <c r="VUC20" s="16"/>
      <c r="VUD20" s="2185"/>
      <c r="VUE20" s="16"/>
      <c r="VUF20" s="2185"/>
      <c r="VUG20" s="16"/>
      <c r="VUH20" s="2185"/>
      <c r="VUI20" s="16"/>
      <c r="VUJ20" s="2185"/>
      <c r="VUK20" s="16"/>
      <c r="VUL20" s="2185"/>
      <c r="VUM20" s="16"/>
      <c r="VUN20" s="2185"/>
      <c r="VUO20" s="16"/>
      <c r="VUP20" s="2185"/>
      <c r="VUQ20" s="16"/>
      <c r="VUR20" s="2185"/>
      <c r="VUS20" s="16"/>
      <c r="VUT20" s="2185"/>
      <c r="VUU20" s="16"/>
      <c r="VUV20" s="2185"/>
      <c r="VUW20" s="16"/>
      <c r="VUX20" s="2185"/>
      <c r="VUY20" s="16"/>
      <c r="VUZ20" s="2185"/>
      <c r="VVA20" s="16"/>
      <c r="VVB20" s="2185"/>
      <c r="VVC20" s="16"/>
      <c r="VVD20" s="2185"/>
      <c r="VVE20" s="16"/>
      <c r="VVF20" s="2185"/>
      <c r="VVG20" s="16"/>
      <c r="VVH20" s="2185"/>
      <c r="VVI20" s="16"/>
      <c r="VVJ20" s="2185"/>
      <c r="VVK20" s="16"/>
      <c r="VVL20" s="2185"/>
      <c r="VVM20" s="16"/>
      <c r="VVN20" s="2185"/>
      <c r="VVO20" s="16"/>
      <c r="VVP20" s="2185"/>
      <c r="VVQ20" s="16"/>
      <c r="VVR20" s="2185"/>
      <c r="VVS20" s="16"/>
      <c r="VVT20" s="2185"/>
      <c r="VVU20" s="16"/>
      <c r="VVV20" s="2185"/>
      <c r="VVW20" s="16"/>
      <c r="VVX20" s="2185"/>
      <c r="VVY20" s="16"/>
      <c r="VVZ20" s="2185"/>
      <c r="VWA20" s="16"/>
      <c r="VWB20" s="2185"/>
      <c r="VWC20" s="16"/>
      <c r="VWD20" s="2185"/>
      <c r="VWE20" s="16"/>
      <c r="VWF20" s="2185"/>
      <c r="VWG20" s="16"/>
      <c r="VWH20" s="2185"/>
      <c r="VWI20" s="16"/>
      <c r="VWJ20" s="2185"/>
      <c r="VWK20" s="16"/>
      <c r="VWL20" s="2185"/>
      <c r="VWM20" s="16"/>
      <c r="VWN20" s="2185"/>
      <c r="VWO20" s="16"/>
      <c r="VWP20" s="2185"/>
      <c r="VWQ20" s="16"/>
      <c r="VWR20" s="2185"/>
      <c r="VWS20" s="16"/>
      <c r="VWT20" s="2185"/>
      <c r="VWU20" s="16"/>
      <c r="VWV20" s="2185"/>
      <c r="VWW20" s="16"/>
      <c r="VWX20" s="2185"/>
      <c r="VWY20" s="16"/>
      <c r="VWZ20" s="2185"/>
      <c r="VXA20" s="16"/>
      <c r="VXB20" s="2185"/>
      <c r="VXC20" s="16"/>
      <c r="VXD20" s="2185"/>
      <c r="VXE20" s="16"/>
      <c r="VXF20" s="2185"/>
      <c r="VXG20" s="16"/>
      <c r="VXH20" s="2185"/>
      <c r="VXI20" s="16"/>
      <c r="VXJ20" s="2185"/>
      <c r="VXK20" s="16"/>
      <c r="VXL20" s="2185"/>
      <c r="VXM20" s="16"/>
      <c r="VXN20" s="2185"/>
      <c r="VXO20" s="16"/>
      <c r="VXP20" s="2185"/>
      <c r="VXQ20" s="16"/>
      <c r="VXR20" s="2185"/>
      <c r="VXS20" s="16"/>
      <c r="VXT20" s="2185"/>
      <c r="VXU20" s="16"/>
      <c r="VXV20" s="2185"/>
      <c r="VXW20" s="16"/>
      <c r="VXX20" s="2185"/>
      <c r="VXY20" s="16"/>
      <c r="VXZ20" s="2185"/>
      <c r="VYA20" s="16"/>
      <c r="VYB20" s="2185"/>
      <c r="VYC20" s="16"/>
      <c r="VYD20" s="2185"/>
      <c r="VYE20" s="16"/>
      <c r="VYF20" s="2185"/>
      <c r="VYG20" s="16"/>
      <c r="VYH20" s="2185"/>
      <c r="VYI20" s="16"/>
      <c r="VYJ20" s="2185"/>
      <c r="VYK20" s="16"/>
      <c r="VYL20" s="2185"/>
      <c r="VYM20" s="16"/>
      <c r="VYN20" s="2185"/>
      <c r="VYO20" s="16"/>
      <c r="VYP20" s="2185"/>
      <c r="VYQ20" s="16"/>
      <c r="VYR20" s="2185"/>
      <c r="VYS20" s="16"/>
      <c r="VYT20" s="2185"/>
      <c r="VYU20" s="16"/>
      <c r="VYV20" s="2185"/>
      <c r="VYW20" s="16"/>
      <c r="VYX20" s="2185"/>
      <c r="VYY20" s="16"/>
      <c r="VYZ20" s="2185"/>
      <c r="VZA20" s="16"/>
      <c r="VZB20" s="2185"/>
      <c r="VZC20" s="16"/>
      <c r="VZD20" s="2185"/>
      <c r="VZE20" s="16"/>
      <c r="VZF20" s="2185"/>
      <c r="VZG20" s="16"/>
      <c r="VZH20" s="2185"/>
      <c r="VZI20" s="16"/>
      <c r="VZJ20" s="2185"/>
      <c r="VZK20" s="16"/>
      <c r="VZL20" s="2185"/>
      <c r="VZM20" s="16"/>
      <c r="VZN20" s="2185"/>
      <c r="VZO20" s="16"/>
      <c r="VZP20" s="2185"/>
      <c r="VZQ20" s="16"/>
      <c r="VZR20" s="2185"/>
      <c r="VZS20" s="16"/>
      <c r="VZT20" s="2185"/>
      <c r="VZU20" s="16"/>
      <c r="VZV20" s="2185"/>
      <c r="VZW20" s="16"/>
      <c r="VZX20" s="2185"/>
      <c r="VZY20" s="16"/>
      <c r="VZZ20" s="2185"/>
      <c r="WAA20" s="16"/>
      <c r="WAB20" s="2185"/>
      <c r="WAC20" s="16"/>
      <c r="WAD20" s="2185"/>
      <c r="WAE20" s="16"/>
      <c r="WAF20" s="2185"/>
      <c r="WAG20" s="16"/>
      <c r="WAH20" s="2185"/>
      <c r="WAI20" s="16"/>
      <c r="WAJ20" s="2185"/>
      <c r="WAK20" s="16"/>
      <c r="WAL20" s="2185"/>
      <c r="WAM20" s="16"/>
      <c r="WAN20" s="2185"/>
      <c r="WAO20" s="16"/>
      <c r="WAP20" s="2185"/>
      <c r="WAQ20" s="16"/>
      <c r="WAR20" s="2185"/>
      <c r="WAS20" s="16"/>
      <c r="WAT20" s="2185"/>
      <c r="WAU20" s="16"/>
      <c r="WAV20" s="2185"/>
      <c r="WAW20" s="16"/>
      <c r="WAX20" s="2185"/>
      <c r="WAY20" s="16"/>
      <c r="WAZ20" s="2185"/>
      <c r="WBA20" s="16"/>
      <c r="WBB20" s="2185"/>
      <c r="WBC20" s="16"/>
      <c r="WBD20" s="2185"/>
      <c r="WBE20" s="16"/>
      <c r="WBF20" s="2185"/>
      <c r="WBG20" s="16"/>
      <c r="WBH20" s="2185"/>
      <c r="WBI20" s="16"/>
      <c r="WBJ20" s="2185"/>
      <c r="WBK20" s="16"/>
      <c r="WBL20" s="2185"/>
      <c r="WBM20" s="16"/>
      <c r="WBN20" s="2185"/>
      <c r="WBO20" s="16"/>
      <c r="WBP20" s="2185"/>
      <c r="WBQ20" s="16"/>
      <c r="WBR20" s="2185"/>
      <c r="WBS20" s="16"/>
      <c r="WBT20" s="2185"/>
      <c r="WBU20" s="16"/>
      <c r="WBV20" s="2185"/>
      <c r="WBW20" s="16"/>
      <c r="WBX20" s="2185"/>
      <c r="WBY20" s="16"/>
      <c r="WBZ20" s="2185"/>
      <c r="WCA20" s="16"/>
      <c r="WCB20" s="2185"/>
      <c r="WCC20" s="16"/>
      <c r="WCD20" s="2185"/>
      <c r="WCE20" s="16"/>
      <c r="WCF20" s="2185"/>
      <c r="WCG20" s="16"/>
      <c r="WCH20" s="2185"/>
      <c r="WCI20" s="16"/>
      <c r="WCJ20" s="2185"/>
      <c r="WCK20" s="16"/>
      <c r="WCL20" s="2185"/>
      <c r="WCM20" s="16"/>
      <c r="WCN20" s="2185"/>
      <c r="WCO20" s="16"/>
      <c r="WCP20" s="2185"/>
      <c r="WCQ20" s="16"/>
      <c r="WCR20" s="2185"/>
      <c r="WCS20" s="16"/>
      <c r="WCT20" s="2185"/>
      <c r="WCU20" s="16"/>
      <c r="WCV20" s="2185"/>
      <c r="WCW20" s="16"/>
      <c r="WCX20" s="2185"/>
      <c r="WCY20" s="16"/>
      <c r="WCZ20" s="2185"/>
      <c r="WDA20" s="16"/>
      <c r="WDB20" s="2185"/>
      <c r="WDC20" s="16"/>
      <c r="WDD20" s="2185"/>
      <c r="WDE20" s="16"/>
      <c r="WDF20" s="2185"/>
      <c r="WDG20" s="16"/>
      <c r="WDH20" s="2185"/>
      <c r="WDI20" s="16"/>
      <c r="WDJ20" s="2185"/>
      <c r="WDK20" s="16"/>
      <c r="WDL20" s="2185"/>
      <c r="WDM20" s="16"/>
      <c r="WDN20" s="2185"/>
      <c r="WDO20" s="16"/>
      <c r="WDP20" s="2185"/>
      <c r="WDQ20" s="16"/>
      <c r="WDR20" s="2185"/>
      <c r="WDS20" s="16"/>
      <c r="WDT20" s="2185"/>
      <c r="WDU20" s="16"/>
      <c r="WDV20" s="2185"/>
      <c r="WDW20" s="16"/>
      <c r="WDX20" s="2185"/>
      <c r="WDY20" s="16"/>
      <c r="WDZ20" s="2185"/>
      <c r="WEA20" s="16"/>
      <c r="WEB20" s="2185"/>
      <c r="WEC20" s="16"/>
      <c r="WED20" s="2185"/>
      <c r="WEE20" s="16"/>
      <c r="WEF20" s="2185"/>
      <c r="WEG20" s="16"/>
      <c r="WEH20" s="2185"/>
      <c r="WEI20" s="16"/>
      <c r="WEJ20" s="2185"/>
      <c r="WEK20" s="16"/>
      <c r="WEL20" s="2185"/>
      <c r="WEM20" s="16"/>
      <c r="WEN20" s="2185"/>
      <c r="WEO20" s="16"/>
      <c r="WEP20" s="2185"/>
      <c r="WEQ20" s="16"/>
      <c r="WER20" s="2185"/>
      <c r="WES20" s="16"/>
      <c r="WET20" s="2185"/>
      <c r="WEU20" s="16"/>
      <c r="WEV20" s="2185"/>
      <c r="WEW20" s="16"/>
      <c r="WEX20" s="2185"/>
      <c r="WEY20" s="16"/>
      <c r="WEZ20" s="2185"/>
      <c r="WFA20" s="16"/>
      <c r="WFB20" s="2185"/>
      <c r="WFC20" s="16"/>
      <c r="WFD20" s="2185"/>
      <c r="WFE20" s="16"/>
      <c r="WFF20" s="2185"/>
      <c r="WFG20" s="16"/>
      <c r="WFH20" s="2185"/>
      <c r="WFI20" s="16"/>
      <c r="WFJ20" s="2185"/>
      <c r="WFK20" s="16"/>
      <c r="WFL20" s="2185"/>
      <c r="WFM20" s="16"/>
      <c r="WFN20" s="2185"/>
      <c r="WFO20" s="16"/>
      <c r="WFP20" s="2185"/>
      <c r="WFQ20" s="16"/>
      <c r="WFR20" s="2185"/>
      <c r="WFS20" s="16"/>
      <c r="WFT20" s="2185"/>
      <c r="WFU20" s="16"/>
      <c r="WFV20" s="2185"/>
      <c r="WFW20" s="16"/>
      <c r="WFX20" s="2185"/>
      <c r="WFY20" s="16"/>
      <c r="WFZ20" s="2185"/>
      <c r="WGA20" s="16"/>
      <c r="WGB20" s="2185"/>
      <c r="WGC20" s="16"/>
      <c r="WGD20" s="2185"/>
      <c r="WGE20" s="16"/>
      <c r="WGF20" s="2185"/>
      <c r="WGG20" s="16"/>
      <c r="WGH20" s="2185"/>
      <c r="WGI20" s="16"/>
      <c r="WGJ20" s="2185"/>
      <c r="WGK20" s="16"/>
      <c r="WGL20" s="2185"/>
      <c r="WGM20" s="16"/>
      <c r="WGN20" s="2185"/>
      <c r="WGO20" s="16"/>
      <c r="WGP20" s="2185"/>
      <c r="WGQ20" s="16"/>
      <c r="WGR20" s="2185"/>
      <c r="WGS20" s="16"/>
      <c r="WGT20" s="2185"/>
      <c r="WGU20" s="16"/>
      <c r="WGV20" s="2185"/>
      <c r="WGW20" s="16"/>
      <c r="WGX20" s="2185"/>
      <c r="WGY20" s="16"/>
      <c r="WGZ20" s="2185"/>
      <c r="WHA20" s="16"/>
      <c r="WHB20" s="2185"/>
      <c r="WHC20" s="16"/>
      <c r="WHD20" s="2185"/>
      <c r="WHE20" s="16"/>
      <c r="WHF20" s="2185"/>
      <c r="WHG20" s="16"/>
      <c r="WHH20" s="2185"/>
      <c r="WHI20" s="16"/>
      <c r="WHJ20" s="2185"/>
      <c r="WHK20" s="16"/>
      <c r="WHL20" s="2185"/>
      <c r="WHM20" s="16"/>
      <c r="WHN20" s="2185"/>
      <c r="WHO20" s="16"/>
      <c r="WHP20" s="2185"/>
      <c r="WHQ20" s="16"/>
      <c r="WHR20" s="2185"/>
      <c r="WHS20" s="16"/>
      <c r="WHT20" s="2185"/>
      <c r="WHU20" s="16"/>
      <c r="WHV20" s="2185"/>
      <c r="WHW20" s="16"/>
      <c r="WHX20" s="2185"/>
      <c r="WHY20" s="16"/>
      <c r="WHZ20" s="2185"/>
      <c r="WIA20" s="16"/>
      <c r="WIB20" s="2185"/>
      <c r="WIC20" s="16"/>
      <c r="WID20" s="2185"/>
      <c r="WIE20" s="16"/>
      <c r="WIF20" s="2185"/>
      <c r="WIG20" s="16"/>
      <c r="WIH20" s="2185"/>
      <c r="WII20" s="16"/>
      <c r="WIJ20" s="2185"/>
      <c r="WIK20" s="16"/>
      <c r="WIL20" s="2185"/>
      <c r="WIM20" s="16"/>
      <c r="WIN20" s="2185"/>
      <c r="WIO20" s="16"/>
      <c r="WIP20" s="2185"/>
      <c r="WIQ20" s="16"/>
      <c r="WIR20" s="2185"/>
      <c r="WIS20" s="16"/>
      <c r="WIT20" s="2185"/>
      <c r="WIU20" s="16"/>
      <c r="WIV20" s="2185"/>
      <c r="WIW20" s="16"/>
      <c r="WIX20" s="2185"/>
      <c r="WIY20" s="16"/>
      <c r="WIZ20" s="2185"/>
      <c r="WJA20" s="16"/>
      <c r="WJB20" s="2185"/>
      <c r="WJC20" s="16"/>
      <c r="WJD20" s="2185"/>
      <c r="WJE20" s="16"/>
      <c r="WJF20" s="2185"/>
      <c r="WJG20" s="16"/>
      <c r="WJH20" s="2185"/>
      <c r="WJI20" s="16"/>
      <c r="WJJ20" s="2185"/>
      <c r="WJK20" s="16"/>
      <c r="WJL20" s="2185"/>
      <c r="WJM20" s="16"/>
      <c r="WJN20" s="2185"/>
      <c r="WJO20" s="16"/>
      <c r="WJP20" s="2185"/>
      <c r="WJQ20" s="16"/>
      <c r="WJR20" s="2185"/>
      <c r="WJS20" s="16"/>
      <c r="WJT20" s="2185"/>
      <c r="WJU20" s="16"/>
      <c r="WJV20" s="2185"/>
      <c r="WJW20" s="16"/>
      <c r="WJX20" s="2185"/>
      <c r="WJY20" s="16"/>
      <c r="WJZ20" s="2185"/>
      <c r="WKA20" s="16"/>
      <c r="WKB20" s="2185"/>
      <c r="WKC20" s="16"/>
      <c r="WKD20" s="2185"/>
      <c r="WKE20" s="16"/>
      <c r="WKF20" s="2185"/>
      <c r="WKG20" s="16"/>
      <c r="WKH20" s="2185"/>
      <c r="WKI20" s="16"/>
      <c r="WKJ20" s="2185"/>
      <c r="WKK20" s="16"/>
      <c r="WKL20" s="2185"/>
      <c r="WKM20" s="16"/>
      <c r="WKN20" s="2185"/>
      <c r="WKO20" s="16"/>
      <c r="WKP20" s="2185"/>
      <c r="WKQ20" s="16"/>
      <c r="WKR20" s="2185"/>
      <c r="WKS20" s="16"/>
      <c r="WKT20" s="2185"/>
      <c r="WKU20" s="16"/>
      <c r="WKV20" s="2185"/>
      <c r="WKW20" s="16"/>
      <c r="WKX20" s="2185"/>
      <c r="WKY20" s="16"/>
      <c r="WKZ20" s="2185"/>
      <c r="WLA20" s="16"/>
      <c r="WLB20" s="2185"/>
      <c r="WLC20" s="16"/>
      <c r="WLD20" s="2185"/>
      <c r="WLE20" s="16"/>
      <c r="WLF20" s="2185"/>
      <c r="WLG20" s="16"/>
      <c r="WLH20" s="2185"/>
      <c r="WLI20" s="16"/>
      <c r="WLJ20" s="2185"/>
      <c r="WLK20" s="16"/>
      <c r="WLL20" s="2185"/>
      <c r="WLM20" s="16"/>
      <c r="WLN20" s="2185"/>
      <c r="WLO20" s="16"/>
      <c r="WLP20" s="2185"/>
      <c r="WLQ20" s="16"/>
      <c r="WLR20" s="2185"/>
      <c r="WLS20" s="16"/>
      <c r="WLT20" s="2185"/>
      <c r="WLU20" s="16"/>
      <c r="WLV20" s="2185"/>
      <c r="WLW20" s="16"/>
      <c r="WLX20" s="2185"/>
      <c r="WLY20" s="16"/>
      <c r="WLZ20" s="2185"/>
      <c r="WMA20" s="16"/>
      <c r="WMB20" s="2185"/>
      <c r="WMC20" s="16"/>
      <c r="WMD20" s="2185"/>
      <c r="WME20" s="16"/>
      <c r="WMF20" s="2185"/>
      <c r="WMG20" s="16"/>
      <c r="WMH20" s="2185"/>
      <c r="WMI20" s="16"/>
      <c r="WMJ20" s="2185"/>
      <c r="WMK20" s="16"/>
      <c r="WML20" s="2185"/>
      <c r="WMM20" s="16"/>
      <c r="WMN20" s="2185"/>
      <c r="WMO20" s="16"/>
      <c r="WMP20" s="2185"/>
      <c r="WMQ20" s="16"/>
      <c r="WMR20" s="2185"/>
      <c r="WMS20" s="16"/>
      <c r="WMT20" s="2185"/>
      <c r="WMU20" s="16"/>
      <c r="WMV20" s="2185"/>
      <c r="WMW20" s="16"/>
      <c r="WMX20" s="2185"/>
      <c r="WMY20" s="16"/>
      <c r="WMZ20" s="2185"/>
      <c r="WNA20" s="16"/>
      <c r="WNB20" s="2185"/>
      <c r="WNC20" s="16"/>
      <c r="WND20" s="2185"/>
      <c r="WNE20" s="16"/>
      <c r="WNF20" s="2185"/>
      <c r="WNG20" s="16"/>
      <c r="WNH20" s="2185"/>
      <c r="WNI20" s="16"/>
      <c r="WNJ20" s="2185"/>
      <c r="WNK20" s="16"/>
      <c r="WNL20" s="2185"/>
      <c r="WNM20" s="16"/>
      <c r="WNN20" s="2185"/>
      <c r="WNO20" s="16"/>
      <c r="WNP20" s="2185"/>
      <c r="WNQ20" s="16"/>
      <c r="WNR20" s="2185"/>
      <c r="WNS20" s="16"/>
      <c r="WNT20" s="2185"/>
      <c r="WNU20" s="16"/>
      <c r="WNV20" s="2185"/>
      <c r="WNW20" s="16"/>
      <c r="WNX20" s="2185"/>
      <c r="WNY20" s="16"/>
      <c r="WNZ20" s="2185"/>
      <c r="WOA20" s="16"/>
      <c r="WOB20" s="2185"/>
      <c r="WOC20" s="16"/>
      <c r="WOD20" s="2185"/>
      <c r="WOE20" s="16"/>
      <c r="WOF20" s="2185"/>
      <c r="WOG20" s="16"/>
      <c r="WOH20" s="2185"/>
      <c r="WOI20" s="16"/>
      <c r="WOJ20" s="2185"/>
      <c r="WOK20" s="16"/>
      <c r="WOL20" s="2185"/>
      <c r="WOM20" s="16"/>
      <c r="WON20" s="2185"/>
      <c r="WOO20" s="16"/>
      <c r="WOP20" s="2185"/>
      <c r="WOQ20" s="16"/>
      <c r="WOR20" s="2185"/>
      <c r="WOS20" s="16"/>
      <c r="WOT20" s="2185"/>
      <c r="WOU20" s="16"/>
      <c r="WOV20" s="2185"/>
      <c r="WOW20" s="16"/>
      <c r="WOX20" s="2185"/>
      <c r="WOY20" s="16"/>
      <c r="WOZ20" s="2185"/>
      <c r="WPA20" s="16"/>
      <c r="WPB20" s="2185"/>
      <c r="WPC20" s="16"/>
      <c r="WPD20" s="2185"/>
      <c r="WPE20" s="16"/>
      <c r="WPF20" s="2185"/>
      <c r="WPG20" s="16"/>
      <c r="WPH20" s="2185"/>
      <c r="WPI20" s="16"/>
      <c r="WPJ20" s="2185"/>
      <c r="WPK20" s="16"/>
      <c r="WPL20" s="2185"/>
      <c r="WPM20" s="16"/>
      <c r="WPN20" s="2185"/>
      <c r="WPO20" s="16"/>
      <c r="WPP20" s="2185"/>
      <c r="WPQ20" s="16"/>
      <c r="WPR20" s="2185"/>
      <c r="WPS20" s="16"/>
      <c r="WPT20" s="2185"/>
      <c r="WPU20" s="16"/>
      <c r="WPV20" s="2185"/>
      <c r="WPW20" s="16"/>
      <c r="WPX20" s="2185"/>
      <c r="WPY20" s="16"/>
      <c r="WPZ20" s="2185"/>
      <c r="WQA20" s="16"/>
      <c r="WQB20" s="2185"/>
      <c r="WQC20" s="16"/>
      <c r="WQD20" s="2185"/>
      <c r="WQE20" s="16"/>
      <c r="WQF20" s="2185"/>
      <c r="WQG20" s="16"/>
      <c r="WQH20" s="2185"/>
      <c r="WQI20" s="16"/>
      <c r="WQJ20" s="2185"/>
      <c r="WQK20" s="16"/>
      <c r="WQL20" s="2185"/>
      <c r="WQM20" s="16"/>
      <c r="WQN20" s="2185"/>
      <c r="WQO20" s="16"/>
      <c r="WQP20" s="2185"/>
      <c r="WQQ20" s="16"/>
      <c r="WQR20" s="2185"/>
      <c r="WQS20" s="16"/>
      <c r="WQT20" s="2185"/>
      <c r="WQU20" s="16"/>
      <c r="WQV20" s="2185"/>
      <c r="WQW20" s="16"/>
      <c r="WQX20" s="2185"/>
      <c r="WQY20" s="16"/>
      <c r="WQZ20" s="2185"/>
      <c r="WRA20" s="16"/>
      <c r="WRB20" s="2185"/>
      <c r="WRC20" s="16"/>
      <c r="WRD20" s="2185"/>
      <c r="WRE20" s="16"/>
      <c r="WRF20" s="2185"/>
      <c r="WRG20" s="16"/>
      <c r="WRH20" s="2185"/>
      <c r="WRI20" s="16"/>
      <c r="WRJ20" s="2185"/>
      <c r="WRK20" s="16"/>
      <c r="WRL20" s="2185"/>
      <c r="WRM20" s="16"/>
      <c r="WRN20" s="2185"/>
      <c r="WRO20" s="16"/>
      <c r="WRP20" s="2185"/>
      <c r="WRQ20" s="16"/>
      <c r="WRR20" s="2185"/>
      <c r="WRS20" s="16"/>
      <c r="WRT20" s="2185"/>
      <c r="WRU20" s="16"/>
      <c r="WRV20" s="2185"/>
      <c r="WRW20" s="16"/>
      <c r="WRX20" s="2185"/>
      <c r="WRY20" s="16"/>
      <c r="WRZ20" s="2185"/>
      <c r="WSA20" s="16"/>
      <c r="WSB20" s="2185"/>
      <c r="WSC20" s="16"/>
      <c r="WSD20" s="2185"/>
      <c r="WSE20" s="16"/>
      <c r="WSF20" s="2185"/>
      <c r="WSG20" s="16"/>
      <c r="WSH20" s="2185"/>
      <c r="WSI20" s="16"/>
      <c r="WSJ20" s="2185"/>
      <c r="WSK20" s="16"/>
      <c r="WSL20" s="2185"/>
      <c r="WSM20" s="16"/>
      <c r="WSN20" s="2185"/>
      <c r="WSO20" s="16"/>
      <c r="WSP20" s="2185"/>
      <c r="WSQ20" s="16"/>
      <c r="WSR20" s="2185"/>
      <c r="WSS20" s="16"/>
      <c r="WST20" s="2185"/>
      <c r="WSU20" s="16"/>
      <c r="WSV20" s="2185"/>
      <c r="WSW20" s="16"/>
      <c r="WSX20" s="2185"/>
      <c r="WSY20" s="16"/>
      <c r="WSZ20" s="2185"/>
      <c r="WTA20" s="16"/>
      <c r="WTB20" s="2185"/>
      <c r="WTC20" s="16"/>
      <c r="WTD20" s="2185"/>
      <c r="WTE20" s="16"/>
      <c r="WTF20" s="2185"/>
      <c r="WTG20" s="16"/>
      <c r="WTH20" s="2185"/>
      <c r="WTI20" s="16"/>
      <c r="WTJ20" s="2185"/>
      <c r="WTK20" s="16"/>
      <c r="WTL20" s="2185"/>
      <c r="WTM20" s="16"/>
      <c r="WTN20" s="2185"/>
      <c r="WTO20" s="16"/>
      <c r="WTP20" s="2185"/>
      <c r="WTQ20" s="16"/>
      <c r="WTR20" s="2185"/>
      <c r="WTS20" s="16"/>
      <c r="WTT20" s="2185"/>
      <c r="WTU20" s="16"/>
      <c r="WTV20" s="2185"/>
      <c r="WTW20" s="16"/>
      <c r="WTX20" s="2185"/>
      <c r="WTY20" s="16"/>
      <c r="WTZ20" s="2185"/>
      <c r="WUA20" s="16"/>
      <c r="WUB20" s="2185"/>
      <c r="WUC20" s="16"/>
      <c r="WUD20" s="2185"/>
      <c r="WUE20" s="16"/>
      <c r="WUF20" s="2185"/>
      <c r="WUG20" s="16"/>
      <c r="WUH20" s="2185"/>
      <c r="WUI20" s="16"/>
      <c r="WUJ20" s="2185"/>
      <c r="WUK20" s="16"/>
      <c r="WUL20" s="2185"/>
      <c r="WUM20" s="16"/>
      <c r="WUN20" s="2185"/>
      <c r="WUO20" s="16"/>
      <c r="WUP20" s="2185"/>
      <c r="WUQ20" s="16"/>
      <c r="WUR20" s="2185"/>
      <c r="WUS20" s="16"/>
      <c r="WUT20" s="2185"/>
      <c r="WUU20" s="16"/>
      <c r="WUV20" s="2185"/>
      <c r="WUW20" s="16"/>
      <c r="WUX20" s="2185"/>
      <c r="WUY20" s="16"/>
      <c r="WUZ20" s="2185"/>
      <c r="WVA20" s="16"/>
      <c r="WVB20" s="2185"/>
      <c r="WVC20" s="16"/>
      <c r="WVD20" s="2185"/>
      <c r="WVE20" s="16"/>
      <c r="WVF20" s="2185"/>
      <c r="WVG20" s="16"/>
      <c r="WVH20" s="2185"/>
      <c r="WVI20" s="16"/>
      <c r="WVJ20" s="2185"/>
      <c r="WVK20" s="16"/>
      <c r="WVL20" s="2185"/>
      <c r="WVM20" s="16"/>
      <c r="WVN20" s="2185"/>
      <c r="WVO20" s="16"/>
      <c r="WVP20" s="2185"/>
      <c r="WVQ20" s="16"/>
      <c r="WVR20" s="2185"/>
      <c r="WVS20" s="16"/>
      <c r="WVT20" s="2185"/>
      <c r="WVU20" s="16"/>
      <c r="WVV20" s="2185"/>
      <c r="WVW20" s="16"/>
      <c r="WVX20" s="2185"/>
      <c r="WVY20" s="16"/>
      <c r="WVZ20" s="2185"/>
      <c r="WWA20" s="16"/>
      <c r="WWB20" s="2185"/>
      <c r="WWC20" s="16"/>
      <c r="WWD20" s="2185"/>
      <c r="WWE20" s="16"/>
      <c r="WWF20" s="2185"/>
      <c r="WWG20" s="16"/>
      <c r="WWH20" s="2185"/>
      <c r="WWI20" s="16"/>
      <c r="WWJ20" s="2185"/>
      <c r="WWK20" s="16"/>
      <c r="WWL20" s="2185"/>
      <c r="WWM20" s="16"/>
      <c r="WWN20" s="2185"/>
      <c r="WWO20" s="16"/>
      <c r="WWP20" s="2185"/>
      <c r="WWQ20" s="16"/>
      <c r="WWR20" s="2185"/>
      <c r="WWS20" s="16"/>
      <c r="WWT20" s="2185"/>
      <c r="WWU20" s="16"/>
      <c r="WWV20" s="2185"/>
      <c r="WWW20" s="16"/>
      <c r="WWX20" s="2185"/>
      <c r="WWY20" s="16"/>
      <c r="WWZ20" s="2185"/>
      <c r="WXA20" s="16"/>
      <c r="WXB20" s="2185"/>
      <c r="WXC20" s="16"/>
      <c r="WXD20" s="2185"/>
      <c r="WXE20" s="16"/>
      <c r="WXF20" s="2185"/>
      <c r="WXG20" s="16"/>
      <c r="WXH20" s="2185"/>
      <c r="WXI20" s="16"/>
      <c r="WXJ20" s="2185"/>
      <c r="WXK20" s="16"/>
      <c r="WXL20" s="2185"/>
      <c r="WXM20" s="16"/>
      <c r="WXN20" s="2185"/>
      <c r="WXO20" s="16"/>
      <c r="WXP20" s="2185"/>
      <c r="WXQ20" s="16"/>
      <c r="WXR20" s="2185"/>
      <c r="WXS20" s="16"/>
      <c r="WXT20" s="2185"/>
      <c r="WXU20" s="16"/>
      <c r="WXV20" s="2185"/>
      <c r="WXW20" s="16"/>
      <c r="WXX20" s="2185"/>
      <c r="WXY20" s="16"/>
      <c r="WXZ20" s="2185"/>
      <c r="WYA20" s="16"/>
      <c r="WYB20" s="2185"/>
      <c r="WYC20" s="16"/>
      <c r="WYD20" s="2185"/>
      <c r="WYE20" s="16"/>
      <c r="WYF20" s="2185"/>
      <c r="WYG20" s="16"/>
      <c r="WYH20" s="2185"/>
      <c r="WYI20" s="16"/>
      <c r="WYJ20" s="2185"/>
      <c r="WYK20" s="16"/>
      <c r="WYL20" s="2185"/>
      <c r="WYM20" s="16"/>
      <c r="WYN20" s="2185"/>
      <c r="WYO20" s="16"/>
      <c r="WYP20" s="2185"/>
      <c r="WYQ20" s="16"/>
      <c r="WYR20" s="2185"/>
      <c r="WYS20" s="16"/>
      <c r="WYT20" s="2185"/>
      <c r="WYU20" s="16"/>
      <c r="WYV20" s="2185"/>
      <c r="WYW20" s="16"/>
      <c r="WYX20" s="2185"/>
      <c r="WYY20" s="16"/>
      <c r="WYZ20" s="2185"/>
      <c r="WZA20" s="16"/>
      <c r="WZB20" s="2185"/>
      <c r="WZC20" s="16"/>
      <c r="WZD20" s="2185"/>
      <c r="WZE20" s="16"/>
      <c r="WZF20" s="2185"/>
      <c r="WZG20" s="16"/>
      <c r="WZH20" s="2185"/>
      <c r="WZI20" s="16"/>
      <c r="WZJ20" s="2185"/>
      <c r="WZK20" s="16"/>
      <c r="WZL20" s="2185"/>
      <c r="WZM20" s="16"/>
      <c r="WZN20" s="2185"/>
      <c r="WZO20" s="16"/>
      <c r="WZP20" s="2185"/>
      <c r="WZQ20" s="16"/>
      <c r="WZR20" s="2185"/>
      <c r="WZS20" s="16"/>
      <c r="WZT20" s="2185"/>
      <c r="WZU20" s="16"/>
      <c r="WZV20" s="2185"/>
      <c r="WZW20" s="16"/>
      <c r="WZX20" s="2185"/>
      <c r="WZY20" s="16"/>
      <c r="WZZ20" s="2185"/>
      <c r="XAA20" s="16"/>
      <c r="XAB20" s="2185"/>
      <c r="XAC20" s="16"/>
      <c r="XAD20" s="2185"/>
      <c r="XAE20" s="16"/>
      <c r="XAF20" s="2185"/>
      <c r="XAG20" s="16"/>
      <c r="XAH20" s="2185"/>
      <c r="XAI20" s="16"/>
      <c r="XAJ20" s="2185"/>
      <c r="XAK20" s="16"/>
      <c r="XAL20" s="2185"/>
      <c r="XAM20" s="16"/>
      <c r="XAN20" s="2185"/>
      <c r="XAO20" s="16"/>
      <c r="XAP20" s="2185"/>
      <c r="XAQ20" s="16"/>
      <c r="XAR20" s="2185"/>
      <c r="XAS20" s="16"/>
      <c r="XAT20" s="2185"/>
      <c r="XAU20" s="16"/>
      <c r="XAV20" s="2185"/>
      <c r="XAW20" s="16"/>
      <c r="XAX20" s="2185"/>
      <c r="XAY20" s="16"/>
      <c r="XAZ20" s="2185"/>
      <c r="XBA20" s="16"/>
      <c r="XBB20" s="2185"/>
      <c r="XBC20" s="16"/>
      <c r="XBD20" s="2185"/>
      <c r="XBE20" s="16"/>
      <c r="XBF20" s="2185"/>
      <c r="XBG20" s="16"/>
      <c r="XBH20" s="2185"/>
      <c r="XBI20" s="16"/>
      <c r="XBJ20" s="2185"/>
      <c r="XBK20" s="16"/>
      <c r="XBL20" s="2185"/>
      <c r="XBM20" s="16"/>
      <c r="XBN20" s="2185"/>
      <c r="XBO20" s="16"/>
      <c r="XBP20" s="2185"/>
      <c r="XBQ20" s="16"/>
      <c r="XBR20" s="2185"/>
      <c r="XBS20" s="16"/>
      <c r="XBT20" s="2185"/>
      <c r="XBU20" s="16"/>
      <c r="XBV20" s="2185"/>
      <c r="XBW20" s="16"/>
      <c r="XBX20" s="2185"/>
      <c r="XBY20" s="16"/>
      <c r="XBZ20" s="2185"/>
      <c r="XCA20" s="16"/>
      <c r="XCB20" s="2185"/>
      <c r="XCC20" s="16"/>
      <c r="XCD20" s="2185"/>
      <c r="XCE20" s="16"/>
      <c r="XCF20" s="2185"/>
      <c r="XCG20" s="16"/>
      <c r="XCH20" s="2185"/>
      <c r="XCI20" s="16"/>
      <c r="XCJ20" s="2185"/>
      <c r="XCK20" s="16"/>
      <c r="XCL20" s="2185"/>
      <c r="XCM20" s="16"/>
      <c r="XCN20" s="2185"/>
      <c r="XCO20" s="16"/>
      <c r="XCP20" s="2185"/>
      <c r="XCQ20" s="16"/>
      <c r="XCR20" s="2185"/>
      <c r="XCS20" s="16"/>
      <c r="XCT20" s="2185"/>
      <c r="XCU20" s="16"/>
      <c r="XCV20" s="2185"/>
      <c r="XCW20" s="16"/>
      <c r="XCX20" s="2185"/>
      <c r="XCY20" s="16"/>
      <c r="XCZ20" s="2185"/>
      <c r="XDA20" s="16"/>
      <c r="XDB20" s="2185"/>
      <c r="XDC20" s="16"/>
      <c r="XDD20" s="2185"/>
      <c r="XDE20" s="16"/>
      <c r="XDF20" s="2185"/>
      <c r="XDG20" s="16"/>
      <c r="XDH20" s="2185"/>
      <c r="XDI20" s="16"/>
      <c r="XDJ20" s="2185"/>
      <c r="XDK20" s="16"/>
      <c r="XDL20" s="2185"/>
      <c r="XDM20" s="16"/>
      <c r="XDN20" s="2185"/>
      <c r="XDO20" s="16"/>
      <c r="XDP20" s="2185"/>
      <c r="XDQ20" s="16"/>
      <c r="XDR20" s="2185"/>
      <c r="XDS20" s="16"/>
      <c r="XDT20" s="2185"/>
      <c r="XDU20" s="16"/>
      <c r="XDV20" s="2185"/>
      <c r="XDW20" s="16"/>
      <c r="XDX20" s="2185"/>
      <c r="XDY20" s="16"/>
      <c r="XDZ20" s="2185"/>
      <c r="XEA20" s="16"/>
      <c r="XEB20" s="2185"/>
      <c r="XEC20" s="16"/>
      <c r="XED20" s="2185"/>
      <c r="XEE20" s="16"/>
      <c r="XEF20" s="2185"/>
      <c r="XEG20" s="16"/>
      <c r="XEH20" s="2185"/>
      <c r="XEI20" s="16"/>
      <c r="XEJ20" s="2185"/>
      <c r="XEK20" s="16"/>
      <c r="XEL20" s="2185"/>
      <c r="XEM20" s="16"/>
      <c r="XEN20" s="2185"/>
      <c r="XEO20" s="16"/>
      <c r="XEP20" s="2185"/>
      <c r="XEQ20" s="16"/>
      <c r="XER20" s="2185"/>
      <c r="XES20" s="16"/>
      <c r="XET20" s="2185"/>
      <c r="XEU20" s="16"/>
      <c r="XEV20" s="2185"/>
      <c r="XEW20" s="16"/>
      <c r="XEX20" s="2185"/>
      <c r="XEY20" s="16"/>
      <c r="XEZ20" s="2185"/>
      <c r="XFA20" s="16"/>
      <c r="XFB20" s="2185"/>
      <c r="XFC20" s="16"/>
      <c r="XFD20" s="2185"/>
    </row>
    <row r="21" spans="1:16384" s="17" customFormat="1" ht="29.25" customHeight="1">
      <c r="A21" s="2183" t="s">
        <v>23</v>
      </c>
      <c r="B21" s="2140"/>
      <c r="C21" s="140" t="s">
        <v>69</v>
      </c>
      <c r="D21" s="137" t="s">
        <v>267</v>
      </c>
      <c r="E21" s="138"/>
      <c r="F21" s="1828"/>
      <c r="G21" s="2140"/>
      <c r="H21" s="2137"/>
      <c r="I21" s="326"/>
      <c r="J21" s="624"/>
      <c r="K21" s="624"/>
      <c r="L21" s="624"/>
      <c r="M21" s="624"/>
      <c r="N21" s="326"/>
      <c r="O21" s="624"/>
      <c r="P21" s="624"/>
      <c r="Q21" s="624"/>
      <c r="R21" s="624"/>
      <c r="S21" s="326"/>
      <c r="T21" s="624"/>
      <c r="U21" s="624"/>
      <c r="V21" s="624"/>
      <c r="W21" s="625"/>
      <c r="X21" s="2185"/>
      <c r="Y21" s="16"/>
      <c r="Z21" s="2185"/>
      <c r="AA21" s="16"/>
      <c r="AB21" s="2185"/>
      <c r="AC21" s="16"/>
      <c r="AD21" s="2185"/>
      <c r="AE21" s="16"/>
      <c r="AF21" s="2185"/>
      <c r="AG21" s="16"/>
      <c r="AH21" s="2185"/>
      <c r="AI21" s="16"/>
      <c r="AJ21" s="2185"/>
      <c r="AK21" s="16"/>
      <c r="AL21" s="2185"/>
      <c r="AM21" s="16"/>
      <c r="AN21" s="2185"/>
      <c r="AO21" s="16"/>
      <c r="AP21" s="2185"/>
      <c r="AQ21" s="16"/>
      <c r="AR21" s="2185"/>
      <c r="AS21" s="16"/>
      <c r="AT21" s="2185"/>
      <c r="AU21" s="16"/>
      <c r="AV21" s="2185"/>
      <c r="AW21" s="16"/>
      <c r="AX21" s="2185"/>
      <c r="AY21" s="16"/>
      <c r="AZ21" s="2185"/>
      <c r="BA21" s="16"/>
      <c r="BB21" s="2185"/>
      <c r="BC21" s="16"/>
      <c r="BD21" s="2185"/>
      <c r="BE21" s="16"/>
      <c r="BF21" s="2185"/>
      <c r="BG21" s="16"/>
      <c r="BH21" s="2185"/>
      <c r="BI21" s="16"/>
      <c r="BJ21" s="2185"/>
      <c r="BK21" s="16"/>
      <c r="BL21" s="2185"/>
      <c r="BM21" s="16"/>
      <c r="BN21" s="2185"/>
      <c r="BO21" s="16"/>
      <c r="BP21" s="2185"/>
      <c r="BQ21" s="16"/>
      <c r="BR21" s="2185"/>
      <c r="BS21" s="16"/>
      <c r="BT21" s="2185"/>
      <c r="BU21" s="16"/>
      <c r="BV21" s="2185"/>
      <c r="BW21" s="16"/>
      <c r="BX21" s="2185"/>
      <c r="BY21" s="16"/>
      <c r="BZ21" s="2185"/>
      <c r="CA21" s="16"/>
      <c r="CB21" s="2185"/>
      <c r="CC21" s="16"/>
      <c r="CD21" s="2185"/>
      <c r="CE21" s="16"/>
      <c r="CF21" s="2185"/>
      <c r="CG21" s="16"/>
      <c r="CH21" s="2185"/>
      <c r="CI21" s="16"/>
      <c r="CJ21" s="2185"/>
      <c r="CK21" s="16"/>
      <c r="CL21" s="2185"/>
      <c r="CM21" s="16"/>
      <c r="CN21" s="2185"/>
      <c r="CO21" s="16"/>
      <c r="CP21" s="2185"/>
      <c r="CQ21" s="16"/>
      <c r="CR21" s="2185"/>
      <c r="CS21" s="16"/>
      <c r="CT21" s="2185"/>
      <c r="CU21" s="16"/>
      <c r="CV21" s="2185"/>
      <c r="CW21" s="16"/>
      <c r="CX21" s="2185"/>
      <c r="CY21" s="16"/>
      <c r="CZ21" s="2185"/>
      <c r="DA21" s="16"/>
      <c r="DB21" s="2185"/>
      <c r="DC21" s="16"/>
      <c r="DD21" s="2185"/>
      <c r="DE21" s="16"/>
      <c r="DF21" s="2185"/>
      <c r="DG21" s="16"/>
      <c r="DH21" s="2185"/>
      <c r="DI21" s="16"/>
      <c r="DJ21" s="2185"/>
      <c r="DK21" s="16"/>
      <c r="DL21" s="2185"/>
      <c r="DM21" s="16"/>
      <c r="DN21" s="2185"/>
      <c r="DO21" s="16"/>
      <c r="DP21" s="2185"/>
      <c r="DQ21" s="16"/>
      <c r="DR21" s="2185"/>
      <c r="DS21" s="16"/>
      <c r="DT21" s="2185"/>
      <c r="DU21" s="16"/>
      <c r="DV21" s="2185"/>
      <c r="DW21" s="16"/>
      <c r="DX21" s="2185"/>
      <c r="DY21" s="16"/>
      <c r="DZ21" s="2185"/>
      <c r="EA21" s="16"/>
      <c r="EB21" s="2185"/>
      <c r="EC21" s="16"/>
      <c r="ED21" s="2185"/>
      <c r="EE21" s="16"/>
      <c r="EF21" s="2185"/>
      <c r="EG21" s="16"/>
      <c r="EH21" s="2185"/>
      <c r="EI21" s="16"/>
      <c r="EJ21" s="2185"/>
      <c r="EK21" s="16"/>
      <c r="EL21" s="2185"/>
      <c r="EM21" s="16"/>
      <c r="EN21" s="2185"/>
      <c r="EO21" s="16"/>
      <c r="EP21" s="2185"/>
      <c r="EQ21" s="16"/>
      <c r="ER21" s="2185"/>
      <c r="ES21" s="16"/>
      <c r="ET21" s="2185"/>
      <c r="EU21" s="16"/>
      <c r="EV21" s="2185"/>
      <c r="EW21" s="16"/>
      <c r="EX21" s="2185"/>
      <c r="EY21" s="16"/>
      <c r="EZ21" s="2185"/>
      <c r="FA21" s="16"/>
      <c r="FB21" s="2185"/>
      <c r="FC21" s="16"/>
      <c r="FD21" s="2185"/>
      <c r="FE21" s="16"/>
      <c r="FF21" s="2185"/>
      <c r="FG21" s="16"/>
      <c r="FH21" s="2185"/>
      <c r="FI21" s="16"/>
      <c r="FJ21" s="2185"/>
      <c r="FK21" s="16"/>
      <c r="FL21" s="2185"/>
      <c r="FM21" s="16"/>
      <c r="FN21" s="2185"/>
      <c r="FO21" s="16"/>
      <c r="FP21" s="2185"/>
      <c r="FQ21" s="16"/>
      <c r="FR21" s="2185"/>
      <c r="FS21" s="16"/>
      <c r="FT21" s="2185"/>
      <c r="FU21" s="16"/>
      <c r="FV21" s="2185"/>
      <c r="FW21" s="16"/>
      <c r="FX21" s="2185"/>
      <c r="FY21" s="16"/>
      <c r="FZ21" s="2185"/>
      <c r="GA21" s="16"/>
      <c r="GB21" s="2185"/>
      <c r="GC21" s="16"/>
      <c r="GD21" s="2185"/>
      <c r="GE21" s="16"/>
      <c r="GF21" s="2185"/>
      <c r="GG21" s="16"/>
      <c r="GH21" s="2185"/>
      <c r="GI21" s="16"/>
      <c r="GJ21" s="2185"/>
      <c r="GK21" s="16"/>
      <c r="GL21" s="2185"/>
      <c r="GM21" s="16"/>
      <c r="GN21" s="2185"/>
      <c r="GO21" s="16"/>
      <c r="GP21" s="2185"/>
      <c r="GQ21" s="16"/>
      <c r="GR21" s="2185"/>
      <c r="GS21" s="16"/>
      <c r="GT21" s="2185"/>
      <c r="GU21" s="16"/>
      <c r="GV21" s="2185"/>
      <c r="GW21" s="16"/>
      <c r="GX21" s="2185"/>
      <c r="GY21" s="16"/>
      <c r="GZ21" s="2185"/>
      <c r="HA21" s="16"/>
      <c r="HB21" s="2185"/>
      <c r="HC21" s="16"/>
      <c r="HD21" s="2185"/>
      <c r="HE21" s="16"/>
      <c r="HF21" s="2185"/>
      <c r="HG21" s="16"/>
      <c r="HH21" s="2185"/>
      <c r="HI21" s="16"/>
      <c r="HJ21" s="2185"/>
      <c r="HK21" s="16"/>
      <c r="HL21" s="2185"/>
      <c r="HM21" s="16"/>
      <c r="HN21" s="2185"/>
      <c r="HO21" s="16"/>
      <c r="HP21" s="2185"/>
      <c r="HQ21" s="16"/>
      <c r="HR21" s="2185"/>
      <c r="HS21" s="16"/>
      <c r="HT21" s="2185"/>
      <c r="HU21" s="16"/>
      <c r="HV21" s="2185"/>
      <c r="HW21" s="16"/>
      <c r="HX21" s="2185"/>
      <c r="HY21" s="16"/>
      <c r="HZ21" s="2185"/>
      <c r="IA21" s="16"/>
      <c r="IB21" s="2185"/>
      <c r="IC21" s="16"/>
      <c r="ID21" s="2185"/>
      <c r="IE21" s="16"/>
      <c r="IF21" s="2185"/>
      <c r="IG21" s="16"/>
      <c r="IH21" s="2185"/>
      <c r="II21" s="16"/>
      <c r="IJ21" s="2185"/>
      <c r="IK21" s="16"/>
      <c r="IL21" s="2185"/>
      <c r="IM21" s="16"/>
      <c r="IN21" s="2185"/>
      <c r="IO21" s="16"/>
      <c r="IP21" s="2185"/>
      <c r="IQ21" s="16"/>
      <c r="IR21" s="2185"/>
      <c r="IS21" s="16"/>
      <c r="IT21" s="2185"/>
      <c r="IU21" s="16"/>
      <c r="IV21" s="2185"/>
      <c r="IW21" s="16"/>
      <c r="IX21" s="2185"/>
      <c r="IY21" s="16"/>
      <c r="IZ21" s="2185"/>
      <c r="JA21" s="16"/>
      <c r="JB21" s="2185"/>
      <c r="JC21" s="16"/>
      <c r="JD21" s="2185"/>
      <c r="JE21" s="16"/>
      <c r="JF21" s="2185"/>
      <c r="JG21" s="16"/>
      <c r="JH21" s="2185"/>
      <c r="JI21" s="16"/>
      <c r="JJ21" s="2185"/>
      <c r="JK21" s="16"/>
      <c r="JL21" s="2185"/>
      <c r="JM21" s="16"/>
      <c r="JN21" s="2185"/>
      <c r="JO21" s="16"/>
      <c r="JP21" s="2185"/>
      <c r="JQ21" s="16"/>
      <c r="JR21" s="2185"/>
      <c r="JS21" s="16"/>
      <c r="JT21" s="2185"/>
      <c r="JU21" s="16"/>
      <c r="JV21" s="2185"/>
      <c r="JW21" s="16"/>
      <c r="JX21" s="2185"/>
      <c r="JY21" s="16"/>
      <c r="JZ21" s="2185"/>
      <c r="KA21" s="16"/>
      <c r="KB21" s="2185"/>
      <c r="KC21" s="16"/>
      <c r="KD21" s="2185"/>
      <c r="KE21" s="16"/>
      <c r="KF21" s="2185"/>
      <c r="KG21" s="16"/>
      <c r="KH21" s="2185"/>
      <c r="KI21" s="16"/>
      <c r="KJ21" s="2185"/>
      <c r="KK21" s="16"/>
      <c r="KL21" s="2185"/>
      <c r="KM21" s="16"/>
      <c r="KN21" s="2185"/>
      <c r="KO21" s="16"/>
      <c r="KP21" s="2185"/>
      <c r="KQ21" s="16"/>
      <c r="KR21" s="2185"/>
      <c r="KS21" s="16"/>
      <c r="KT21" s="2185"/>
      <c r="KU21" s="16"/>
      <c r="KV21" s="2185"/>
      <c r="KW21" s="16"/>
      <c r="KX21" s="2185"/>
      <c r="KY21" s="16"/>
      <c r="KZ21" s="2185"/>
      <c r="LA21" s="16"/>
      <c r="LB21" s="2185"/>
      <c r="LC21" s="16"/>
      <c r="LD21" s="2185"/>
      <c r="LE21" s="16"/>
      <c r="LF21" s="2185"/>
      <c r="LG21" s="16"/>
      <c r="LH21" s="2185"/>
      <c r="LI21" s="16"/>
      <c r="LJ21" s="2185"/>
      <c r="LK21" s="16"/>
      <c r="LL21" s="2185"/>
      <c r="LM21" s="16"/>
      <c r="LN21" s="2185"/>
      <c r="LO21" s="16"/>
      <c r="LP21" s="2185"/>
      <c r="LQ21" s="16"/>
      <c r="LR21" s="2185"/>
      <c r="LS21" s="16"/>
      <c r="LT21" s="2185"/>
      <c r="LU21" s="16"/>
      <c r="LV21" s="2185"/>
      <c r="LW21" s="16"/>
      <c r="LX21" s="2185"/>
      <c r="LY21" s="16"/>
      <c r="LZ21" s="2185"/>
      <c r="MA21" s="16"/>
      <c r="MB21" s="2185"/>
      <c r="MC21" s="16"/>
      <c r="MD21" s="2185"/>
      <c r="ME21" s="16"/>
      <c r="MF21" s="2185"/>
      <c r="MG21" s="16"/>
      <c r="MH21" s="2185"/>
      <c r="MI21" s="16"/>
      <c r="MJ21" s="2185"/>
      <c r="MK21" s="16"/>
      <c r="ML21" s="2185"/>
      <c r="MM21" s="16"/>
      <c r="MN21" s="2185"/>
      <c r="MO21" s="16"/>
      <c r="MP21" s="2185"/>
      <c r="MQ21" s="16"/>
      <c r="MR21" s="2185"/>
      <c r="MS21" s="16"/>
      <c r="MT21" s="2185"/>
      <c r="MU21" s="16"/>
      <c r="MV21" s="2185"/>
      <c r="MW21" s="16"/>
      <c r="MX21" s="2185"/>
      <c r="MY21" s="16"/>
      <c r="MZ21" s="2185"/>
      <c r="NA21" s="16"/>
      <c r="NB21" s="2185"/>
      <c r="NC21" s="16"/>
      <c r="ND21" s="2185"/>
      <c r="NE21" s="16"/>
      <c r="NF21" s="2185"/>
      <c r="NG21" s="16"/>
      <c r="NH21" s="2185"/>
      <c r="NI21" s="16"/>
      <c r="NJ21" s="2185"/>
      <c r="NK21" s="16"/>
      <c r="NL21" s="2185"/>
      <c r="NM21" s="16"/>
      <c r="NN21" s="2185"/>
      <c r="NO21" s="16"/>
      <c r="NP21" s="2185"/>
      <c r="NQ21" s="16"/>
      <c r="NR21" s="2185"/>
      <c r="NS21" s="16"/>
      <c r="NT21" s="2185"/>
      <c r="NU21" s="16"/>
      <c r="NV21" s="2185"/>
      <c r="NW21" s="16"/>
      <c r="NX21" s="2185"/>
      <c r="NY21" s="16"/>
      <c r="NZ21" s="2185"/>
      <c r="OA21" s="16"/>
      <c r="OB21" s="2185"/>
      <c r="OC21" s="16"/>
      <c r="OD21" s="2185"/>
      <c r="OE21" s="16"/>
      <c r="OF21" s="2185"/>
      <c r="OG21" s="16"/>
      <c r="OH21" s="2185"/>
      <c r="OI21" s="16"/>
      <c r="OJ21" s="2185"/>
      <c r="OK21" s="16"/>
      <c r="OL21" s="2185"/>
      <c r="OM21" s="16"/>
      <c r="ON21" s="2185"/>
      <c r="OO21" s="16"/>
      <c r="OP21" s="2185"/>
      <c r="OQ21" s="16"/>
      <c r="OR21" s="2185"/>
      <c r="OS21" s="16"/>
      <c r="OT21" s="2185"/>
      <c r="OU21" s="16"/>
      <c r="OV21" s="2185"/>
      <c r="OW21" s="16"/>
      <c r="OX21" s="2185"/>
      <c r="OY21" s="16"/>
      <c r="OZ21" s="2185"/>
      <c r="PA21" s="16"/>
      <c r="PB21" s="2185"/>
      <c r="PC21" s="16"/>
      <c r="PD21" s="2185"/>
      <c r="PE21" s="16"/>
      <c r="PF21" s="2185"/>
      <c r="PG21" s="16"/>
      <c r="PH21" s="2185"/>
      <c r="PI21" s="16"/>
      <c r="PJ21" s="2185"/>
      <c r="PK21" s="16"/>
      <c r="PL21" s="2185"/>
      <c r="PM21" s="16"/>
      <c r="PN21" s="2185"/>
      <c r="PO21" s="16"/>
      <c r="PP21" s="2185"/>
      <c r="PQ21" s="16"/>
      <c r="PR21" s="2185"/>
      <c r="PS21" s="16"/>
      <c r="PT21" s="2185"/>
      <c r="PU21" s="16"/>
      <c r="PV21" s="2185"/>
      <c r="PW21" s="16"/>
      <c r="PX21" s="2185"/>
      <c r="PY21" s="16"/>
      <c r="PZ21" s="2185"/>
      <c r="QA21" s="16"/>
      <c r="QB21" s="2185"/>
      <c r="QC21" s="16"/>
      <c r="QD21" s="2185"/>
      <c r="QE21" s="16"/>
      <c r="QF21" s="2185"/>
      <c r="QG21" s="16"/>
      <c r="QH21" s="2185"/>
      <c r="QI21" s="16"/>
      <c r="QJ21" s="2185"/>
      <c r="QK21" s="16"/>
      <c r="QL21" s="2185"/>
      <c r="QM21" s="16"/>
      <c r="QN21" s="2185"/>
      <c r="QO21" s="16"/>
      <c r="QP21" s="2185"/>
      <c r="QQ21" s="16"/>
      <c r="QR21" s="2185"/>
      <c r="QS21" s="16"/>
      <c r="QT21" s="2185"/>
      <c r="QU21" s="16"/>
      <c r="QV21" s="2185"/>
      <c r="QW21" s="16"/>
      <c r="QX21" s="2185"/>
      <c r="QY21" s="16"/>
      <c r="QZ21" s="2185"/>
      <c r="RA21" s="16"/>
      <c r="RB21" s="2185"/>
      <c r="RC21" s="16"/>
      <c r="RD21" s="2185"/>
      <c r="RE21" s="16"/>
      <c r="RF21" s="2185"/>
      <c r="RG21" s="16"/>
      <c r="RH21" s="2185"/>
      <c r="RI21" s="16"/>
      <c r="RJ21" s="2185"/>
      <c r="RK21" s="16"/>
      <c r="RL21" s="2185"/>
      <c r="RM21" s="16"/>
      <c r="RN21" s="2185"/>
      <c r="RO21" s="16"/>
      <c r="RP21" s="2185"/>
      <c r="RQ21" s="16"/>
      <c r="RR21" s="2185"/>
      <c r="RS21" s="16"/>
      <c r="RT21" s="2185"/>
      <c r="RU21" s="16"/>
      <c r="RV21" s="2185"/>
      <c r="RW21" s="16"/>
      <c r="RX21" s="2185"/>
      <c r="RY21" s="16"/>
      <c r="RZ21" s="2185"/>
      <c r="SA21" s="16"/>
      <c r="SB21" s="2185"/>
      <c r="SC21" s="16"/>
      <c r="SD21" s="2185"/>
      <c r="SE21" s="16"/>
      <c r="SF21" s="2185"/>
      <c r="SG21" s="16"/>
      <c r="SH21" s="2185"/>
      <c r="SI21" s="16"/>
      <c r="SJ21" s="2185"/>
      <c r="SK21" s="16"/>
      <c r="SL21" s="2185"/>
      <c r="SM21" s="16"/>
      <c r="SN21" s="2185"/>
      <c r="SO21" s="16"/>
      <c r="SP21" s="2185"/>
      <c r="SQ21" s="16"/>
      <c r="SR21" s="2185"/>
      <c r="SS21" s="16"/>
      <c r="ST21" s="2185"/>
      <c r="SU21" s="16"/>
      <c r="SV21" s="2185"/>
      <c r="SW21" s="16"/>
      <c r="SX21" s="2185"/>
      <c r="SY21" s="16"/>
      <c r="SZ21" s="2185"/>
      <c r="TA21" s="16"/>
      <c r="TB21" s="2185"/>
      <c r="TC21" s="16"/>
      <c r="TD21" s="2185"/>
      <c r="TE21" s="16"/>
      <c r="TF21" s="2185"/>
      <c r="TG21" s="16"/>
      <c r="TH21" s="2185"/>
      <c r="TI21" s="16"/>
      <c r="TJ21" s="2185"/>
      <c r="TK21" s="16"/>
      <c r="TL21" s="2185"/>
      <c r="TM21" s="16"/>
      <c r="TN21" s="2185"/>
      <c r="TO21" s="16"/>
      <c r="TP21" s="2185"/>
      <c r="TQ21" s="16"/>
      <c r="TR21" s="2185"/>
      <c r="TS21" s="16"/>
      <c r="TT21" s="2185"/>
      <c r="TU21" s="16"/>
      <c r="TV21" s="2185"/>
      <c r="TW21" s="16"/>
      <c r="TX21" s="2185"/>
      <c r="TY21" s="16"/>
      <c r="TZ21" s="2185"/>
      <c r="UA21" s="16"/>
      <c r="UB21" s="2185"/>
      <c r="UC21" s="16"/>
      <c r="UD21" s="2185"/>
      <c r="UE21" s="16"/>
      <c r="UF21" s="2185"/>
      <c r="UG21" s="16"/>
      <c r="UH21" s="2185"/>
      <c r="UI21" s="16"/>
      <c r="UJ21" s="2185"/>
      <c r="UK21" s="16"/>
      <c r="UL21" s="2185"/>
      <c r="UM21" s="16"/>
      <c r="UN21" s="2185"/>
      <c r="UO21" s="16"/>
      <c r="UP21" s="2185"/>
      <c r="UQ21" s="16"/>
      <c r="UR21" s="2185"/>
      <c r="US21" s="16"/>
      <c r="UT21" s="2185"/>
      <c r="UU21" s="16"/>
      <c r="UV21" s="2185"/>
      <c r="UW21" s="16"/>
      <c r="UX21" s="2185"/>
      <c r="UY21" s="16"/>
      <c r="UZ21" s="2185"/>
      <c r="VA21" s="16"/>
      <c r="VB21" s="2185"/>
      <c r="VC21" s="16"/>
      <c r="VD21" s="2185"/>
      <c r="VE21" s="16"/>
      <c r="VF21" s="2185"/>
      <c r="VG21" s="16"/>
      <c r="VH21" s="2185"/>
      <c r="VI21" s="16"/>
      <c r="VJ21" s="2185"/>
      <c r="VK21" s="16"/>
      <c r="VL21" s="2185"/>
      <c r="VM21" s="16"/>
      <c r="VN21" s="2185"/>
      <c r="VO21" s="16"/>
      <c r="VP21" s="2185"/>
      <c r="VQ21" s="16"/>
      <c r="VR21" s="2185"/>
      <c r="VS21" s="16"/>
      <c r="VT21" s="2185"/>
      <c r="VU21" s="16"/>
      <c r="VV21" s="2185"/>
      <c r="VW21" s="16"/>
      <c r="VX21" s="2185"/>
      <c r="VY21" s="16"/>
      <c r="VZ21" s="2185"/>
      <c r="WA21" s="16"/>
      <c r="WB21" s="2185"/>
      <c r="WC21" s="16"/>
      <c r="WD21" s="2185"/>
      <c r="WE21" s="16"/>
      <c r="WF21" s="2185"/>
      <c r="WG21" s="16"/>
      <c r="WH21" s="2185"/>
      <c r="WI21" s="16"/>
      <c r="WJ21" s="2185"/>
      <c r="WK21" s="16"/>
      <c r="WL21" s="2185"/>
      <c r="WM21" s="16"/>
      <c r="WN21" s="2185"/>
      <c r="WO21" s="16"/>
      <c r="WP21" s="2185"/>
      <c r="WQ21" s="16"/>
      <c r="WR21" s="2185"/>
      <c r="WS21" s="16"/>
      <c r="WT21" s="2185"/>
      <c r="WU21" s="16"/>
      <c r="WV21" s="2185"/>
      <c r="WW21" s="16"/>
      <c r="WX21" s="2185"/>
      <c r="WY21" s="16"/>
      <c r="WZ21" s="2185"/>
      <c r="XA21" s="16"/>
      <c r="XB21" s="2185"/>
      <c r="XC21" s="16"/>
      <c r="XD21" s="2185"/>
      <c r="XE21" s="16"/>
      <c r="XF21" s="2185"/>
      <c r="XG21" s="16"/>
      <c r="XH21" s="2185"/>
      <c r="XI21" s="16"/>
      <c r="XJ21" s="2185"/>
      <c r="XK21" s="16"/>
      <c r="XL21" s="2185"/>
      <c r="XM21" s="16"/>
      <c r="XN21" s="2185"/>
      <c r="XO21" s="16"/>
      <c r="XP21" s="2185"/>
      <c r="XQ21" s="16"/>
      <c r="XR21" s="2185"/>
      <c r="XS21" s="16"/>
      <c r="XT21" s="2185"/>
      <c r="XU21" s="16"/>
      <c r="XV21" s="2185"/>
      <c r="XW21" s="16"/>
      <c r="XX21" s="2185"/>
      <c r="XY21" s="16"/>
      <c r="XZ21" s="2185"/>
      <c r="YA21" s="16"/>
      <c r="YB21" s="2185"/>
      <c r="YC21" s="16"/>
      <c r="YD21" s="2185"/>
      <c r="YE21" s="16"/>
      <c r="YF21" s="2185"/>
      <c r="YG21" s="16"/>
      <c r="YH21" s="2185"/>
      <c r="YI21" s="16"/>
      <c r="YJ21" s="2185"/>
      <c r="YK21" s="16"/>
      <c r="YL21" s="2185"/>
      <c r="YM21" s="16"/>
      <c r="YN21" s="2185"/>
      <c r="YO21" s="16"/>
      <c r="YP21" s="2185"/>
      <c r="YQ21" s="16"/>
      <c r="YR21" s="2185"/>
      <c r="YS21" s="16"/>
      <c r="YT21" s="2185"/>
      <c r="YU21" s="16"/>
      <c r="YV21" s="2185"/>
      <c r="YW21" s="16"/>
      <c r="YX21" s="2185"/>
      <c r="YY21" s="16"/>
      <c r="YZ21" s="2185"/>
      <c r="ZA21" s="16"/>
      <c r="ZB21" s="2185"/>
      <c r="ZC21" s="16"/>
      <c r="ZD21" s="2185"/>
      <c r="ZE21" s="16"/>
      <c r="ZF21" s="2185"/>
      <c r="ZG21" s="16"/>
      <c r="ZH21" s="2185"/>
      <c r="ZI21" s="16"/>
      <c r="ZJ21" s="2185"/>
      <c r="ZK21" s="16"/>
      <c r="ZL21" s="2185"/>
      <c r="ZM21" s="16"/>
      <c r="ZN21" s="2185"/>
      <c r="ZO21" s="16"/>
      <c r="ZP21" s="2185"/>
      <c r="ZQ21" s="16"/>
      <c r="ZR21" s="2185"/>
      <c r="ZS21" s="16"/>
      <c r="ZT21" s="2185"/>
      <c r="ZU21" s="16"/>
      <c r="ZV21" s="2185"/>
      <c r="ZW21" s="16"/>
      <c r="ZX21" s="2185"/>
      <c r="ZY21" s="16"/>
      <c r="ZZ21" s="2185"/>
      <c r="AAA21" s="16"/>
      <c r="AAB21" s="2185"/>
      <c r="AAC21" s="16"/>
      <c r="AAD21" s="2185"/>
      <c r="AAE21" s="16"/>
      <c r="AAF21" s="2185"/>
      <c r="AAG21" s="16"/>
      <c r="AAH21" s="2185"/>
      <c r="AAI21" s="16"/>
      <c r="AAJ21" s="2185"/>
      <c r="AAK21" s="16"/>
      <c r="AAL21" s="2185"/>
      <c r="AAM21" s="16"/>
      <c r="AAN21" s="2185"/>
      <c r="AAO21" s="16"/>
      <c r="AAP21" s="2185"/>
      <c r="AAQ21" s="16"/>
      <c r="AAR21" s="2185"/>
      <c r="AAS21" s="16"/>
      <c r="AAT21" s="2185"/>
      <c r="AAU21" s="16"/>
      <c r="AAV21" s="2185"/>
      <c r="AAW21" s="16"/>
      <c r="AAX21" s="2185"/>
      <c r="AAY21" s="16"/>
      <c r="AAZ21" s="2185"/>
      <c r="ABA21" s="16"/>
      <c r="ABB21" s="2185"/>
      <c r="ABC21" s="16"/>
      <c r="ABD21" s="2185"/>
      <c r="ABE21" s="16"/>
      <c r="ABF21" s="2185"/>
      <c r="ABG21" s="16"/>
      <c r="ABH21" s="2185"/>
      <c r="ABI21" s="16"/>
      <c r="ABJ21" s="2185"/>
      <c r="ABK21" s="16"/>
      <c r="ABL21" s="2185"/>
      <c r="ABM21" s="16"/>
      <c r="ABN21" s="2185"/>
      <c r="ABO21" s="16"/>
      <c r="ABP21" s="2185"/>
      <c r="ABQ21" s="16"/>
      <c r="ABR21" s="2185"/>
      <c r="ABS21" s="16"/>
      <c r="ABT21" s="2185"/>
      <c r="ABU21" s="16"/>
      <c r="ABV21" s="2185"/>
      <c r="ABW21" s="16"/>
      <c r="ABX21" s="2185"/>
      <c r="ABY21" s="16"/>
      <c r="ABZ21" s="2185"/>
      <c r="ACA21" s="16"/>
      <c r="ACB21" s="2185"/>
      <c r="ACC21" s="16"/>
      <c r="ACD21" s="2185"/>
      <c r="ACE21" s="16"/>
      <c r="ACF21" s="2185"/>
      <c r="ACG21" s="16"/>
      <c r="ACH21" s="2185"/>
      <c r="ACI21" s="16"/>
      <c r="ACJ21" s="2185"/>
      <c r="ACK21" s="16"/>
      <c r="ACL21" s="2185"/>
      <c r="ACM21" s="16"/>
      <c r="ACN21" s="2185"/>
      <c r="ACO21" s="16"/>
      <c r="ACP21" s="2185"/>
      <c r="ACQ21" s="16"/>
      <c r="ACR21" s="2185"/>
      <c r="ACS21" s="16"/>
      <c r="ACT21" s="2185"/>
      <c r="ACU21" s="16"/>
      <c r="ACV21" s="2185"/>
      <c r="ACW21" s="16"/>
      <c r="ACX21" s="2185"/>
      <c r="ACY21" s="16"/>
      <c r="ACZ21" s="2185"/>
      <c r="ADA21" s="16"/>
      <c r="ADB21" s="2185"/>
      <c r="ADC21" s="16"/>
      <c r="ADD21" s="2185"/>
      <c r="ADE21" s="16"/>
      <c r="ADF21" s="2185"/>
      <c r="ADG21" s="16"/>
      <c r="ADH21" s="2185"/>
      <c r="ADI21" s="16"/>
      <c r="ADJ21" s="2185"/>
      <c r="ADK21" s="16"/>
      <c r="ADL21" s="2185"/>
      <c r="ADM21" s="16"/>
      <c r="ADN21" s="2185"/>
      <c r="ADO21" s="16"/>
      <c r="ADP21" s="2185"/>
      <c r="ADQ21" s="16"/>
      <c r="ADR21" s="2185"/>
      <c r="ADS21" s="16"/>
      <c r="ADT21" s="2185"/>
      <c r="ADU21" s="16"/>
      <c r="ADV21" s="2185"/>
      <c r="ADW21" s="16"/>
      <c r="ADX21" s="2185"/>
      <c r="ADY21" s="16"/>
      <c r="ADZ21" s="2185"/>
      <c r="AEA21" s="16"/>
      <c r="AEB21" s="2185"/>
      <c r="AEC21" s="16"/>
      <c r="AED21" s="2185"/>
      <c r="AEE21" s="16"/>
      <c r="AEF21" s="2185"/>
      <c r="AEG21" s="16"/>
      <c r="AEH21" s="2185"/>
      <c r="AEI21" s="16"/>
      <c r="AEJ21" s="2185"/>
      <c r="AEK21" s="16"/>
      <c r="AEL21" s="2185"/>
      <c r="AEM21" s="16"/>
      <c r="AEN21" s="2185"/>
      <c r="AEO21" s="16"/>
      <c r="AEP21" s="2185"/>
      <c r="AEQ21" s="16"/>
      <c r="AER21" s="2185"/>
      <c r="AES21" s="16"/>
      <c r="AET21" s="2185"/>
      <c r="AEU21" s="16"/>
      <c r="AEV21" s="2185"/>
      <c r="AEW21" s="16"/>
      <c r="AEX21" s="2185"/>
      <c r="AEY21" s="16"/>
      <c r="AEZ21" s="2185"/>
      <c r="AFA21" s="16"/>
      <c r="AFB21" s="2185"/>
      <c r="AFC21" s="16"/>
      <c r="AFD21" s="2185"/>
      <c r="AFE21" s="16"/>
      <c r="AFF21" s="2185"/>
      <c r="AFG21" s="16"/>
      <c r="AFH21" s="2185"/>
      <c r="AFI21" s="16"/>
      <c r="AFJ21" s="2185"/>
      <c r="AFK21" s="16"/>
      <c r="AFL21" s="2185"/>
      <c r="AFM21" s="16"/>
      <c r="AFN21" s="2185"/>
      <c r="AFO21" s="16"/>
      <c r="AFP21" s="2185"/>
      <c r="AFQ21" s="16"/>
      <c r="AFR21" s="2185"/>
      <c r="AFS21" s="16"/>
      <c r="AFT21" s="2185"/>
      <c r="AFU21" s="16"/>
      <c r="AFV21" s="2185"/>
      <c r="AFW21" s="16"/>
      <c r="AFX21" s="2185"/>
      <c r="AFY21" s="16"/>
      <c r="AFZ21" s="2185"/>
      <c r="AGA21" s="16"/>
      <c r="AGB21" s="2185"/>
      <c r="AGC21" s="16"/>
      <c r="AGD21" s="2185"/>
      <c r="AGE21" s="16"/>
      <c r="AGF21" s="2185"/>
      <c r="AGG21" s="16"/>
      <c r="AGH21" s="2185"/>
      <c r="AGI21" s="16"/>
      <c r="AGJ21" s="2185"/>
      <c r="AGK21" s="16"/>
      <c r="AGL21" s="2185"/>
      <c r="AGM21" s="16"/>
      <c r="AGN21" s="2185"/>
      <c r="AGO21" s="16"/>
      <c r="AGP21" s="2185"/>
      <c r="AGQ21" s="16"/>
      <c r="AGR21" s="2185"/>
      <c r="AGS21" s="16"/>
      <c r="AGT21" s="2185"/>
      <c r="AGU21" s="16"/>
      <c r="AGV21" s="2185"/>
      <c r="AGW21" s="16"/>
      <c r="AGX21" s="2185"/>
      <c r="AGY21" s="16"/>
      <c r="AGZ21" s="2185"/>
      <c r="AHA21" s="16"/>
      <c r="AHB21" s="2185"/>
      <c r="AHC21" s="16"/>
      <c r="AHD21" s="2185"/>
      <c r="AHE21" s="16"/>
      <c r="AHF21" s="2185"/>
      <c r="AHG21" s="16"/>
      <c r="AHH21" s="2185"/>
      <c r="AHI21" s="16"/>
      <c r="AHJ21" s="2185"/>
      <c r="AHK21" s="16"/>
      <c r="AHL21" s="2185"/>
      <c r="AHM21" s="16"/>
      <c r="AHN21" s="2185"/>
      <c r="AHO21" s="16"/>
      <c r="AHP21" s="2185"/>
      <c r="AHQ21" s="16"/>
      <c r="AHR21" s="2185"/>
      <c r="AHS21" s="16"/>
      <c r="AHT21" s="2185"/>
      <c r="AHU21" s="16"/>
      <c r="AHV21" s="2185"/>
      <c r="AHW21" s="16"/>
      <c r="AHX21" s="2185"/>
      <c r="AHY21" s="16"/>
      <c r="AHZ21" s="2185"/>
      <c r="AIA21" s="16"/>
      <c r="AIB21" s="2185"/>
      <c r="AIC21" s="16"/>
      <c r="AID21" s="2185"/>
      <c r="AIE21" s="16"/>
      <c r="AIF21" s="2185"/>
      <c r="AIG21" s="16"/>
      <c r="AIH21" s="2185"/>
      <c r="AII21" s="16"/>
      <c r="AIJ21" s="2185"/>
      <c r="AIK21" s="16"/>
      <c r="AIL21" s="2185"/>
      <c r="AIM21" s="16"/>
      <c r="AIN21" s="2185"/>
      <c r="AIO21" s="16"/>
      <c r="AIP21" s="2185"/>
      <c r="AIQ21" s="16"/>
      <c r="AIR21" s="2185"/>
      <c r="AIS21" s="16"/>
      <c r="AIT21" s="2185"/>
      <c r="AIU21" s="16"/>
      <c r="AIV21" s="2185"/>
      <c r="AIW21" s="16"/>
      <c r="AIX21" s="2185"/>
      <c r="AIY21" s="16"/>
      <c r="AIZ21" s="2185"/>
      <c r="AJA21" s="16"/>
      <c r="AJB21" s="2185"/>
      <c r="AJC21" s="16"/>
      <c r="AJD21" s="2185"/>
      <c r="AJE21" s="16"/>
      <c r="AJF21" s="2185"/>
      <c r="AJG21" s="16"/>
      <c r="AJH21" s="2185"/>
      <c r="AJI21" s="16"/>
      <c r="AJJ21" s="2185"/>
      <c r="AJK21" s="16"/>
      <c r="AJL21" s="2185"/>
      <c r="AJM21" s="16"/>
      <c r="AJN21" s="2185"/>
      <c r="AJO21" s="16"/>
      <c r="AJP21" s="2185"/>
      <c r="AJQ21" s="16"/>
      <c r="AJR21" s="2185"/>
      <c r="AJS21" s="16"/>
      <c r="AJT21" s="2185"/>
      <c r="AJU21" s="16"/>
      <c r="AJV21" s="2185"/>
      <c r="AJW21" s="16"/>
      <c r="AJX21" s="2185"/>
      <c r="AJY21" s="16"/>
      <c r="AJZ21" s="2185"/>
      <c r="AKA21" s="16"/>
      <c r="AKB21" s="2185"/>
      <c r="AKC21" s="16"/>
      <c r="AKD21" s="2185"/>
      <c r="AKE21" s="16"/>
      <c r="AKF21" s="2185"/>
      <c r="AKG21" s="16"/>
      <c r="AKH21" s="2185"/>
      <c r="AKI21" s="16"/>
      <c r="AKJ21" s="2185"/>
      <c r="AKK21" s="16"/>
      <c r="AKL21" s="2185"/>
      <c r="AKM21" s="16"/>
      <c r="AKN21" s="2185"/>
      <c r="AKO21" s="16"/>
      <c r="AKP21" s="2185"/>
      <c r="AKQ21" s="16"/>
      <c r="AKR21" s="2185"/>
      <c r="AKS21" s="16"/>
      <c r="AKT21" s="2185"/>
      <c r="AKU21" s="16"/>
      <c r="AKV21" s="2185"/>
      <c r="AKW21" s="16"/>
      <c r="AKX21" s="2185"/>
      <c r="AKY21" s="16"/>
      <c r="AKZ21" s="2185"/>
      <c r="ALA21" s="16"/>
      <c r="ALB21" s="2185"/>
      <c r="ALC21" s="16"/>
      <c r="ALD21" s="2185"/>
      <c r="ALE21" s="16"/>
      <c r="ALF21" s="2185"/>
      <c r="ALG21" s="16"/>
      <c r="ALH21" s="2185"/>
      <c r="ALI21" s="16"/>
      <c r="ALJ21" s="2185"/>
      <c r="ALK21" s="16"/>
      <c r="ALL21" s="2185"/>
      <c r="ALM21" s="16"/>
      <c r="ALN21" s="2185"/>
      <c r="ALO21" s="16"/>
      <c r="ALP21" s="2185"/>
      <c r="ALQ21" s="16"/>
      <c r="ALR21" s="2185"/>
      <c r="ALS21" s="16"/>
      <c r="ALT21" s="2185"/>
      <c r="ALU21" s="16"/>
      <c r="ALV21" s="2185"/>
      <c r="ALW21" s="16"/>
      <c r="ALX21" s="2185"/>
      <c r="ALY21" s="16"/>
      <c r="ALZ21" s="2185"/>
      <c r="AMA21" s="16"/>
      <c r="AMB21" s="2185"/>
      <c r="AMC21" s="16"/>
      <c r="AMD21" s="2185"/>
      <c r="AME21" s="16"/>
      <c r="AMF21" s="2185"/>
      <c r="AMG21" s="16"/>
      <c r="AMH21" s="2185"/>
      <c r="AMI21" s="16"/>
      <c r="AMJ21" s="2185"/>
      <c r="AMK21" s="16"/>
      <c r="AML21" s="2185"/>
      <c r="AMM21" s="16"/>
      <c r="AMN21" s="2185"/>
      <c r="AMO21" s="16"/>
      <c r="AMP21" s="2185"/>
      <c r="AMQ21" s="16"/>
      <c r="AMR21" s="2185"/>
      <c r="AMS21" s="16"/>
      <c r="AMT21" s="2185"/>
      <c r="AMU21" s="16"/>
      <c r="AMV21" s="2185"/>
      <c r="AMW21" s="16"/>
      <c r="AMX21" s="2185"/>
      <c r="AMY21" s="16"/>
      <c r="AMZ21" s="2185"/>
      <c r="ANA21" s="16"/>
      <c r="ANB21" s="2185"/>
      <c r="ANC21" s="16"/>
      <c r="AND21" s="2185"/>
      <c r="ANE21" s="16"/>
      <c r="ANF21" s="2185"/>
      <c r="ANG21" s="16"/>
      <c r="ANH21" s="2185"/>
      <c r="ANI21" s="16"/>
      <c r="ANJ21" s="2185"/>
      <c r="ANK21" s="16"/>
      <c r="ANL21" s="2185"/>
      <c r="ANM21" s="16"/>
      <c r="ANN21" s="2185"/>
      <c r="ANO21" s="16"/>
      <c r="ANP21" s="2185"/>
      <c r="ANQ21" s="16"/>
      <c r="ANR21" s="2185"/>
      <c r="ANS21" s="16"/>
      <c r="ANT21" s="2185"/>
      <c r="ANU21" s="16"/>
      <c r="ANV21" s="2185"/>
      <c r="ANW21" s="16"/>
      <c r="ANX21" s="2185"/>
      <c r="ANY21" s="16"/>
      <c r="ANZ21" s="2185"/>
      <c r="AOA21" s="16"/>
      <c r="AOB21" s="2185"/>
      <c r="AOC21" s="16"/>
      <c r="AOD21" s="2185"/>
      <c r="AOE21" s="16"/>
      <c r="AOF21" s="2185"/>
      <c r="AOG21" s="16"/>
      <c r="AOH21" s="2185"/>
      <c r="AOI21" s="16"/>
      <c r="AOJ21" s="2185"/>
      <c r="AOK21" s="16"/>
      <c r="AOL21" s="2185"/>
      <c r="AOM21" s="16"/>
      <c r="AON21" s="2185"/>
      <c r="AOO21" s="16"/>
      <c r="AOP21" s="2185"/>
      <c r="AOQ21" s="16"/>
      <c r="AOR21" s="2185"/>
      <c r="AOS21" s="16"/>
      <c r="AOT21" s="2185"/>
      <c r="AOU21" s="16"/>
      <c r="AOV21" s="2185"/>
      <c r="AOW21" s="16"/>
      <c r="AOX21" s="2185"/>
      <c r="AOY21" s="16"/>
      <c r="AOZ21" s="2185"/>
      <c r="APA21" s="16"/>
      <c r="APB21" s="2185"/>
      <c r="APC21" s="16"/>
      <c r="APD21" s="2185"/>
      <c r="APE21" s="16"/>
      <c r="APF21" s="2185"/>
      <c r="APG21" s="16"/>
      <c r="APH21" s="2185"/>
      <c r="API21" s="16"/>
      <c r="APJ21" s="2185"/>
      <c r="APK21" s="16"/>
      <c r="APL21" s="2185"/>
      <c r="APM21" s="16"/>
      <c r="APN21" s="2185"/>
      <c r="APO21" s="16"/>
      <c r="APP21" s="2185"/>
      <c r="APQ21" s="16"/>
      <c r="APR21" s="2185"/>
      <c r="APS21" s="16"/>
      <c r="APT21" s="2185"/>
      <c r="APU21" s="16"/>
      <c r="APV21" s="2185"/>
      <c r="APW21" s="16"/>
      <c r="APX21" s="2185"/>
      <c r="APY21" s="16"/>
      <c r="APZ21" s="2185"/>
      <c r="AQA21" s="16"/>
      <c r="AQB21" s="2185"/>
      <c r="AQC21" s="16"/>
      <c r="AQD21" s="2185"/>
      <c r="AQE21" s="16"/>
      <c r="AQF21" s="2185"/>
      <c r="AQG21" s="16"/>
      <c r="AQH21" s="2185"/>
      <c r="AQI21" s="16"/>
      <c r="AQJ21" s="2185"/>
      <c r="AQK21" s="16"/>
      <c r="AQL21" s="2185"/>
      <c r="AQM21" s="16"/>
      <c r="AQN21" s="2185"/>
      <c r="AQO21" s="16"/>
      <c r="AQP21" s="2185"/>
      <c r="AQQ21" s="16"/>
      <c r="AQR21" s="2185"/>
      <c r="AQS21" s="16"/>
      <c r="AQT21" s="2185"/>
      <c r="AQU21" s="16"/>
      <c r="AQV21" s="2185"/>
      <c r="AQW21" s="16"/>
      <c r="AQX21" s="2185"/>
      <c r="AQY21" s="16"/>
      <c r="AQZ21" s="2185"/>
      <c r="ARA21" s="16"/>
      <c r="ARB21" s="2185"/>
      <c r="ARC21" s="16"/>
      <c r="ARD21" s="2185"/>
      <c r="ARE21" s="16"/>
      <c r="ARF21" s="2185"/>
      <c r="ARG21" s="16"/>
      <c r="ARH21" s="2185"/>
      <c r="ARI21" s="16"/>
      <c r="ARJ21" s="2185"/>
      <c r="ARK21" s="16"/>
      <c r="ARL21" s="2185"/>
      <c r="ARM21" s="16"/>
      <c r="ARN21" s="2185"/>
      <c r="ARO21" s="16"/>
      <c r="ARP21" s="2185"/>
      <c r="ARQ21" s="16"/>
      <c r="ARR21" s="2185"/>
      <c r="ARS21" s="16"/>
      <c r="ART21" s="2185"/>
      <c r="ARU21" s="16"/>
      <c r="ARV21" s="2185"/>
      <c r="ARW21" s="16"/>
      <c r="ARX21" s="2185"/>
      <c r="ARY21" s="16"/>
      <c r="ARZ21" s="2185"/>
      <c r="ASA21" s="16"/>
      <c r="ASB21" s="2185"/>
      <c r="ASC21" s="16"/>
      <c r="ASD21" s="2185"/>
      <c r="ASE21" s="16"/>
      <c r="ASF21" s="2185"/>
      <c r="ASG21" s="16"/>
      <c r="ASH21" s="2185"/>
      <c r="ASI21" s="16"/>
      <c r="ASJ21" s="2185"/>
      <c r="ASK21" s="16"/>
      <c r="ASL21" s="2185"/>
      <c r="ASM21" s="16"/>
      <c r="ASN21" s="2185"/>
      <c r="ASO21" s="16"/>
      <c r="ASP21" s="2185"/>
      <c r="ASQ21" s="16"/>
      <c r="ASR21" s="2185"/>
      <c r="ASS21" s="16"/>
      <c r="AST21" s="2185"/>
      <c r="ASU21" s="16"/>
      <c r="ASV21" s="2185"/>
      <c r="ASW21" s="16"/>
      <c r="ASX21" s="2185"/>
      <c r="ASY21" s="16"/>
      <c r="ASZ21" s="2185"/>
      <c r="ATA21" s="16"/>
      <c r="ATB21" s="2185"/>
      <c r="ATC21" s="16"/>
      <c r="ATD21" s="2185"/>
      <c r="ATE21" s="16"/>
      <c r="ATF21" s="2185"/>
      <c r="ATG21" s="16"/>
      <c r="ATH21" s="2185"/>
      <c r="ATI21" s="16"/>
      <c r="ATJ21" s="2185"/>
      <c r="ATK21" s="16"/>
      <c r="ATL21" s="2185"/>
      <c r="ATM21" s="16"/>
      <c r="ATN21" s="2185"/>
      <c r="ATO21" s="16"/>
      <c r="ATP21" s="2185"/>
      <c r="ATQ21" s="16"/>
      <c r="ATR21" s="2185"/>
      <c r="ATS21" s="16"/>
      <c r="ATT21" s="2185"/>
      <c r="ATU21" s="16"/>
      <c r="ATV21" s="2185"/>
      <c r="ATW21" s="16"/>
      <c r="ATX21" s="2185"/>
      <c r="ATY21" s="16"/>
      <c r="ATZ21" s="2185"/>
      <c r="AUA21" s="16"/>
      <c r="AUB21" s="2185"/>
      <c r="AUC21" s="16"/>
      <c r="AUD21" s="2185"/>
      <c r="AUE21" s="16"/>
      <c r="AUF21" s="2185"/>
      <c r="AUG21" s="16"/>
      <c r="AUH21" s="2185"/>
      <c r="AUI21" s="16"/>
      <c r="AUJ21" s="2185"/>
      <c r="AUK21" s="16"/>
      <c r="AUL21" s="2185"/>
      <c r="AUM21" s="16"/>
      <c r="AUN21" s="2185"/>
      <c r="AUO21" s="16"/>
      <c r="AUP21" s="2185"/>
      <c r="AUQ21" s="16"/>
      <c r="AUR21" s="2185"/>
      <c r="AUS21" s="16"/>
      <c r="AUT21" s="2185"/>
      <c r="AUU21" s="16"/>
      <c r="AUV21" s="2185"/>
      <c r="AUW21" s="16"/>
      <c r="AUX21" s="2185"/>
      <c r="AUY21" s="16"/>
      <c r="AUZ21" s="2185"/>
      <c r="AVA21" s="16"/>
      <c r="AVB21" s="2185"/>
      <c r="AVC21" s="16"/>
      <c r="AVD21" s="2185"/>
      <c r="AVE21" s="16"/>
      <c r="AVF21" s="2185"/>
      <c r="AVG21" s="16"/>
      <c r="AVH21" s="2185"/>
      <c r="AVI21" s="16"/>
      <c r="AVJ21" s="2185"/>
      <c r="AVK21" s="16"/>
      <c r="AVL21" s="2185"/>
      <c r="AVM21" s="16"/>
      <c r="AVN21" s="2185"/>
      <c r="AVO21" s="16"/>
      <c r="AVP21" s="2185"/>
      <c r="AVQ21" s="16"/>
      <c r="AVR21" s="2185"/>
      <c r="AVS21" s="16"/>
      <c r="AVT21" s="2185"/>
      <c r="AVU21" s="16"/>
      <c r="AVV21" s="2185"/>
      <c r="AVW21" s="16"/>
      <c r="AVX21" s="2185"/>
      <c r="AVY21" s="16"/>
      <c r="AVZ21" s="2185"/>
      <c r="AWA21" s="16"/>
      <c r="AWB21" s="2185"/>
      <c r="AWC21" s="16"/>
      <c r="AWD21" s="2185"/>
      <c r="AWE21" s="16"/>
      <c r="AWF21" s="2185"/>
      <c r="AWG21" s="16"/>
      <c r="AWH21" s="2185"/>
      <c r="AWI21" s="16"/>
      <c r="AWJ21" s="2185"/>
      <c r="AWK21" s="16"/>
      <c r="AWL21" s="2185"/>
      <c r="AWM21" s="16"/>
      <c r="AWN21" s="2185"/>
      <c r="AWO21" s="16"/>
      <c r="AWP21" s="2185"/>
      <c r="AWQ21" s="16"/>
      <c r="AWR21" s="2185"/>
      <c r="AWS21" s="16"/>
      <c r="AWT21" s="2185"/>
      <c r="AWU21" s="16"/>
      <c r="AWV21" s="2185"/>
      <c r="AWW21" s="16"/>
      <c r="AWX21" s="2185"/>
      <c r="AWY21" s="16"/>
      <c r="AWZ21" s="2185"/>
      <c r="AXA21" s="16"/>
      <c r="AXB21" s="2185"/>
      <c r="AXC21" s="16"/>
      <c r="AXD21" s="2185"/>
      <c r="AXE21" s="16"/>
      <c r="AXF21" s="2185"/>
      <c r="AXG21" s="16"/>
      <c r="AXH21" s="2185"/>
      <c r="AXI21" s="16"/>
      <c r="AXJ21" s="2185"/>
      <c r="AXK21" s="16"/>
      <c r="AXL21" s="2185"/>
      <c r="AXM21" s="16"/>
      <c r="AXN21" s="2185"/>
      <c r="AXO21" s="16"/>
      <c r="AXP21" s="2185"/>
      <c r="AXQ21" s="16"/>
      <c r="AXR21" s="2185"/>
      <c r="AXS21" s="16"/>
      <c r="AXT21" s="2185"/>
      <c r="AXU21" s="16"/>
      <c r="AXV21" s="2185"/>
      <c r="AXW21" s="16"/>
      <c r="AXX21" s="2185"/>
      <c r="AXY21" s="16"/>
      <c r="AXZ21" s="2185"/>
      <c r="AYA21" s="16"/>
      <c r="AYB21" s="2185"/>
      <c r="AYC21" s="16"/>
      <c r="AYD21" s="2185"/>
      <c r="AYE21" s="16"/>
      <c r="AYF21" s="2185"/>
      <c r="AYG21" s="16"/>
      <c r="AYH21" s="2185"/>
      <c r="AYI21" s="16"/>
      <c r="AYJ21" s="2185"/>
      <c r="AYK21" s="16"/>
      <c r="AYL21" s="2185"/>
      <c r="AYM21" s="16"/>
      <c r="AYN21" s="2185"/>
      <c r="AYO21" s="16"/>
      <c r="AYP21" s="2185"/>
      <c r="AYQ21" s="16"/>
      <c r="AYR21" s="2185"/>
      <c r="AYS21" s="16"/>
      <c r="AYT21" s="2185"/>
      <c r="AYU21" s="16"/>
      <c r="AYV21" s="2185"/>
      <c r="AYW21" s="16"/>
      <c r="AYX21" s="2185"/>
      <c r="AYY21" s="16"/>
      <c r="AYZ21" s="2185"/>
      <c r="AZA21" s="16"/>
      <c r="AZB21" s="2185"/>
      <c r="AZC21" s="16"/>
      <c r="AZD21" s="2185"/>
      <c r="AZE21" s="16"/>
      <c r="AZF21" s="2185"/>
      <c r="AZG21" s="16"/>
      <c r="AZH21" s="2185"/>
      <c r="AZI21" s="16"/>
      <c r="AZJ21" s="2185"/>
      <c r="AZK21" s="16"/>
      <c r="AZL21" s="2185"/>
      <c r="AZM21" s="16"/>
      <c r="AZN21" s="2185"/>
      <c r="AZO21" s="16"/>
      <c r="AZP21" s="2185"/>
      <c r="AZQ21" s="16"/>
      <c r="AZR21" s="2185"/>
      <c r="AZS21" s="16"/>
      <c r="AZT21" s="2185"/>
      <c r="AZU21" s="16"/>
      <c r="AZV21" s="2185"/>
      <c r="AZW21" s="16"/>
      <c r="AZX21" s="2185"/>
      <c r="AZY21" s="16"/>
      <c r="AZZ21" s="2185"/>
      <c r="BAA21" s="16"/>
      <c r="BAB21" s="2185"/>
      <c r="BAC21" s="16"/>
      <c r="BAD21" s="2185"/>
      <c r="BAE21" s="16"/>
      <c r="BAF21" s="2185"/>
      <c r="BAG21" s="16"/>
      <c r="BAH21" s="2185"/>
      <c r="BAI21" s="16"/>
      <c r="BAJ21" s="2185"/>
      <c r="BAK21" s="16"/>
      <c r="BAL21" s="2185"/>
      <c r="BAM21" s="16"/>
      <c r="BAN21" s="2185"/>
      <c r="BAO21" s="16"/>
      <c r="BAP21" s="2185"/>
      <c r="BAQ21" s="16"/>
      <c r="BAR21" s="2185"/>
      <c r="BAS21" s="16"/>
      <c r="BAT21" s="2185"/>
      <c r="BAU21" s="16"/>
      <c r="BAV21" s="2185"/>
      <c r="BAW21" s="16"/>
      <c r="BAX21" s="2185"/>
      <c r="BAY21" s="16"/>
      <c r="BAZ21" s="2185"/>
      <c r="BBA21" s="16"/>
      <c r="BBB21" s="2185"/>
      <c r="BBC21" s="16"/>
      <c r="BBD21" s="2185"/>
      <c r="BBE21" s="16"/>
      <c r="BBF21" s="2185"/>
      <c r="BBG21" s="16"/>
      <c r="BBH21" s="2185"/>
      <c r="BBI21" s="16"/>
      <c r="BBJ21" s="2185"/>
      <c r="BBK21" s="16"/>
      <c r="BBL21" s="2185"/>
      <c r="BBM21" s="16"/>
      <c r="BBN21" s="2185"/>
      <c r="BBO21" s="16"/>
      <c r="BBP21" s="2185"/>
      <c r="BBQ21" s="16"/>
      <c r="BBR21" s="2185"/>
      <c r="BBS21" s="16"/>
      <c r="BBT21" s="2185"/>
      <c r="BBU21" s="16"/>
      <c r="BBV21" s="2185"/>
      <c r="BBW21" s="16"/>
      <c r="BBX21" s="2185"/>
      <c r="BBY21" s="16"/>
      <c r="BBZ21" s="2185"/>
      <c r="BCA21" s="16"/>
      <c r="BCB21" s="2185"/>
      <c r="BCC21" s="16"/>
      <c r="BCD21" s="2185"/>
      <c r="BCE21" s="16"/>
      <c r="BCF21" s="2185"/>
      <c r="BCG21" s="16"/>
      <c r="BCH21" s="2185"/>
      <c r="BCI21" s="16"/>
      <c r="BCJ21" s="2185"/>
      <c r="BCK21" s="16"/>
      <c r="BCL21" s="2185"/>
      <c r="BCM21" s="16"/>
      <c r="BCN21" s="2185"/>
      <c r="BCO21" s="16"/>
      <c r="BCP21" s="2185"/>
      <c r="BCQ21" s="16"/>
      <c r="BCR21" s="2185"/>
      <c r="BCS21" s="16"/>
      <c r="BCT21" s="2185"/>
      <c r="BCU21" s="16"/>
      <c r="BCV21" s="2185"/>
      <c r="BCW21" s="16"/>
      <c r="BCX21" s="2185"/>
      <c r="BCY21" s="16"/>
      <c r="BCZ21" s="2185"/>
      <c r="BDA21" s="16"/>
      <c r="BDB21" s="2185"/>
      <c r="BDC21" s="16"/>
      <c r="BDD21" s="2185"/>
      <c r="BDE21" s="16"/>
      <c r="BDF21" s="2185"/>
      <c r="BDG21" s="16"/>
      <c r="BDH21" s="2185"/>
      <c r="BDI21" s="16"/>
      <c r="BDJ21" s="2185"/>
      <c r="BDK21" s="16"/>
      <c r="BDL21" s="2185"/>
      <c r="BDM21" s="16"/>
      <c r="BDN21" s="2185"/>
      <c r="BDO21" s="16"/>
      <c r="BDP21" s="2185"/>
      <c r="BDQ21" s="16"/>
      <c r="BDR21" s="2185"/>
      <c r="BDS21" s="16"/>
      <c r="BDT21" s="2185"/>
      <c r="BDU21" s="16"/>
      <c r="BDV21" s="2185"/>
      <c r="BDW21" s="16"/>
      <c r="BDX21" s="2185"/>
      <c r="BDY21" s="16"/>
      <c r="BDZ21" s="2185"/>
      <c r="BEA21" s="16"/>
      <c r="BEB21" s="2185"/>
      <c r="BEC21" s="16"/>
      <c r="BED21" s="2185"/>
      <c r="BEE21" s="16"/>
      <c r="BEF21" s="2185"/>
      <c r="BEG21" s="16"/>
      <c r="BEH21" s="2185"/>
      <c r="BEI21" s="16"/>
      <c r="BEJ21" s="2185"/>
      <c r="BEK21" s="16"/>
      <c r="BEL21" s="2185"/>
      <c r="BEM21" s="16"/>
      <c r="BEN21" s="2185"/>
      <c r="BEO21" s="16"/>
      <c r="BEP21" s="2185"/>
      <c r="BEQ21" s="16"/>
      <c r="BER21" s="2185"/>
      <c r="BES21" s="16"/>
      <c r="BET21" s="2185"/>
      <c r="BEU21" s="16"/>
      <c r="BEV21" s="2185"/>
      <c r="BEW21" s="16"/>
      <c r="BEX21" s="2185"/>
      <c r="BEY21" s="16"/>
      <c r="BEZ21" s="2185"/>
      <c r="BFA21" s="16"/>
      <c r="BFB21" s="2185"/>
      <c r="BFC21" s="16"/>
      <c r="BFD21" s="2185"/>
      <c r="BFE21" s="16"/>
      <c r="BFF21" s="2185"/>
      <c r="BFG21" s="16"/>
      <c r="BFH21" s="2185"/>
      <c r="BFI21" s="16"/>
      <c r="BFJ21" s="2185"/>
      <c r="BFK21" s="16"/>
      <c r="BFL21" s="2185"/>
      <c r="BFM21" s="16"/>
      <c r="BFN21" s="2185"/>
      <c r="BFO21" s="16"/>
      <c r="BFP21" s="2185"/>
      <c r="BFQ21" s="16"/>
      <c r="BFR21" s="2185"/>
      <c r="BFS21" s="16"/>
      <c r="BFT21" s="2185"/>
      <c r="BFU21" s="16"/>
      <c r="BFV21" s="2185"/>
      <c r="BFW21" s="16"/>
      <c r="BFX21" s="2185"/>
      <c r="BFY21" s="16"/>
      <c r="BFZ21" s="2185"/>
      <c r="BGA21" s="16"/>
      <c r="BGB21" s="2185"/>
      <c r="BGC21" s="16"/>
      <c r="BGD21" s="2185"/>
      <c r="BGE21" s="16"/>
      <c r="BGF21" s="2185"/>
      <c r="BGG21" s="16"/>
      <c r="BGH21" s="2185"/>
      <c r="BGI21" s="16"/>
      <c r="BGJ21" s="2185"/>
      <c r="BGK21" s="16"/>
      <c r="BGL21" s="2185"/>
      <c r="BGM21" s="16"/>
      <c r="BGN21" s="2185"/>
      <c r="BGO21" s="16"/>
      <c r="BGP21" s="2185"/>
      <c r="BGQ21" s="16"/>
      <c r="BGR21" s="2185"/>
      <c r="BGS21" s="16"/>
      <c r="BGT21" s="2185"/>
      <c r="BGU21" s="16"/>
      <c r="BGV21" s="2185"/>
      <c r="BGW21" s="16"/>
      <c r="BGX21" s="2185"/>
      <c r="BGY21" s="16"/>
      <c r="BGZ21" s="2185"/>
      <c r="BHA21" s="16"/>
      <c r="BHB21" s="2185"/>
      <c r="BHC21" s="16"/>
      <c r="BHD21" s="2185"/>
      <c r="BHE21" s="16"/>
      <c r="BHF21" s="2185"/>
      <c r="BHG21" s="16"/>
      <c r="BHH21" s="2185"/>
      <c r="BHI21" s="16"/>
      <c r="BHJ21" s="2185"/>
      <c r="BHK21" s="16"/>
      <c r="BHL21" s="2185"/>
      <c r="BHM21" s="16"/>
      <c r="BHN21" s="2185"/>
      <c r="BHO21" s="16"/>
      <c r="BHP21" s="2185"/>
      <c r="BHQ21" s="16"/>
      <c r="BHR21" s="2185"/>
      <c r="BHS21" s="16"/>
      <c r="BHT21" s="2185"/>
      <c r="BHU21" s="16"/>
      <c r="BHV21" s="2185"/>
      <c r="BHW21" s="16"/>
      <c r="BHX21" s="2185"/>
      <c r="BHY21" s="16"/>
      <c r="BHZ21" s="2185"/>
      <c r="BIA21" s="16"/>
      <c r="BIB21" s="2185"/>
      <c r="BIC21" s="16"/>
      <c r="BID21" s="2185"/>
      <c r="BIE21" s="16"/>
      <c r="BIF21" s="2185"/>
      <c r="BIG21" s="16"/>
      <c r="BIH21" s="2185"/>
      <c r="BII21" s="16"/>
      <c r="BIJ21" s="2185"/>
      <c r="BIK21" s="16"/>
      <c r="BIL21" s="2185"/>
      <c r="BIM21" s="16"/>
      <c r="BIN21" s="2185"/>
      <c r="BIO21" s="16"/>
      <c r="BIP21" s="2185"/>
      <c r="BIQ21" s="16"/>
      <c r="BIR21" s="2185"/>
      <c r="BIS21" s="16"/>
      <c r="BIT21" s="2185"/>
      <c r="BIU21" s="16"/>
      <c r="BIV21" s="2185"/>
      <c r="BIW21" s="16"/>
      <c r="BIX21" s="2185"/>
      <c r="BIY21" s="16"/>
      <c r="BIZ21" s="2185"/>
      <c r="BJA21" s="16"/>
      <c r="BJB21" s="2185"/>
      <c r="BJC21" s="16"/>
      <c r="BJD21" s="2185"/>
      <c r="BJE21" s="16"/>
      <c r="BJF21" s="2185"/>
      <c r="BJG21" s="16"/>
      <c r="BJH21" s="2185"/>
      <c r="BJI21" s="16"/>
      <c r="BJJ21" s="2185"/>
      <c r="BJK21" s="16"/>
      <c r="BJL21" s="2185"/>
      <c r="BJM21" s="16"/>
      <c r="BJN21" s="2185"/>
      <c r="BJO21" s="16"/>
      <c r="BJP21" s="2185"/>
      <c r="BJQ21" s="16"/>
      <c r="BJR21" s="2185"/>
      <c r="BJS21" s="16"/>
      <c r="BJT21" s="2185"/>
      <c r="BJU21" s="16"/>
      <c r="BJV21" s="2185"/>
      <c r="BJW21" s="16"/>
      <c r="BJX21" s="2185"/>
      <c r="BJY21" s="16"/>
      <c r="BJZ21" s="2185"/>
      <c r="BKA21" s="16"/>
      <c r="BKB21" s="2185"/>
      <c r="BKC21" s="16"/>
      <c r="BKD21" s="2185"/>
      <c r="BKE21" s="16"/>
      <c r="BKF21" s="2185"/>
      <c r="BKG21" s="16"/>
      <c r="BKH21" s="2185"/>
      <c r="BKI21" s="16"/>
      <c r="BKJ21" s="2185"/>
      <c r="BKK21" s="16"/>
      <c r="BKL21" s="2185"/>
      <c r="BKM21" s="16"/>
      <c r="BKN21" s="2185"/>
      <c r="BKO21" s="16"/>
      <c r="BKP21" s="2185"/>
      <c r="BKQ21" s="16"/>
      <c r="BKR21" s="2185"/>
      <c r="BKS21" s="16"/>
      <c r="BKT21" s="2185"/>
      <c r="BKU21" s="16"/>
      <c r="BKV21" s="2185"/>
      <c r="BKW21" s="16"/>
      <c r="BKX21" s="2185"/>
      <c r="BKY21" s="16"/>
      <c r="BKZ21" s="2185"/>
      <c r="BLA21" s="16"/>
      <c r="BLB21" s="2185"/>
      <c r="BLC21" s="16"/>
      <c r="BLD21" s="2185"/>
      <c r="BLE21" s="16"/>
      <c r="BLF21" s="2185"/>
      <c r="BLG21" s="16"/>
      <c r="BLH21" s="2185"/>
      <c r="BLI21" s="16"/>
      <c r="BLJ21" s="2185"/>
      <c r="BLK21" s="16"/>
      <c r="BLL21" s="2185"/>
      <c r="BLM21" s="16"/>
      <c r="BLN21" s="2185"/>
      <c r="BLO21" s="16"/>
      <c r="BLP21" s="2185"/>
      <c r="BLQ21" s="16"/>
      <c r="BLR21" s="2185"/>
      <c r="BLS21" s="16"/>
      <c r="BLT21" s="2185"/>
      <c r="BLU21" s="16"/>
      <c r="BLV21" s="2185"/>
      <c r="BLW21" s="16"/>
      <c r="BLX21" s="2185"/>
      <c r="BLY21" s="16"/>
      <c r="BLZ21" s="2185"/>
      <c r="BMA21" s="16"/>
      <c r="BMB21" s="2185"/>
      <c r="BMC21" s="16"/>
      <c r="BMD21" s="2185"/>
      <c r="BME21" s="16"/>
      <c r="BMF21" s="2185"/>
      <c r="BMG21" s="16"/>
      <c r="BMH21" s="2185"/>
      <c r="BMI21" s="16"/>
      <c r="BMJ21" s="2185"/>
      <c r="BMK21" s="16"/>
      <c r="BML21" s="2185"/>
      <c r="BMM21" s="16"/>
      <c r="BMN21" s="2185"/>
      <c r="BMO21" s="16"/>
      <c r="BMP21" s="2185"/>
      <c r="BMQ21" s="16"/>
      <c r="BMR21" s="2185"/>
      <c r="BMS21" s="16"/>
      <c r="BMT21" s="2185"/>
      <c r="BMU21" s="16"/>
      <c r="BMV21" s="2185"/>
      <c r="BMW21" s="16"/>
      <c r="BMX21" s="2185"/>
      <c r="BMY21" s="16"/>
      <c r="BMZ21" s="2185"/>
      <c r="BNA21" s="16"/>
      <c r="BNB21" s="2185"/>
      <c r="BNC21" s="16"/>
      <c r="BND21" s="2185"/>
      <c r="BNE21" s="16"/>
      <c r="BNF21" s="2185"/>
      <c r="BNG21" s="16"/>
      <c r="BNH21" s="2185"/>
      <c r="BNI21" s="16"/>
      <c r="BNJ21" s="2185"/>
      <c r="BNK21" s="16"/>
      <c r="BNL21" s="2185"/>
      <c r="BNM21" s="16"/>
      <c r="BNN21" s="2185"/>
      <c r="BNO21" s="16"/>
      <c r="BNP21" s="2185"/>
      <c r="BNQ21" s="16"/>
      <c r="BNR21" s="2185"/>
      <c r="BNS21" s="16"/>
      <c r="BNT21" s="2185"/>
      <c r="BNU21" s="16"/>
      <c r="BNV21" s="2185"/>
      <c r="BNW21" s="16"/>
      <c r="BNX21" s="2185"/>
      <c r="BNY21" s="16"/>
      <c r="BNZ21" s="2185"/>
      <c r="BOA21" s="16"/>
      <c r="BOB21" s="2185"/>
      <c r="BOC21" s="16"/>
      <c r="BOD21" s="2185"/>
      <c r="BOE21" s="16"/>
      <c r="BOF21" s="2185"/>
      <c r="BOG21" s="16"/>
      <c r="BOH21" s="2185"/>
      <c r="BOI21" s="16"/>
      <c r="BOJ21" s="2185"/>
      <c r="BOK21" s="16"/>
      <c r="BOL21" s="2185"/>
      <c r="BOM21" s="16"/>
      <c r="BON21" s="2185"/>
      <c r="BOO21" s="16"/>
      <c r="BOP21" s="2185"/>
      <c r="BOQ21" s="16"/>
      <c r="BOR21" s="2185"/>
      <c r="BOS21" s="16"/>
      <c r="BOT21" s="2185"/>
      <c r="BOU21" s="16"/>
      <c r="BOV21" s="2185"/>
      <c r="BOW21" s="16"/>
      <c r="BOX21" s="2185"/>
      <c r="BOY21" s="16"/>
      <c r="BOZ21" s="2185"/>
      <c r="BPA21" s="16"/>
      <c r="BPB21" s="2185"/>
      <c r="BPC21" s="16"/>
      <c r="BPD21" s="2185"/>
      <c r="BPE21" s="16"/>
      <c r="BPF21" s="2185"/>
      <c r="BPG21" s="16"/>
      <c r="BPH21" s="2185"/>
      <c r="BPI21" s="16"/>
      <c r="BPJ21" s="2185"/>
      <c r="BPK21" s="16"/>
      <c r="BPL21" s="2185"/>
      <c r="BPM21" s="16"/>
      <c r="BPN21" s="2185"/>
      <c r="BPO21" s="16"/>
      <c r="BPP21" s="2185"/>
      <c r="BPQ21" s="16"/>
      <c r="BPR21" s="2185"/>
      <c r="BPS21" s="16"/>
      <c r="BPT21" s="2185"/>
      <c r="BPU21" s="16"/>
      <c r="BPV21" s="2185"/>
      <c r="BPW21" s="16"/>
      <c r="BPX21" s="2185"/>
      <c r="BPY21" s="16"/>
      <c r="BPZ21" s="2185"/>
      <c r="BQA21" s="16"/>
      <c r="BQB21" s="2185"/>
      <c r="BQC21" s="16"/>
      <c r="BQD21" s="2185"/>
      <c r="BQE21" s="16"/>
      <c r="BQF21" s="2185"/>
      <c r="BQG21" s="16"/>
      <c r="BQH21" s="2185"/>
      <c r="BQI21" s="16"/>
      <c r="BQJ21" s="2185"/>
      <c r="BQK21" s="16"/>
      <c r="BQL21" s="2185"/>
      <c r="BQM21" s="16"/>
      <c r="BQN21" s="2185"/>
      <c r="BQO21" s="16"/>
      <c r="BQP21" s="2185"/>
      <c r="BQQ21" s="16"/>
      <c r="BQR21" s="2185"/>
      <c r="BQS21" s="16"/>
      <c r="BQT21" s="2185"/>
      <c r="BQU21" s="16"/>
      <c r="BQV21" s="2185"/>
      <c r="BQW21" s="16"/>
      <c r="BQX21" s="2185"/>
      <c r="BQY21" s="16"/>
      <c r="BQZ21" s="2185"/>
      <c r="BRA21" s="16"/>
      <c r="BRB21" s="2185"/>
      <c r="BRC21" s="16"/>
      <c r="BRD21" s="2185"/>
      <c r="BRE21" s="16"/>
      <c r="BRF21" s="2185"/>
      <c r="BRG21" s="16"/>
      <c r="BRH21" s="2185"/>
      <c r="BRI21" s="16"/>
      <c r="BRJ21" s="2185"/>
      <c r="BRK21" s="16"/>
      <c r="BRL21" s="2185"/>
      <c r="BRM21" s="16"/>
      <c r="BRN21" s="2185"/>
      <c r="BRO21" s="16"/>
      <c r="BRP21" s="2185"/>
      <c r="BRQ21" s="16"/>
      <c r="BRR21" s="2185"/>
      <c r="BRS21" s="16"/>
      <c r="BRT21" s="2185"/>
      <c r="BRU21" s="16"/>
      <c r="BRV21" s="2185"/>
      <c r="BRW21" s="16"/>
      <c r="BRX21" s="2185"/>
      <c r="BRY21" s="16"/>
      <c r="BRZ21" s="2185"/>
      <c r="BSA21" s="16"/>
      <c r="BSB21" s="2185"/>
      <c r="BSC21" s="16"/>
      <c r="BSD21" s="2185"/>
      <c r="BSE21" s="16"/>
      <c r="BSF21" s="2185"/>
      <c r="BSG21" s="16"/>
      <c r="BSH21" s="2185"/>
      <c r="BSI21" s="16"/>
      <c r="BSJ21" s="2185"/>
      <c r="BSK21" s="16"/>
      <c r="BSL21" s="2185"/>
      <c r="BSM21" s="16"/>
      <c r="BSN21" s="2185"/>
      <c r="BSO21" s="16"/>
      <c r="BSP21" s="2185"/>
      <c r="BSQ21" s="16"/>
      <c r="BSR21" s="2185"/>
      <c r="BSS21" s="16"/>
      <c r="BST21" s="2185"/>
      <c r="BSU21" s="16"/>
      <c r="BSV21" s="2185"/>
      <c r="BSW21" s="16"/>
      <c r="BSX21" s="2185"/>
      <c r="BSY21" s="16"/>
      <c r="BSZ21" s="2185"/>
      <c r="BTA21" s="16"/>
      <c r="BTB21" s="2185"/>
      <c r="BTC21" s="16"/>
      <c r="BTD21" s="2185"/>
      <c r="BTE21" s="16"/>
      <c r="BTF21" s="2185"/>
      <c r="BTG21" s="16"/>
      <c r="BTH21" s="2185"/>
      <c r="BTI21" s="16"/>
      <c r="BTJ21" s="2185"/>
      <c r="BTK21" s="16"/>
      <c r="BTL21" s="2185"/>
      <c r="BTM21" s="16"/>
      <c r="BTN21" s="2185"/>
      <c r="BTO21" s="16"/>
      <c r="BTP21" s="2185"/>
      <c r="BTQ21" s="16"/>
      <c r="BTR21" s="2185"/>
      <c r="BTS21" s="16"/>
      <c r="BTT21" s="2185"/>
      <c r="BTU21" s="16"/>
      <c r="BTV21" s="2185"/>
      <c r="BTW21" s="16"/>
      <c r="BTX21" s="2185"/>
      <c r="BTY21" s="16"/>
      <c r="BTZ21" s="2185"/>
      <c r="BUA21" s="16"/>
      <c r="BUB21" s="2185"/>
      <c r="BUC21" s="16"/>
      <c r="BUD21" s="2185"/>
      <c r="BUE21" s="16"/>
      <c r="BUF21" s="2185"/>
      <c r="BUG21" s="16"/>
      <c r="BUH21" s="2185"/>
      <c r="BUI21" s="16"/>
      <c r="BUJ21" s="2185"/>
      <c r="BUK21" s="16"/>
      <c r="BUL21" s="2185"/>
      <c r="BUM21" s="16"/>
      <c r="BUN21" s="2185"/>
      <c r="BUO21" s="16"/>
      <c r="BUP21" s="2185"/>
      <c r="BUQ21" s="16"/>
      <c r="BUR21" s="2185"/>
      <c r="BUS21" s="16"/>
      <c r="BUT21" s="2185"/>
      <c r="BUU21" s="16"/>
      <c r="BUV21" s="2185"/>
      <c r="BUW21" s="16"/>
      <c r="BUX21" s="2185"/>
      <c r="BUY21" s="16"/>
      <c r="BUZ21" s="2185"/>
      <c r="BVA21" s="16"/>
      <c r="BVB21" s="2185"/>
      <c r="BVC21" s="16"/>
      <c r="BVD21" s="2185"/>
      <c r="BVE21" s="16"/>
      <c r="BVF21" s="2185"/>
      <c r="BVG21" s="16"/>
      <c r="BVH21" s="2185"/>
      <c r="BVI21" s="16"/>
      <c r="BVJ21" s="2185"/>
      <c r="BVK21" s="16"/>
      <c r="BVL21" s="2185"/>
      <c r="BVM21" s="16"/>
      <c r="BVN21" s="2185"/>
      <c r="BVO21" s="16"/>
      <c r="BVP21" s="2185"/>
      <c r="BVQ21" s="16"/>
      <c r="BVR21" s="2185"/>
      <c r="BVS21" s="16"/>
      <c r="BVT21" s="2185"/>
      <c r="BVU21" s="16"/>
      <c r="BVV21" s="2185"/>
      <c r="BVW21" s="16"/>
      <c r="BVX21" s="2185"/>
      <c r="BVY21" s="16"/>
      <c r="BVZ21" s="2185"/>
      <c r="BWA21" s="16"/>
      <c r="BWB21" s="2185"/>
      <c r="BWC21" s="16"/>
      <c r="BWD21" s="2185"/>
      <c r="BWE21" s="16"/>
      <c r="BWF21" s="2185"/>
      <c r="BWG21" s="16"/>
      <c r="BWH21" s="2185"/>
      <c r="BWI21" s="16"/>
      <c r="BWJ21" s="2185"/>
      <c r="BWK21" s="16"/>
      <c r="BWL21" s="2185"/>
      <c r="BWM21" s="16"/>
      <c r="BWN21" s="2185"/>
      <c r="BWO21" s="16"/>
      <c r="BWP21" s="2185"/>
      <c r="BWQ21" s="16"/>
      <c r="BWR21" s="2185"/>
      <c r="BWS21" s="16"/>
      <c r="BWT21" s="2185"/>
      <c r="BWU21" s="16"/>
      <c r="BWV21" s="2185"/>
      <c r="BWW21" s="16"/>
      <c r="BWX21" s="2185"/>
      <c r="BWY21" s="16"/>
      <c r="BWZ21" s="2185"/>
      <c r="BXA21" s="16"/>
      <c r="BXB21" s="2185"/>
      <c r="BXC21" s="16"/>
      <c r="BXD21" s="2185"/>
      <c r="BXE21" s="16"/>
      <c r="BXF21" s="2185"/>
      <c r="BXG21" s="16"/>
      <c r="BXH21" s="2185"/>
      <c r="BXI21" s="16"/>
      <c r="BXJ21" s="2185"/>
      <c r="BXK21" s="16"/>
      <c r="BXL21" s="2185"/>
      <c r="BXM21" s="16"/>
      <c r="BXN21" s="2185"/>
      <c r="BXO21" s="16"/>
      <c r="BXP21" s="2185"/>
      <c r="BXQ21" s="16"/>
      <c r="BXR21" s="2185"/>
      <c r="BXS21" s="16"/>
      <c r="BXT21" s="2185"/>
      <c r="BXU21" s="16"/>
      <c r="BXV21" s="2185"/>
      <c r="BXW21" s="16"/>
      <c r="BXX21" s="2185"/>
      <c r="BXY21" s="16"/>
      <c r="BXZ21" s="2185"/>
      <c r="BYA21" s="16"/>
      <c r="BYB21" s="2185"/>
      <c r="BYC21" s="16"/>
      <c r="BYD21" s="2185"/>
      <c r="BYE21" s="16"/>
      <c r="BYF21" s="2185"/>
      <c r="BYG21" s="16"/>
      <c r="BYH21" s="2185"/>
      <c r="BYI21" s="16"/>
      <c r="BYJ21" s="2185"/>
      <c r="BYK21" s="16"/>
      <c r="BYL21" s="2185"/>
      <c r="BYM21" s="16"/>
      <c r="BYN21" s="2185"/>
      <c r="BYO21" s="16"/>
      <c r="BYP21" s="2185"/>
      <c r="BYQ21" s="16"/>
      <c r="BYR21" s="2185"/>
      <c r="BYS21" s="16"/>
      <c r="BYT21" s="2185"/>
      <c r="BYU21" s="16"/>
      <c r="BYV21" s="2185"/>
      <c r="BYW21" s="16"/>
      <c r="BYX21" s="2185"/>
      <c r="BYY21" s="16"/>
      <c r="BYZ21" s="2185"/>
      <c r="BZA21" s="16"/>
      <c r="BZB21" s="2185"/>
      <c r="BZC21" s="16"/>
      <c r="BZD21" s="2185"/>
      <c r="BZE21" s="16"/>
      <c r="BZF21" s="2185"/>
      <c r="BZG21" s="16"/>
      <c r="BZH21" s="2185"/>
      <c r="BZI21" s="16"/>
      <c r="BZJ21" s="2185"/>
      <c r="BZK21" s="16"/>
      <c r="BZL21" s="2185"/>
      <c r="BZM21" s="16"/>
      <c r="BZN21" s="2185"/>
      <c r="BZO21" s="16"/>
      <c r="BZP21" s="2185"/>
      <c r="BZQ21" s="16"/>
      <c r="BZR21" s="2185"/>
      <c r="BZS21" s="16"/>
      <c r="BZT21" s="2185"/>
      <c r="BZU21" s="16"/>
      <c r="BZV21" s="2185"/>
      <c r="BZW21" s="16"/>
      <c r="BZX21" s="2185"/>
      <c r="BZY21" s="16"/>
      <c r="BZZ21" s="2185"/>
      <c r="CAA21" s="16"/>
      <c r="CAB21" s="2185"/>
      <c r="CAC21" s="16"/>
      <c r="CAD21" s="2185"/>
      <c r="CAE21" s="16"/>
      <c r="CAF21" s="2185"/>
      <c r="CAG21" s="16"/>
      <c r="CAH21" s="2185"/>
      <c r="CAI21" s="16"/>
      <c r="CAJ21" s="2185"/>
      <c r="CAK21" s="16"/>
      <c r="CAL21" s="2185"/>
      <c r="CAM21" s="16"/>
      <c r="CAN21" s="2185"/>
      <c r="CAO21" s="16"/>
      <c r="CAP21" s="2185"/>
      <c r="CAQ21" s="16"/>
      <c r="CAR21" s="2185"/>
      <c r="CAS21" s="16"/>
      <c r="CAT21" s="2185"/>
      <c r="CAU21" s="16"/>
      <c r="CAV21" s="2185"/>
      <c r="CAW21" s="16"/>
      <c r="CAX21" s="2185"/>
      <c r="CAY21" s="16"/>
      <c r="CAZ21" s="2185"/>
      <c r="CBA21" s="16"/>
      <c r="CBB21" s="2185"/>
      <c r="CBC21" s="16"/>
      <c r="CBD21" s="2185"/>
      <c r="CBE21" s="16"/>
      <c r="CBF21" s="2185"/>
      <c r="CBG21" s="16"/>
      <c r="CBH21" s="2185"/>
      <c r="CBI21" s="16"/>
      <c r="CBJ21" s="2185"/>
      <c r="CBK21" s="16"/>
      <c r="CBL21" s="2185"/>
      <c r="CBM21" s="16"/>
      <c r="CBN21" s="2185"/>
      <c r="CBO21" s="16"/>
      <c r="CBP21" s="2185"/>
      <c r="CBQ21" s="16"/>
      <c r="CBR21" s="2185"/>
      <c r="CBS21" s="16"/>
      <c r="CBT21" s="2185"/>
      <c r="CBU21" s="16"/>
      <c r="CBV21" s="2185"/>
      <c r="CBW21" s="16"/>
      <c r="CBX21" s="2185"/>
      <c r="CBY21" s="16"/>
      <c r="CBZ21" s="2185"/>
      <c r="CCA21" s="16"/>
      <c r="CCB21" s="2185"/>
      <c r="CCC21" s="16"/>
      <c r="CCD21" s="2185"/>
      <c r="CCE21" s="16"/>
      <c r="CCF21" s="2185"/>
      <c r="CCG21" s="16"/>
      <c r="CCH21" s="2185"/>
      <c r="CCI21" s="16"/>
      <c r="CCJ21" s="2185"/>
      <c r="CCK21" s="16"/>
      <c r="CCL21" s="2185"/>
      <c r="CCM21" s="16"/>
      <c r="CCN21" s="2185"/>
      <c r="CCO21" s="16"/>
      <c r="CCP21" s="2185"/>
      <c r="CCQ21" s="16"/>
      <c r="CCR21" s="2185"/>
      <c r="CCS21" s="16"/>
      <c r="CCT21" s="2185"/>
      <c r="CCU21" s="16"/>
      <c r="CCV21" s="2185"/>
      <c r="CCW21" s="16"/>
      <c r="CCX21" s="2185"/>
      <c r="CCY21" s="16"/>
      <c r="CCZ21" s="2185"/>
      <c r="CDA21" s="16"/>
      <c r="CDB21" s="2185"/>
      <c r="CDC21" s="16"/>
      <c r="CDD21" s="2185"/>
      <c r="CDE21" s="16"/>
      <c r="CDF21" s="2185"/>
      <c r="CDG21" s="16"/>
      <c r="CDH21" s="2185"/>
      <c r="CDI21" s="16"/>
      <c r="CDJ21" s="2185"/>
      <c r="CDK21" s="16"/>
      <c r="CDL21" s="2185"/>
      <c r="CDM21" s="16"/>
      <c r="CDN21" s="2185"/>
      <c r="CDO21" s="16"/>
      <c r="CDP21" s="2185"/>
      <c r="CDQ21" s="16"/>
      <c r="CDR21" s="2185"/>
      <c r="CDS21" s="16"/>
      <c r="CDT21" s="2185"/>
      <c r="CDU21" s="16"/>
      <c r="CDV21" s="2185"/>
      <c r="CDW21" s="16"/>
      <c r="CDX21" s="2185"/>
      <c r="CDY21" s="16"/>
      <c r="CDZ21" s="2185"/>
      <c r="CEA21" s="16"/>
      <c r="CEB21" s="2185"/>
      <c r="CEC21" s="16"/>
      <c r="CED21" s="2185"/>
      <c r="CEE21" s="16"/>
      <c r="CEF21" s="2185"/>
      <c r="CEG21" s="16"/>
      <c r="CEH21" s="2185"/>
      <c r="CEI21" s="16"/>
      <c r="CEJ21" s="2185"/>
      <c r="CEK21" s="16"/>
      <c r="CEL21" s="2185"/>
      <c r="CEM21" s="16"/>
      <c r="CEN21" s="2185"/>
      <c r="CEO21" s="16"/>
      <c r="CEP21" s="2185"/>
      <c r="CEQ21" s="16"/>
      <c r="CER21" s="2185"/>
      <c r="CES21" s="16"/>
      <c r="CET21" s="2185"/>
      <c r="CEU21" s="16"/>
      <c r="CEV21" s="2185"/>
      <c r="CEW21" s="16"/>
      <c r="CEX21" s="2185"/>
      <c r="CEY21" s="16"/>
      <c r="CEZ21" s="2185"/>
      <c r="CFA21" s="16"/>
      <c r="CFB21" s="2185"/>
      <c r="CFC21" s="16"/>
      <c r="CFD21" s="2185"/>
      <c r="CFE21" s="16"/>
      <c r="CFF21" s="2185"/>
      <c r="CFG21" s="16"/>
      <c r="CFH21" s="2185"/>
      <c r="CFI21" s="16"/>
      <c r="CFJ21" s="2185"/>
      <c r="CFK21" s="16"/>
      <c r="CFL21" s="2185"/>
      <c r="CFM21" s="16"/>
      <c r="CFN21" s="2185"/>
      <c r="CFO21" s="16"/>
      <c r="CFP21" s="2185"/>
      <c r="CFQ21" s="16"/>
      <c r="CFR21" s="2185"/>
      <c r="CFS21" s="16"/>
      <c r="CFT21" s="2185"/>
      <c r="CFU21" s="16"/>
      <c r="CFV21" s="2185"/>
      <c r="CFW21" s="16"/>
      <c r="CFX21" s="2185"/>
      <c r="CFY21" s="16"/>
      <c r="CFZ21" s="2185"/>
      <c r="CGA21" s="16"/>
      <c r="CGB21" s="2185"/>
      <c r="CGC21" s="16"/>
      <c r="CGD21" s="2185"/>
      <c r="CGE21" s="16"/>
      <c r="CGF21" s="2185"/>
      <c r="CGG21" s="16"/>
      <c r="CGH21" s="2185"/>
      <c r="CGI21" s="16"/>
      <c r="CGJ21" s="2185"/>
      <c r="CGK21" s="16"/>
      <c r="CGL21" s="2185"/>
      <c r="CGM21" s="16"/>
      <c r="CGN21" s="2185"/>
      <c r="CGO21" s="16"/>
      <c r="CGP21" s="2185"/>
      <c r="CGQ21" s="16"/>
      <c r="CGR21" s="2185"/>
      <c r="CGS21" s="16"/>
      <c r="CGT21" s="2185"/>
      <c r="CGU21" s="16"/>
      <c r="CGV21" s="2185"/>
      <c r="CGW21" s="16"/>
      <c r="CGX21" s="2185"/>
      <c r="CGY21" s="16"/>
      <c r="CGZ21" s="2185"/>
      <c r="CHA21" s="16"/>
      <c r="CHB21" s="2185"/>
      <c r="CHC21" s="16"/>
      <c r="CHD21" s="2185"/>
      <c r="CHE21" s="16"/>
      <c r="CHF21" s="2185"/>
      <c r="CHG21" s="16"/>
      <c r="CHH21" s="2185"/>
      <c r="CHI21" s="16"/>
      <c r="CHJ21" s="2185"/>
      <c r="CHK21" s="16"/>
      <c r="CHL21" s="2185"/>
      <c r="CHM21" s="16"/>
      <c r="CHN21" s="2185"/>
      <c r="CHO21" s="16"/>
      <c r="CHP21" s="2185"/>
      <c r="CHQ21" s="16"/>
      <c r="CHR21" s="2185"/>
      <c r="CHS21" s="16"/>
      <c r="CHT21" s="2185"/>
      <c r="CHU21" s="16"/>
      <c r="CHV21" s="2185"/>
      <c r="CHW21" s="16"/>
      <c r="CHX21" s="2185"/>
      <c r="CHY21" s="16"/>
      <c r="CHZ21" s="2185"/>
      <c r="CIA21" s="16"/>
      <c r="CIB21" s="2185"/>
      <c r="CIC21" s="16"/>
      <c r="CID21" s="2185"/>
      <c r="CIE21" s="16"/>
      <c r="CIF21" s="2185"/>
      <c r="CIG21" s="16"/>
      <c r="CIH21" s="2185"/>
      <c r="CII21" s="16"/>
      <c r="CIJ21" s="2185"/>
      <c r="CIK21" s="16"/>
      <c r="CIL21" s="2185"/>
      <c r="CIM21" s="16"/>
      <c r="CIN21" s="2185"/>
      <c r="CIO21" s="16"/>
      <c r="CIP21" s="2185"/>
      <c r="CIQ21" s="16"/>
      <c r="CIR21" s="2185"/>
      <c r="CIS21" s="16"/>
      <c r="CIT21" s="2185"/>
      <c r="CIU21" s="16"/>
      <c r="CIV21" s="2185"/>
      <c r="CIW21" s="16"/>
      <c r="CIX21" s="2185"/>
      <c r="CIY21" s="16"/>
      <c r="CIZ21" s="2185"/>
      <c r="CJA21" s="16"/>
      <c r="CJB21" s="2185"/>
      <c r="CJC21" s="16"/>
      <c r="CJD21" s="2185"/>
      <c r="CJE21" s="16"/>
      <c r="CJF21" s="2185"/>
      <c r="CJG21" s="16"/>
      <c r="CJH21" s="2185"/>
      <c r="CJI21" s="16"/>
      <c r="CJJ21" s="2185"/>
      <c r="CJK21" s="16"/>
      <c r="CJL21" s="2185"/>
      <c r="CJM21" s="16"/>
      <c r="CJN21" s="2185"/>
      <c r="CJO21" s="16"/>
      <c r="CJP21" s="2185"/>
      <c r="CJQ21" s="16"/>
      <c r="CJR21" s="2185"/>
      <c r="CJS21" s="16"/>
      <c r="CJT21" s="2185"/>
      <c r="CJU21" s="16"/>
      <c r="CJV21" s="2185"/>
      <c r="CJW21" s="16"/>
      <c r="CJX21" s="2185"/>
      <c r="CJY21" s="16"/>
      <c r="CJZ21" s="2185"/>
      <c r="CKA21" s="16"/>
      <c r="CKB21" s="2185"/>
      <c r="CKC21" s="16"/>
      <c r="CKD21" s="2185"/>
      <c r="CKE21" s="16"/>
      <c r="CKF21" s="2185"/>
      <c r="CKG21" s="16"/>
      <c r="CKH21" s="2185"/>
      <c r="CKI21" s="16"/>
      <c r="CKJ21" s="2185"/>
      <c r="CKK21" s="16"/>
      <c r="CKL21" s="2185"/>
      <c r="CKM21" s="16"/>
      <c r="CKN21" s="2185"/>
      <c r="CKO21" s="16"/>
      <c r="CKP21" s="2185"/>
      <c r="CKQ21" s="16"/>
      <c r="CKR21" s="2185"/>
      <c r="CKS21" s="16"/>
      <c r="CKT21" s="2185"/>
      <c r="CKU21" s="16"/>
      <c r="CKV21" s="2185"/>
      <c r="CKW21" s="16"/>
      <c r="CKX21" s="2185"/>
      <c r="CKY21" s="16"/>
      <c r="CKZ21" s="2185"/>
      <c r="CLA21" s="16"/>
      <c r="CLB21" s="2185"/>
      <c r="CLC21" s="16"/>
      <c r="CLD21" s="2185"/>
      <c r="CLE21" s="16"/>
      <c r="CLF21" s="2185"/>
      <c r="CLG21" s="16"/>
      <c r="CLH21" s="2185"/>
      <c r="CLI21" s="16"/>
      <c r="CLJ21" s="2185"/>
      <c r="CLK21" s="16"/>
      <c r="CLL21" s="2185"/>
      <c r="CLM21" s="16"/>
      <c r="CLN21" s="2185"/>
      <c r="CLO21" s="16"/>
      <c r="CLP21" s="2185"/>
      <c r="CLQ21" s="16"/>
      <c r="CLR21" s="2185"/>
      <c r="CLS21" s="16"/>
      <c r="CLT21" s="2185"/>
      <c r="CLU21" s="16"/>
      <c r="CLV21" s="2185"/>
      <c r="CLW21" s="16"/>
      <c r="CLX21" s="2185"/>
      <c r="CLY21" s="16"/>
      <c r="CLZ21" s="2185"/>
      <c r="CMA21" s="16"/>
      <c r="CMB21" s="2185"/>
      <c r="CMC21" s="16"/>
      <c r="CMD21" s="2185"/>
      <c r="CME21" s="16"/>
      <c r="CMF21" s="2185"/>
      <c r="CMG21" s="16"/>
      <c r="CMH21" s="2185"/>
      <c r="CMI21" s="16"/>
      <c r="CMJ21" s="2185"/>
      <c r="CMK21" s="16"/>
      <c r="CML21" s="2185"/>
      <c r="CMM21" s="16"/>
      <c r="CMN21" s="2185"/>
      <c r="CMO21" s="16"/>
      <c r="CMP21" s="2185"/>
      <c r="CMQ21" s="16"/>
      <c r="CMR21" s="2185"/>
      <c r="CMS21" s="16"/>
      <c r="CMT21" s="2185"/>
      <c r="CMU21" s="16"/>
      <c r="CMV21" s="2185"/>
      <c r="CMW21" s="16"/>
      <c r="CMX21" s="2185"/>
      <c r="CMY21" s="16"/>
      <c r="CMZ21" s="2185"/>
      <c r="CNA21" s="16"/>
      <c r="CNB21" s="2185"/>
      <c r="CNC21" s="16"/>
      <c r="CND21" s="2185"/>
      <c r="CNE21" s="16"/>
      <c r="CNF21" s="2185"/>
      <c r="CNG21" s="16"/>
      <c r="CNH21" s="2185"/>
      <c r="CNI21" s="16"/>
      <c r="CNJ21" s="2185"/>
      <c r="CNK21" s="16"/>
      <c r="CNL21" s="2185"/>
      <c r="CNM21" s="16"/>
      <c r="CNN21" s="2185"/>
      <c r="CNO21" s="16"/>
      <c r="CNP21" s="2185"/>
      <c r="CNQ21" s="16"/>
      <c r="CNR21" s="2185"/>
      <c r="CNS21" s="16"/>
      <c r="CNT21" s="2185"/>
      <c r="CNU21" s="16"/>
      <c r="CNV21" s="2185"/>
      <c r="CNW21" s="16"/>
      <c r="CNX21" s="2185"/>
      <c r="CNY21" s="16"/>
      <c r="CNZ21" s="2185"/>
      <c r="COA21" s="16"/>
      <c r="COB21" s="2185"/>
      <c r="COC21" s="16"/>
      <c r="COD21" s="2185"/>
      <c r="COE21" s="16"/>
      <c r="COF21" s="2185"/>
      <c r="COG21" s="16"/>
      <c r="COH21" s="2185"/>
      <c r="COI21" s="16"/>
      <c r="COJ21" s="2185"/>
      <c r="COK21" s="16"/>
      <c r="COL21" s="2185"/>
      <c r="COM21" s="16"/>
      <c r="CON21" s="2185"/>
      <c r="COO21" s="16"/>
      <c r="COP21" s="2185"/>
      <c r="COQ21" s="16"/>
      <c r="COR21" s="2185"/>
      <c r="COS21" s="16"/>
      <c r="COT21" s="2185"/>
      <c r="COU21" s="16"/>
      <c r="COV21" s="2185"/>
      <c r="COW21" s="16"/>
      <c r="COX21" s="2185"/>
      <c r="COY21" s="16"/>
      <c r="COZ21" s="2185"/>
      <c r="CPA21" s="16"/>
      <c r="CPB21" s="2185"/>
      <c r="CPC21" s="16"/>
      <c r="CPD21" s="2185"/>
      <c r="CPE21" s="16"/>
      <c r="CPF21" s="2185"/>
      <c r="CPG21" s="16"/>
      <c r="CPH21" s="2185"/>
      <c r="CPI21" s="16"/>
      <c r="CPJ21" s="2185"/>
      <c r="CPK21" s="16"/>
      <c r="CPL21" s="2185"/>
      <c r="CPM21" s="16"/>
      <c r="CPN21" s="2185"/>
      <c r="CPO21" s="16"/>
      <c r="CPP21" s="2185"/>
      <c r="CPQ21" s="16"/>
      <c r="CPR21" s="2185"/>
      <c r="CPS21" s="16"/>
      <c r="CPT21" s="2185"/>
      <c r="CPU21" s="16"/>
      <c r="CPV21" s="2185"/>
      <c r="CPW21" s="16"/>
      <c r="CPX21" s="2185"/>
      <c r="CPY21" s="16"/>
      <c r="CPZ21" s="2185"/>
      <c r="CQA21" s="16"/>
      <c r="CQB21" s="2185"/>
      <c r="CQC21" s="16"/>
      <c r="CQD21" s="2185"/>
      <c r="CQE21" s="16"/>
      <c r="CQF21" s="2185"/>
      <c r="CQG21" s="16"/>
      <c r="CQH21" s="2185"/>
      <c r="CQI21" s="16"/>
      <c r="CQJ21" s="2185"/>
      <c r="CQK21" s="16"/>
      <c r="CQL21" s="2185"/>
      <c r="CQM21" s="16"/>
      <c r="CQN21" s="2185"/>
      <c r="CQO21" s="16"/>
      <c r="CQP21" s="2185"/>
      <c r="CQQ21" s="16"/>
      <c r="CQR21" s="2185"/>
      <c r="CQS21" s="16"/>
      <c r="CQT21" s="2185"/>
      <c r="CQU21" s="16"/>
      <c r="CQV21" s="2185"/>
      <c r="CQW21" s="16"/>
      <c r="CQX21" s="2185"/>
      <c r="CQY21" s="16"/>
      <c r="CQZ21" s="2185"/>
      <c r="CRA21" s="16"/>
      <c r="CRB21" s="2185"/>
      <c r="CRC21" s="16"/>
      <c r="CRD21" s="2185"/>
      <c r="CRE21" s="16"/>
      <c r="CRF21" s="2185"/>
      <c r="CRG21" s="16"/>
      <c r="CRH21" s="2185"/>
      <c r="CRI21" s="16"/>
      <c r="CRJ21" s="2185"/>
      <c r="CRK21" s="16"/>
      <c r="CRL21" s="2185"/>
      <c r="CRM21" s="16"/>
      <c r="CRN21" s="2185"/>
      <c r="CRO21" s="16"/>
      <c r="CRP21" s="2185"/>
      <c r="CRQ21" s="16"/>
      <c r="CRR21" s="2185"/>
      <c r="CRS21" s="16"/>
      <c r="CRT21" s="2185"/>
      <c r="CRU21" s="16"/>
      <c r="CRV21" s="2185"/>
      <c r="CRW21" s="16"/>
      <c r="CRX21" s="2185"/>
      <c r="CRY21" s="16"/>
      <c r="CRZ21" s="2185"/>
      <c r="CSA21" s="16"/>
      <c r="CSB21" s="2185"/>
      <c r="CSC21" s="16"/>
      <c r="CSD21" s="2185"/>
      <c r="CSE21" s="16"/>
      <c r="CSF21" s="2185"/>
      <c r="CSG21" s="16"/>
      <c r="CSH21" s="2185"/>
      <c r="CSI21" s="16"/>
      <c r="CSJ21" s="2185"/>
      <c r="CSK21" s="16"/>
      <c r="CSL21" s="2185"/>
      <c r="CSM21" s="16"/>
      <c r="CSN21" s="2185"/>
      <c r="CSO21" s="16"/>
      <c r="CSP21" s="2185"/>
      <c r="CSQ21" s="16"/>
      <c r="CSR21" s="2185"/>
      <c r="CSS21" s="16"/>
      <c r="CST21" s="2185"/>
      <c r="CSU21" s="16"/>
      <c r="CSV21" s="2185"/>
      <c r="CSW21" s="16"/>
      <c r="CSX21" s="2185"/>
      <c r="CSY21" s="16"/>
      <c r="CSZ21" s="2185"/>
      <c r="CTA21" s="16"/>
      <c r="CTB21" s="2185"/>
      <c r="CTC21" s="16"/>
      <c r="CTD21" s="2185"/>
      <c r="CTE21" s="16"/>
      <c r="CTF21" s="2185"/>
      <c r="CTG21" s="16"/>
      <c r="CTH21" s="2185"/>
      <c r="CTI21" s="16"/>
      <c r="CTJ21" s="2185"/>
      <c r="CTK21" s="16"/>
      <c r="CTL21" s="2185"/>
      <c r="CTM21" s="16"/>
      <c r="CTN21" s="2185"/>
      <c r="CTO21" s="16"/>
      <c r="CTP21" s="2185"/>
      <c r="CTQ21" s="16"/>
      <c r="CTR21" s="2185"/>
      <c r="CTS21" s="16"/>
      <c r="CTT21" s="2185"/>
      <c r="CTU21" s="16"/>
      <c r="CTV21" s="2185"/>
      <c r="CTW21" s="16"/>
      <c r="CTX21" s="2185"/>
      <c r="CTY21" s="16"/>
      <c r="CTZ21" s="2185"/>
      <c r="CUA21" s="16"/>
      <c r="CUB21" s="2185"/>
      <c r="CUC21" s="16"/>
      <c r="CUD21" s="2185"/>
      <c r="CUE21" s="16"/>
      <c r="CUF21" s="2185"/>
      <c r="CUG21" s="16"/>
      <c r="CUH21" s="2185"/>
      <c r="CUI21" s="16"/>
      <c r="CUJ21" s="2185"/>
      <c r="CUK21" s="16"/>
      <c r="CUL21" s="2185"/>
      <c r="CUM21" s="16"/>
      <c r="CUN21" s="2185"/>
      <c r="CUO21" s="16"/>
      <c r="CUP21" s="2185"/>
      <c r="CUQ21" s="16"/>
      <c r="CUR21" s="2185"/>
      <c r="CUS21" s="16"/>
      <c r="CUT21" s="2185"/>
      <c r="CUU21" s="16"/>
      <c r="CUV21" s="2185"/>
      <c r="CUW21" s="16"/>
      <c r="CUX21" s="2185"/>
      <c r="CUY21" s="16"/>
      <c r="CUZ21" s="2185"/>
      <c r="CVA21" s="16"/>
      <c r="CVB21" s="2185"/>
      <c r="CVC21" s="16"/>
      <c r="CVD21" s="2185"/>
      <c r="CVE21" s="16"/>
      <c r="CVF21" s="2185"/>
      <c r="CVG21" s="16"/>
      <c r="CVH21" s="2185"/>
      <c r="CVI21" s="16"/>
      <c r="CVJ21" s="2185"/>
      <c r="CVK21" s="16"/>
      <c r="CVL21" s="2185"/>
      <c r="CVM21" s="16"/>
      <c r="CVN21" s="2185"/>
      <c r="CVO21" s="16"/>
      <c r="CVP21" s="2185"/>
      <c r="CVQ21" s="16"/>
      <c r="CVR21" s="2185"/>
      <c r="CVS21" s="16"/>
      <c r="CVT21" s="2185"/>
      <c r="CVU21" s="16"/>
      <c r="CVV21" s="2185"/>
      <c r="CVW21" s="16"/>
      <c r="CVX21" s="2185"/>
      <c r="CVY21" s="16"/>
      <c r="CVZ21" s="2185"/>
      <c r="CWA21" s="16"/>
      <c r="CWB21" s="2185"/>
      <c r="CWC21" s="16"/>
      <c r="CWD21" s="2185"/>
      <c r="CWE21" s="16"/>
      <c r="CWF21" s="2185"/>
      <c r="CWG21" s="16"/>
      <c r="CWH21" s="2185"/>
      <c r="CWI21" s="16"/>
      <c r="CWJ21" s="2185"/>
      <c r="CWK21" s="16"/>
      <c r="CWL21" s="2185"/>
      <c r="CWM21" s="16"/>
      <c r="CWN21" s="2185"/>
      <c r="CWO21" s="16"/>
      <c r="CWP21" s="2185"/>
      <c r="CWQ21" s="16"/>
      <c r="CWR21" s="2185"/>
      <c r="CWS21" s="16"/>
      <c r="CWT21" s="2185"/>
      <c r="CWU21" s="16"/>
      <c r="CWV21" s="2185"/>
      <c r="CWW21" s="16"/>
      <c r="CWX21" s="2185"/>
      <c r="CWY21" s="16"/>
      <c r="CWZ21" s="2185"/>
      <c r="CXA21" s="16"/>
      <c r="CXB21" s="2185"/>
      <c r="CXC21" s="16"/>
      <c r="CXD21" s="2185"/>
      <c r="CXE21" s="16"/>
      <c r="CXF21" s="2185"/>
      <c r="CXG21" s="16"/>
      <c r="CXH21" s="2185"/>
      <c r="CXI21" s="16"/>
      <c r="CXJ21" s="2185"/>
      <c r="CXK21" s="16"/>
      <c r="CXL21" s="2185"/>
      <c r="CXM21" s="16"/>
      <c r="CXN21" s="2185"/>
      <c r="CXO21" s="16"/>
      <c r="CXP21" s="2185"/>
      <c r="CXQ21" s="16"/>
      <c r="CXR21" s="2185"/>
      <c r="CXS21" s="16"/>
      <c r="CXT21" s="2185"/>
      <c r="CXU21" s="16"/>
      <c r="CXV21" s="2185"/>
      <c r="CXW21" s="16"/>
      <c r="CXX21" s="2185"/>
      <c r="CXY21" s="16"/>
      <c r="CXZ21" s="2185"/>
      <c r="CYA21" s="16"/>
      <c r="CYB21" s="2185"/>
      <c r="CYC21" s="16"/>
      <c r="CYD21" s="2185"/>
      <c r="CYE21" s="16"/>
      <c r="CYF21" s="2185"/>
      <c r="CYG21" s="16"/>
      <c r="CYH21" s="2185"/>
      <c r="CYI21" s="16"/>
      <c r="CYJ21" s="2185"/>
      <c r="CYK21" s="16"/>
      <c r="CYL21" s="2185"/>
      <c r="CYM21" s="16"/>
      <c r="CYN21" s="2185"/>
      <c r="CYO21" s="16"/>
      <c r="CYP21" s="2185"/>
      <c r="CYQ21" s="16"/>
      <c r="CYR21" s="2185"/>
      <c r="CYS21" s="16"/>
      <c r="CYT21" s="2185"/>
      <c r="CYU21" s="16"/>
      <c r="CYV21" s="2185"/>
      <c r="CYW21" s="16"/>
      <c r="CYX21" s="2185"/>
      <c r="CYY21" s="16"/>
      <c r="CYZ21" s="2185"/>
      <c r="CZA21" s="16"/>
      <c r="CZB21" s="2185"/>
      <c r="CZC21" s="16"/>
      <c r="CZD21" s="2185"/>
      <c r="CZE21" s="16"/>
      <c r="CZF21" s="2185"/>
      <c r="CZG21" s="16"/>
      <c r="CZH21" s="2185"/>
      <c r="CZI21" s="16"/>
      <c r="CZJ21" s="2185"/>
      <c r="CZK21" s="16"/>
      <c r="CZL21" s="2185"/>
      <c r="CZM21" s="16"/>
      <c r="CZN21" s="2185"/>
      <c r="CZO21" s="16"/>
      <c r="CZP21" s="2185"/>
      <c r="CZQ21" s="16"/>
      <c r="CZR21" s="2185"/>
      <c r="CZS21" s="16"/>
      <c r="CZT21" s="2185"/>
      <c r="CZU21" s="16"/>
      <c r="CZV21" s="2185"/>
      <c r="CZW21" s="16"/>
      <c r="CZX21" s="2185"/>
      <c r="CZY21" s="16"/>
      <c r="CZZ21" s="2185"/>
      <c r="DAA21" s="16"/>
      <c r="DAB21" s="2185"/>
      <c r="DAC21" s="16"/>
      <c r="DAD21" s="2185"/>
      <c r="DAE21" s="16"/>
      <c r="DAF21" s="2185"/>
      <c r="DAG21" s="16"/>
      <c r="DAH21" s="2185"/>
      <c r="DAI21" s="16"/>
      <c r="DAJ21" s="2185"/>
      <c r="DAK21" s="16"/>
      <c r="DAL21" s="2185"/>
      <c r="DAM21" s="16"/>
      <c r="DAN21" s="2185"/>
      <c r="DAO21" s="16"/>
      <c r="DAP21" s="2185"/>
      <c r="DAQ21" s="16"/>
      <c r="DAR21" s="2185"/>
      <c r="DAS21" s="16"/>
      <c r="DAT21" s="2185"/>
      <c r="DAU21" s="16"/>
      <c r="DAV21" s="2185"/>
      <c r="DAW21" s="16"/>
      <c r="DAX21" s="2185"/>
      <c r="DAY21" s="16"/>
      <c r="DAZ21" s="2185"/>
      <c r="DBA21" s="16"/>
      <c r="DBB21" s="2185"/>
      <c r="DBC21" s="16"/>
      <c r="DBD21" s="2185"/>
      <c r="DBE21" s="16"/>
      <c r="DBF21" s="2185"/>
      <c r="DBG21" s="16"/>
      <c r="DBH21" s="2185"/>
      <c r="DBI21" s="16"/>
      <c r="DBJ21" s="2185"/>
      <c r="DBK21" s="16"/>
      <c r="DBL21" s="2185"/>
      <c r="DBM21" s="16"/>
      <c r="DBN21" s="2185"/>
      <c r="DBO21" s="16"/>
      <c r="DBP21" s="2185"/>
      <c r="DBQ21" s="16"/>
      <c r="DBR21" s="2185"/>
      <c r="DBS21" s="16"/>
      <c r="DBT21" s="2185"/>
      <c r="DBU21" s="16"/>
      <c r="DBV21" s="2185"/>
      <c r="DBW21" s="16"/>
      <c r="DBX21" s="2185"/>
      <c r="DBY21" s="16"/>
      <c r="DBZ21" s="2185"/>
      <c r="DCA21" s="16"/>
      <c r="DCB21" s="2185"/>
      <c r="DCC21" s="16"/>
      <c r="DCD21" s="2185"/>
      <c r="DCE21" s="16"/>
      <c r="DCF21" s="2185"/>
      <c r="DCG21" s="16"/>
      <c r="DCH21" s="2185"/>
      <c r="DCI21" s="16"/>
      <c r="DCJ21" s="2185"/>
      <c r="DCK21" s="16"/>
      <c r="DCL21" s="2185"/>
      <c r="DCM21" s="16"/>
      <c r="DCN21" s="2185"/>
      <c r="DCO21" s="16"/>
      <c r="DCP21" s="2185"/>
      <c r="DCQ21" s="16"/>
      <c r="DCR21" s="2185"/>
      <c r="DCS21" s="16"/>
      <c r="DCT21" s="2185"/>
      <c r="DCU21" s="16"/>
      <c r="DCV21" s="2185"/>
      <c r="DCW21" s="16"/>
      <c r="DCX21" s="2185"/>
      <c r="DCY21" s="16"/>
      <c r="DCZ21" s="2185"/>
      <c r="DDA21" s="16"/>
      <c r="DDB21" s="2185"/>
      <c r="DDC21" s="16"/>
      <c r="DDD21" s="2185"/>
      <c r="DDE21" s="16"/>
      <c r="DDF21" s="2185"/>
      <c r="DDG21" s="16"/>
      <c r="DDH21" s="2185"/>
      <c r="DDI21" s="16"/>
      <c r="DDJ21" s="2185"/>
      <c r="DDK21" s="16"/>
      <c r="DDL21" s="2185"/>
      <c r="DDM21" s="16"/>
      <c r="DDN21" s="2185"/>
      <c r="DDO21" s="16"/>
      <c r="DDP21" s="2185"/>
      <c r="DDQ21" s="16"/>
      <c r="DDR21" s="2185"/>
      <c r="DDS21" s="16"/>
      <c r="DDT21" s="2185"/>
      <c r="DDU21" s="16"/>
      <c r="DDV21" s="2185"/>
      <c r="DDW21" s="16"/>
      <c r="DDX21" s="2185"/>
      <c r="DDY21" s="16"/>
      <c r="DDZ21" s="2185"/>
      <c r="DEA21" s="16"/>
      <c r="DEB21" s="2185"/>
      <c r="DEC21" s="16"/>
      <c r="DED21" s="2185"/>
      <c r="DEE21" s="16"/>
      <c r="DEF21" s="2185"/>
      <c r="DEG21" s="16"/>
      <c r="DEH21" s="2185"/>
      <c r="DEI21" s="16"/>
      <c r="DEJ21" s="2185"/>
      <c r="DEK21" s="16"/>
      <c r="DEL21" s="2185"/>
      <c r="DEM21" s="16"/>
      <c r="DEN21" s="2185"/>
      <c r="DEO21" s="16"/>
      <c r="DEP21" s="2185"/>
      <c r="DEQ21" s="16"/>
      <c r="DER21" s="2185"/>
      <c r="DES21" s="16"/>
      <c r="DET21" s="2185"/>
      <c r="DEU21" s="16"/>
      <c r="DEV21" s="2185"/>
      <c r="DEW21" s="16"/>
      <c r="DEX21" s="2185"/>
      <c r="DEY21" s="16"/>
      <c r="DEZ21" s="2185"/>
      <c r="DFA21" s="16"/>
      <c r="DFB21" s="2185"/>
      <c r="DFC21" s="16"/>
      <c r="DFD21" s="2185"/>
      <c r="DFE21" s="16"/>
      <c r="DFF21" s="2185"/>
      <c r="DFG21" s="16"/>
      <c r="DFH21" s="2185"/>
      <c r="DFI21" s="16"/>
      <c r="DFJ21" s="2185"/>
      <c r="DFK21" s="16"/>
      <c r="DFL21" s="2185"/>
      <c r="DFM21" s="16"/>
      <c r="DFN21" s="2185"/>
      <c r="DFO21" s="16"/>
      <c r="DFP21" s="2185"/>
      <c r="DFQ21" s="16"/>
      <c r="DFR21" s="2185"/>
      <c r="DFS21" s="16"/>
      <c r="DFT21" s="2185"/>
      <c r="DFU21" s="16"/>
      <c r="DFV21" s="2185"/>
      <c r="DFW21" s="16"/>
      <c r="DFX21" s="2185"/>
      <c r="DFY21" s="16"/>
      <c r="DFZ21" s="2185"/>
      <c r="DGA21" s="16"/>
      <c r="DGB21" s="2185"/>
      <c r="DGC21" s="16"/>
      <c r="DGD21" s="2185"/>
      <c r="DGE21" s="16"/>
      <c r="DGF21" s="2185"/>
      <c r="DGG21" s="16"/>
      <c r="DGH21" s="2185"/>
      <c r="DGI21" s="16"/>
      <c r="DGJ21" s="2185"/>
      <c r="DGK21" s="16"/>
      <c r="DGL21" s="2185"/>
      <c r="DGM21" s="16"/>
      <c r="DGN21" s="2185"/>
      <c r="DGO21" s="16"/>
      <c r="DGP21" s="2185"/>
      <c r="DGQ21" s="16"/>
      <c r="DGR21" s="2185"/>
      <c r="DGS21" s="16"/>
      <c r="DGT21" s="2185"/>
      <c r="DGU21" s="16"/>
      <c r="DGV21" s="2185"/>
      <c r="DGW21" s="16"/>
      <c r="DGX21" s="2185"/>
      <c r="DGY21" s="16"/>
      <c r="DGZ21" s="2185"/>
      <c r="DHA21" s="16"/>
      <c r="DHB21" s="2185"/>
      <c r="DHC21" s="16"/>
      <c r="DHD21" s="2185"/>
      <c r="DHE21" s="16"/>
      <c r="DHF21" s="2185"/>
      <c r="DHG21" s="16"/>
      <c r="DHH21" s="2185"/>
      <c r="DHI21" s="16"/>
      <c r="DHJ21" s="2185"/>
      <c r="DHK21" s="16"/>
      <c r="DHL21" s="2185"/>
      <c r="DHM21" s="16"/>
      <c r="DHN21" s="2185"/>
      <c r="DHO21" s="16"/>
      <c r="DHP21" s="2185"/>
      <c r="DHQ21" s="16"/>
      <c r="DHR21" s="2185"/>
      <c r="DHS21" s="16"/>
      <c r="DHT21" s="2185"/>
      <c r="DHU21" s="16"/>
      <c r="DHV21" s="2185"/>
      <c r="DHW21" s="16"/>
      <c r="DHX21" s="2185"/>
      <c r="DHY21" s="16"/>
      <c r="DHZ21" s="2185"/>
      <c r="DIA21" s="16"/>
      <c r="DIB21" s="2185"/>
      <c r="DIC21" s="16"/>
      <c r="DID21" s="2185"/>
      <c r="DIE21" s="16"/>
      <c r="DIF21" s="2185"/>
      <c r="DIG21" s="16"/>
      <c r="DIH21" s="2185"/>
      <c r="DII21" s="16"/>
      <c r="DIJ21" s="2185"/>
      <c r="DIK21" s="16"/>
      <c r="DIL21" s="2185"/>
      <c r="DIM21" s="16"/>
      <c r="DIN21" s="2185"/>
      <c r="DIO21" s="16"/>
      <c r="DIP21" s="2185"/>
      <c r="DIQ21" s="16"/>
      <c r="DIR21" s="2185"/>
      <c r="DIS21" s="16"/>
      <c r="DIT21" s="2185"/>
      <c r="DIU21" s="16"/>
      <c r="DIV21" s="2185"/>
      <c r="DIW21" s="16"/>
      <c r="DIX21" s="2185"/>
      <c r="DIY21" s="16"/>
      <c r="DIZ21" s="2185"/>
      <c r="DJA21" s="16"/>
      <c r="DJB21" s="2185"/>
      <c r="DJC21" s="16"/>
      <c r="DJD21" s="2185"/>
      <c r="DJE21" s="16"/>
      <c r="DJF21" s="2185"/>
      <c r="DJG21" s="16"/>
      <c r="DJH21" s="2185"/>
      <c r="DJI21" s="16"/>
      <c r="DJJ21" s="2185"/>
      <c r="DJK21" s="16"/>
      <c r="DJL21" s="2185"/>
      <c r="DJM21" s="16"/>
      <c r="DJN21" s="2185"/>
      <c r="DJO21" s="16"/>
      <c r="DJP21" s="2185"/>
      <c r="DJQ21" s="16"/>
      <c r="DJR21" s="2185"/>
      <c r="DJS21" s="16"/>
      <c r="DJT21" s="2185"/>
      <c r="DJU21" s="16"/>
      <c r="DJV21" s="2185"/>
      <c r="DJW21" s="16"/>
      <c r="DJX21" s="2185"/>
      <c r="DJY21" s="16"/>
      <c r="DJZ21" s="2185"/>
      <c r="DKA21" s="16"/>
      <c r="DKB21" s="2185"/>
      <c r="DKC21" s="16"/>
      <c r="DKD21" s="2185"/>
      <c r="DKE21" s="16"/>
      <c r="DKF21" s="2185"/>
      <c r="DKG21" s="16"/>
      <c r="DKH21" s="2185"/>
      <c r="DKI21" s="16"/>
      <c r="DKJ21" s="2185"/>
      <c r="DKK21" s="16"/>
      <c r="DKL21" s="2185"/>
      <c r="DKM21" s="16"/>
      <c r="DKN21" s="2185"/>
      <c r="DKO21" s="16"/>
      <c r="DKP21" s="2185"/>
      <c r="DKQ21" s="16"/>
      <c r="DKR21" s="2185"/>
      <c r="DKS21" s="16"/>
      <c r="DKT21" s="2185"/>
      <c r="DKU21" s="16"/>
      <c r="DKV21" s="2185"/>
      <c r="DKW21" s="16"/>
      <c r="DKX21" s="2185"/>
      <c r="DKY21" s="16"/>
      <c r="DKZ21" s="2185"/>
      <c r="DLA21" s="16"/>
      <c r="DLB21" s="2185"/>
      <c r="DLC21" s="16"/>
      <c r="DLD21" s="2185"/>
      <c r="DLE21" s="16"/>
      <c r="DLF21" s="2185"/>
      <c r="DLG21" s="16"/>
      <c r="DLH21" s="2185"/>
      <c r="DLI21" s="16"/>
      <c r="DLJ21" s="2185"/>
      <c r="DLK21" s="16"/>
      <c r="DLL21" s="2185"/>
      <c r="DLM21" s="16"/>
      <c r="DLN21" s="2185"/>
      <c r="DLO21" s="16"/>
      <c r="DLP21" s="2185"/>
      <c r="DLQ21" s="16"/>
      <c r="DLR21" s="2185"/>
      <c r="DLS21" s="16"/>
      <c r="DLT21" s="2185"/>
      <c r="DLU21" s="16"/>
      <c r="DLV21" s="2185"/>
      <c r="DLW21" s="16"/>
      <c r="DLX21" s="2185"/>
      <c r="DLY21" s="16"/>
      <c r="DLZ21" s="2185"/>
      <c r="DMA21" s="16"/>
      <c r="DMB21" s="2185"/>
      <c r="DMC21" s="16"/>
      <c r="DMD21" s="2185"/>
      <c r="DME21" s="16"/>
      <c r="DMF21" s="2185"/>
      <c r="DMG21" s="16"/>
      <c r="DMH21" s="2185"/>
      <c r="DMI21" s="16"/>
      <c r="DMJ21" s="2185"/>
      <c r="DMK21" s="16"/>
      <c r="DML21" s="2185"/>
      <c r="DMM21" s="16"/>
      <c r="DMN21" s="2185"/>
      <c r="DMO21" s="16"/>
      <c r="DMP21" s="2185"/>
      <c r="DMQ21" s="16"/>
      <c r="DMR21" s="2185"/>
      <c r="DMS21" s="16"/>
      <c r="DMT21" s="2185"/>
      <c r="DMU21" s="16"/>
      <c r="DMV21" s="2185"/>
      <c r="DMW21" s="16"/>
      <c r="DMX21" s="2185"/>
      <c r="DMY21" s="16"/>
      <c r="DMZ21" s="2185"/>
      <c r="DNA21" s="16"/>
      <c r="DNB21" s="2185"/>
      <c r="DNC21" s="16"/>
      <c r="DND21" s="2185"/>
      <c r="DNE21" s="16"/>
      <c r="DNF21" s="2185"/>
      <c r="DNG21" s="16"/>
      <c r="DNH21" s="2185"/>
      <c r="DNI21" s="16"/>
      <c r="DNJ21" s="2185"/>
      <c r="DNK21" s="16"/>
      <c r="DNL21" s="2185"/>
      <c r="DNM21" s="16"/>
      <c r="DNN21" s="2185"/>
      <c r="DNO21" s="16"/>
      <c r="DNP21" s="2185"/>
      <c r="DNQ21" s="16"/>
      <c r="DNR21" s="2185"/>
      <c r="DNS21" s="16"/>
      <c r="DNT21" s="2185"/>
      <c r="DNU21" s="16"/>
      <c r="DNV21" s="2185"/>
      <c r="DNW21" s="16"/>
      <c r="DNX21" s="2185"/>
      <c r="DNY21" s="16"/>
      <c r="DNZ21" s="2185"/>
      <c r="DOA21" s="16"/>
      <c r="DOB21" s="2185"/>
      <c r="DOC21" s="16"/>
      <c r="DOD21" s="2185"/>
      <c r="DOE21" s="16"/>
      <c r="DOF21" s="2185"/>
      <c r="DOG21" s="16"/>
      <c r="DOH21" s="2185"/>
      <c r="DOI21" s="16"/>
      <c r="DOJ21" s="2185"/>
      <c r="DOK21" s="16"/>
      <c r="DOL21" s="2185"/>
      <c r="DOM21" s="16"/>
      <c r="DON21" s="2185"/>
      <c r="DOO21" s="16"/>
      <c r="DOP21" s="2185"/>
      <c r="DOQ21" s="16"/>
      <c r="DOR21" s="2185"/>
      <c r="DOS21" s="16"/>
      <c r="DOT21" s="2185"/>
      <c r="DOU21" s="16"/>
      <c r="DOV21" s="2185"/>
      <c r="DOW21" s="16"/>
      <c r="DOX21" s="2185"/>
      <c r="DOY21" s="16"/>
      <c r="DOZ21" s="2185"/>
      <c r="DPA21" s="16"/>
      <c r="DPB21" s="2185"/>
      <c r="DPC21" s="16"/>
      <c r="DPD21" s="2185"/>
      <c r="DPE21" s="16"/>
      <c r="DPF21" s="2185"/>
      <c r="DPG21" s="16"/>
      <c r="DPH21" s="2185"/>
      <c r="DPI21" s="16"/>
      <c r="DPJ21" s="2185"/>
      <c r="DPK21" s="16"/>
      <c r="DPL21" s="2185"/>
      <c r="DPM21" s="16"/>
      <c r="DPN21" s="2185"/>
      <c r="DPO21" s="16"/>
      <c r="DPP21" s="2185"/>
      <c r="DPQ21" s="16"/>
      <c r="DPR21" s="2185"/>
      <c r="DPS21" s="16"/>
      <c r="DPT21" s="2185"/>
      <c r="DPU21" s="16"/>
      <c r="DPV21" s="2185"/>
      <c r="DPW21" s="16"/>
      <c r="DPX21" s="2185"/>
      <c r="DPY21" s="16"/>
      <c r="DPZ21" s="2185"/>
      <c r="DQA21" s="16"/>
      <c r="DQB21" s="2185"/>
      <c r="DQC21" s="16"/>
      <c r="DQD21" s="2185"/>
      <c r="DQE21" s="16"/>
      <c r="DQF21" s="2185"/>
      <c r="DQG21" s="16"/>
      <c r="DQH21" s="2185"/>
      <c r="DQI21" s="16"/>
      <c r="DQJ21" s="2185"/>
      <c r="DQK21" s="16"/>
      <c r="DQL21" s="2185"/>
      <c r="DQM21" s="16"/>
      <c r="DQN21" s="2185"/>
      <c r="DQO21" s="16"/>
      <c r="DQP21" s="2185"/>
      <c r="DQQ21" s="16"/>
      <c r="DQR21" s="2185"/>
      <c r="DQS21" s="16"/>
      <c r="DQT21" s="2185"/>
      <c r="DQU21" s="16"/>
      <c r="DQV21" s="2185"/>
      <c r="DQW21" s="16"/>
      <c r="DQX21" s="2185"/>
      <c r="DQY21" s="16"/>
      <c r="DQZ21" s="2185"/>
      <c r="DRA21" s="16"/>
      <c r="DRB21" s="2185"/>
      <c r="DRC21" s="16"/>
      <c r="DRD21" s="2185"/>
      <c r="DRE21" s="16"/>
      <c r="DRF21" s="2185"/>
      <c r="DRG21" s="16"/>
      <c r="DRH21" s="2185"/>
      <c r="DRI21" s="16"/>
      <c r="DRJ21" s="2185"/>
      <c r="DRK21" s="16"/>
      <c r="DRL21" s="2185"/>
      <c r="DRM21" s="16"/>
      <c r="DRN21" s="2185"/>
      <c r="DRO21" s="16"/>
      <c r="DRP21" s="2185"/>
      <c r="DRQ21" s="16"/>
      <c r="DRR21" s="2185"/>
      <c r="DRS21" s="16"/>
      <c r="DRT21" s="2185"/>
      <c r="DRU21" s="16"/>
      <c r="DRV21" s="2185"/>
      <c r="DRW21" s="16"/>
      <c r="DRX21" s="2185"/>
      <c r="DRY21" s="16"/>
      <c r="DRZ21" s="2185"/>
      <c r="DSA21" s="16"/>
      <c r="DSB21" s="2185"/>
      <c r="DSC21" s="16"/>
      <c r="DSD21" s="2185"/>
      <c r="DSE21" s="16"/>
      <c r="DSF21" s="2185"/>
      <c r="DSG21" s="16"/>
      <c r="DSH21" s="2185"/>
      <c r="DSI21" s="16"/>
      <c r="DSJ21" s="2185"/>
      <c r="DSK21" s="16"/>
      <c r="DSL21" s="2185"/>
      <c r="DSM21" s="16"/>
      <c r="DSN21" s="2185"/>
      <c r="DSO21" s="16"/>
      <c r="DSP21" s="2185"/>
      <c r="DSQ21" s="16"/>
      <c r="DSR21" s="2185"/>
      <c r="DSS21" s="16"/>
      <c r="DST21" s="2185"/>
      <c r="DSU21" s="16"/>
      <c r="DSV21" s="2185"/>
      <c r="DSW21" s="16"/>
      <c r="DSX21" s="2185"/>
      <c r="DSY21" s="16"/>
      <c r="DSZ21" s="2185"/>
      <c r="DTA21" s="16"/>
      <c r="DTB21" s="2185"/>
      <c r="DTC21" s="16"/>
      <c r="DTD21" s="2185"/>
      <c r="DTE21" s="16"/>
      <c r="DTF21" s="2185"/>
      <c r="DTG21" s="16"/>
      <c r="DTH21" s="2185"/>
      <c r="DTI21" s="16"/>
      <c r="DTJ21" s="2185"/>
      <c r="DTK21" s="16"/>
      <c r="DTL21" s="2185"/>
      <c r="DTM21" s="16"/>
      <c r="DTN21" s="2185"/>
      <c r="DTO21" s="16"/>
      <c r="DTP21" s="2185"/>
      <c r="DTQ21" s="16"/>
      <c r="DTR21" s="2185"/>
      <c r="DTS21" s="16"/>
      <c r="DTT21" s="2185"/>
      <c r="DTU21" s="16"/>
      <c r="DTV21" s="2185"/>
      <c r="DTW21" s="16"/>
      <c r="DTX21" s="2185"/>
      <c r="DTY21" s="16"/>
      <c r="DTZ21" s="2185"/>
      <c r="DUA21" s="16"/>
      <c r="DUB21" s="2185"/>
      <c r="DUC21" s="16"/>
      <c r="DUD21" s="2185"/>
      <c r="DUE21" s="16"/>
      <c r="DUF21" s="2185"/>
      <c r="DUG21" s="16"/>
      <c r="DUH21" s="2185"/>
      <c r="DUI21" s="16"/>
      <c r="DUJ21" s="2185"/>
      <c r="DUK21" s="16"/>
      <c r="DUL21" s="2185"/>
      <c r="DUM21" s="16"/>
      <c r="DUN21" s="2185"/>
      <c r="DUO21" s="16"/>
      <c r="DUP21" s="2185"/>
      <c r="DUQ21" s="16"/>
      <c r="DUR21" s="2185"/>
      <c r="DUS21" s="16"/>
      <c r="DUT21" s="2185"/>
      <c r="DUU21" s="16"/>
      <c r="DUV21" s="2185"/>
      <c r="DUW21" s="16"/>
      <c r="DUX21" s="2185"/>
      <c r="DUY21" s="16"/>
      <c r="DUZ21" s="2185"/>
      <c r="DVA21" s="16"/>
      <c r="DVB21" s="2185"/>
      <c r="DVC21" s="16"/>
      <c r="DVD21" s="2185"/>
      <c r="DVE21" s="16"/>
      <c r="DVF21" s="2185"/>
      <c r="DVG21" s="16"/>
      <c r="DVH21" s="2185"/>
      <c r="DVI21" s="16"/>
      <c r="DVJ21" s="2185"/>
      <c r="DVK21" s="16"/>
      <c r="DVL21" s="2185"/>
      <c r="DVM21" s="16"/>
      <c r="DVN21" s="2185"/>
      <c r="DVO21" s="16"/>
      <c r="DVP21" s="2185"/>
      <c r="DVQ21" s="16"/>
      <c r="DVR21" s="2185"/>
      <c r="DVS21" s="16"/>
      <c r="DVT21" s="2185"/>
      <c r="DVU21" s="16"/>
      <c r="DVV21" s="2185"/>
      <c r="DVW21" s="16"/>
      <c r="DVX21" s="2185"/>
      <c r="DVY21" s="16"/>
      <c r="DVZ21" s="2185"/>
      <c r="DWA21" s="16"/>
      <c r="DWB21" s="2185"/>
      <c r="DWC21" s="16"/>
      <c r="DWD21" s="2185"/>
      <c r="DWE21" s="16"/>
      <c r="DWF21" s="2185"/>
      <c r="DWG21" s="16"/>
      <c r="DWH21" s="2185"/>
      <c r="DWI21" s="16"/>
      <c r="DWJ21" s="2185"/>
      <c r="DWK21" s="16"/>
      <c r="DWL21" s="2185"/>
      <c r="DWM21" s="16"/>
      <c r="DWN21" s="2185"/>
      <c r="DWO21" s="16"/>
      <c r="DWP21" s="2185"/>
      <c r="DWQ21" s="16"/>
      <c r="DWR21" s="2185"/>
      <c r="DWS21" s="16"/>
      <c r="DWT21" s="2185"/>
      <c r="DWU21" s="16"/>
      <c r="DWV21" s="2185"/>
      <c r="DWW21" s="16"/>
      <c r="DWX21" s="2185"/>
      <c r="DWY21" s="16"/>
      <c r="DWZ21" s="2185"/>
      <c r="DXA21" s="16"/>
      <c r="DXB21" s="2185"/>
      <c r="DXC21" s="16"/>
      <c r="DXD21" s="2185"/>
      <c r="DXE21" s="16"/>
      <c r="DXF21" s="2185"/>
      <c r="DXG21" s="16"/>
      <c r="DXH21" s="2185"/>
      <c r="DXI21" s="16"/>
      <c r="DXJ21" s="2185"/>
      <c r="DXK21" s="16"/>
      <c r="DXL21" s="2185"/>
      <c r="DXM21" s="16"/>
      <c r="DXN21" s="2185"/>
      <c r="DXO21" s="16"/>
      <c r="DXP21" s="2185"/>
      <c r="DXQ21" s="16"/>
      <c r="DXR21" s="2185"/>
      <c r="DXS21" s="16"/>
      <c r="DXT21" s="2185"/>
      <c r="DXU21" s="16"/>
      <c r="DXV21" s="2185"/>
      <c r="DXW21" s="16"/>
      <c r="DXX21" s="2185"/>
      <c r="DXY21" s="16"/>
      <c r="DXZ21" s="2185"/>
      <c r="DYA21" s="16"/>
      <c r="DYB21" s="2185"/>
      <c r="DYC21" s="16"/>
      <c r="DYD21" s="2185"/>
      <c r="DYE21" s="16"/>
      <c r="DYF21" s="2185"/>
      <c r="DYG21" s="16"/>
      <c r="DYH21" s="2185"/>
      <c r="DYI21" s="16"/>
      <c r="DYJ21" s="2185"/>
      <c r="DYK21" s="16"/>
      <c r="DYL21" s="2185"/>
      <c r="DYM21" s="16"/>
      <c r="DYN21" s="2185"/>
      <c r="DYO21" s="16"/>
      <c r="DYP21" s="2185"/>
      <c r="DYQ21" s="16"/>
      <c r="DYR21" s="2185"/>
      <c r="DYS21" s="16"/>
      <c r="DYT21" s="2185"/>
      <c r="DYU21" s="16"/>
      <c r="DYV21" s="2185"/>
      <c r="DYW21" s="16"/>
      <c r="DYX21" s="2185"/>
      <c r="DYY21" s="16"/>
      <c r="DYZ21" s="2185"/>
      <c r="DZA21" s="16"/>
      <c r="DZB21" s="2185"/>
      <c r="DZC21" s="16"/>
      <c r="DZD21" s="2185"/>
      <c r="DZE21" s="16"/>
      <c r="DZF21" s="2185"/>
      <c r="DZG21" s="16"/>
      <c r="DZH21" s="2185"/>
      <c r="DZI21" s="16"/>
      <c r="DZJ21" s="2185"/>
      <c r="DZK21" s="16"/>
      <c r="DZL21" s="2185"/>
      <c r="DZM21" s="16"/>
      <c r="DZN21" s="2185"/>
      <c r="DZO21" s="16"/>
      <c r="DZP21" s="2185"/>
      <c r="DZQ21" s="16"/>
      <c r="DZR21" s="2185"/>
      <c r="DZS21" s="16"/>
      <c r="DZT21" s="2185"/>
      <c r="DZU21" s="16"/>
      <c r="DZV21" s="2185"/>
      <c r="DZW21" s="16"/>
      <c r="DZX21" s="2185"/>
      <c r="DZY21" s="16"/>
      <c r="DZZ21" s="2185"/>
      <c r="EAA21" s="16"/>
      <c r="EAB21" s="2185"/>
      <c r="EAC21" s="16"/>
      <c r="EAD21" s="2185"/>
      <c r="EAE21" s="16"/>
      <c r="EAF21" s="2185"/>
      <c r="EAG21" s="16"/>
      <c r="EAH21" s="2185"/>
      <c r="EAI21" s="16"/>
      <c r="EAJ21" s="2185"/>
      <c r="EAK21" s="16"/>
      <c r="EAL21" s="2185"/>
      <c r="EAM21" s="16"/>
      <c r="EAN21" s="2185"/>
      <c r="EAO21" s="16"/>
      <c r="EAP21" s="2185"/>
      <c r="EAQ21" s="16"/>
      <c r="EAR21" s="2185"/>
      <c r="EAS21" s="16"/>
      <c r="EAT21" s="2185"/>
      <c r="EAU21" s="16"/>
      <c r="EAV21" s="2185"/>
      <c r="EAW21" s="16"/>
      <c r="EAX21" s="2185"/>
      <c r="EAY21" s="16"/>
      <c r="EAZ21" s="2185"/>
      <c r="EBA21" s="16"/>
      <c r="EBB21" s="2185"/>
      <c r="EBC21" s="16"/>
      <c r="EBD21" s="2185"/>
      <c r="EBE21" s="16"/>
      <c r="EBF21" s="2185"/>
      <c r="EBG21" s="16"/>
      <c r="EBH21" s="2185"/>
      <c r="EBI21" s="16"/>
      <c r="EBJ21" s="2185"/>
      <c r="EBK21" s="16"/>
      <c r="EBL21" s="2185"/>
      <c r="EBM21" s="16"/>
      <c r="EBN21" s="2185"/>
      <c r="EBO21" s="16"/>
      <c r="EBP21" s="2185"/>
      <c r="EBQ21" s="16"/>
      <c r="EBR21" s="2185"/>
      <c r="EBS21" s="16"/>
      <c r="EBT21" s="2185"/>
      <c r="EBU21" s="16"/>
      <c r="EBV21" s="2185"/>
      <c r="EBW21" s="16"/>
      <c r="EBX21" s="2185"/>
      <c r="EBY21" s="16"/>
      <c r="EBZ21" s="2185"/>
      <c r="ECA21" s="16"/>
      <c r="ECB21" s="2185"/>
      <c r="ECC21" s="16"/>
      <c r="ECD21" s="2185"/>
      <c r="ECE21" s="16"/>
      <c r="ECF21" s="2185"/>
      <c r="ECG21" s="16"/>
      <c r="ECH21" s="2185"/>
      <c r="ECI21" s="16"/>
      <c r="ECJ21" s="2185"/>
      <c r="ECK21" s="16"/>
      <c r="ECL21" s="2185"/>
      <c r="ECM21" s="16"/>
      <c r="ECN21" s="2185"/>
      <c r="ECO21" s="16"/>
      <c r="ECP21" s="2185"/>
      <c r="ECQ21" s="16"/>
      <c r="ECR21" s="2185"/>
      <c r="ECS21" s="16"/>
      <c r="ECT21" s="2185"/>
      <c r="ECU21" s="16"/>
      <c r="ECV21" s="2185"/>
      <c r="ECW21" s="16"/>
      <c r="ECX21" s="2185"/>
      <c r="ECY21" s="16"/>
      <c r="ECZ21" s="2185"/>
      <c r="EDA21" s="16"/>
      <c r="EDB21" s="2185"/>
      <c r="EDC21" s="16"/>
      <c r="EDD21" s="2185"/>
      <c r="EDE21" s="16"/>
      <c r="EDF21" s="2185"/>
      <c r="EDG21" s="16"/>
      <c r="EDH21" s="2185"/>
      <c r="EDI21" s="16"/>
      <c r="EDJ21" s="2185"/>
      <c r="EDK21" s="16"/>
      <c r="EDL21" s="2185"/>
      <c r="EDM21" s="16"/>
      <c r="EDN21" s="2185"/>
      <c r="EDO21" s="16"/>
      <c r="EDP21" s="2185"/>
      <c r="EDQ21" s="16"/>
      <c r="EDR21" s="2185"/>
      <c r="EDS21" s="16"/>
      <c r="EDT21" s="2185"/>
      <c r="EDU21" s="16"/>
      <c r="EDV21" s="2185"/>
      <c r="EDW21" s="16"/>
      <c r="EDX21" s="2185"/>
      <c r="EDY21" s="16"/>
      <c r="EDZ21" s="2185"/>
      <c r="EEA21" s="16"/>
      <c r="EEB21" s="2185"/>
      <c r="EEC21" s="16"/>
      <c r="EED21" s="2185"/>
      <c r="EEE21" s="16"/>
      <c r="EEF21" s="2185"/>
      <c r="EEG21" s="16"/>
      <c r="EEH21" s="2185"/>
      <c r="EEI21" s="16"/>
      <c r="EEJ21" s="2185"/>
      <c r="EEK21" s="16"/>
      <c r="EEL21" s="2185"/>
      <c r="EEM21" s="16"/>
      <c r="EEN21" s="2185"/>
      <c r="EEO21" s="16"/>
      <c r="EEP21" s="2185"/>
      <c r="EEQ21" s="16"/>
      <c r="EER21" s="2185"/>
      <c r="EES21" s="16"/>
      <c r="EET21" s="2185"/>
      <c r="EEU21" s="16"/>
      <c r="EEV21" s="2185"/>
      <c r="EEW21" s="16"/>
      <c r="EEX21" s="2185"/>
      <c r="EEY21" s="16"/>
      <c r="EEZ21" s="2185"/>
      <c r="EFA21" s="16"/>
      <c r="EFB21" s="2185"/>
      <c r="EFC21" s="16"/>
      <c r="EFD21" s="2185"/>
      <c r="EFE21" s="16"/>
      <c r="EFF21" s="2185"/>
      <c r="EFG21" s="16"/>
      <c r="EFH21" s="2185"/>
      <c r="EFI21" s="16"/>
      <c r="EFJ21" s="2185"/>
      <c r="EFK21" s="16"/>
      <c r="EFL21" s="2185"/>
      <c r="EFM21" s="16"/>
      <c r="EFN21" s="2185"/>
      <c r="EFO21" s="16"/>
      <c r="EFP21" s="2185"/>
      <c r="EFQ21" s="16"/>
      <c r="EFR21" s="2185"/>
      <c r="EFS21" s="16"/>
      <c r="EFT21" s="2185"/>
      <c r="EFU21" s="16"/>
      <c r="EFV21" s="2185"/>
      <c r="EFW21" s="16"/>
      <c r="EFX21" s="2185"/>
      <c r="EFY21" s="16"/>
      <c r="EFZ21" s="2185"/>
      <c r="EGA21" s="16"/>
      <c r="EGB21" s="2185"/>
      <c r="EGC21" s="16"/>
      <c r="EGD21" s="2185"/>
      <c r="EGE21" s="16"/>
      <c r="EGF21" s="2185"/>
      <c r="EGG21" s="16"/>
      <c r="EGH21" s="2185"/>
      <c r="EGI21" s="16"/>
      <c r="EGJ21" s="2185"/>
      <c r="EGK21" s="16"/>
      <c r="EGL21" s="2185"/>
      <c r="EGM21" s="16"/>
      <c r="EGN21" s="2185"/>
      <c r="EGO21" s="16"/>
      <c r="EGP21" s="2185"/>
      <c r="EGQ21" s="16"/>
      <c r="EGR21" s="2185"/>
      <c r="EGS21" s="16"/>
      <c r="EGT21" s="2185"/>
      <c r="EGU21" s="16"/>
      <c r="EGV21" s="2185"/>
      <c r="EGW21" s="16"/>
      <c r="EGX21" s="2185"/>
      <c r="EGY21" s="16"/>
      <c r="EGZ21" s="2185"/>
      <c r="EHA21" s="16"/>
      <c r="EHB21" s="2185"/>
      <c r="EHC21" s="16"/>
      <c r="EHD21" s="2185"/>
      <c r="EHE21" s="16"/>
      <c r="EHF21" s="2185"/>
      <c r="EHG21" s="16"/>
      <c r="EHH21" s="2185"/>
      <c r="EHI21" s="16"/>
      <c r="EHJ21" s="2185"/>
      <c r="EHK21" s="16"/>
      <c r="EHL21" s="2185"/>
      <c r="EHM21" s="16"/>
      <c r="EHN21" s="2185"/>
      <c r="EHO21" s="16"/>
      <c r="EHP21" s="2185"/>
      <c r="EHQ21" s="16"/>
      <c r="EHR21" s="2185"/>
      <c r="EHS21" s="16"/>
      <c r="EHT21" s="2185"/>
      <c r="EHU21" s="16"/>
      <c r="EHV21" s="2185"/>
      <c r="EHW21" s="16"/>
      <c r="EHX21" s="2185"/>
      <c r="EHY21" s="16"/>
      <c r="EHZ21" s="2185"/>
      <c r="EIA21" s="16"/>
      <c r="EIB21" s="2185"/>
      <c r="EIC21" s="16"/>
      <c r="EID21" s="2185"/>
      <c r="EIE21" s="16"/>
      <c r="EIF21" s="2185"/>
      <c r="EIG21" s="16"/>
      <c r="EIH21" s="2185"/>
      <c r="EII21" s="16"/>
      <c r="EIJ21" s="2185"/>
      <c r="EIK21" s="16"/>
      <c r="EIL21" s="2185"/>
      <c r="EIM21" s="16"/>
      <c r="EIN21" s="2185"/>
      <c r="EIO21" s="16"/>
      <c r="EIP21" s="2185"/>
      <c r="EIQ21" s="16"/>
      <c r="EIR21" s="2185"/>
      <c r="EIS21" s="16"/>
      <c r="EIT21" s="2185"/>
      <c r="EIU21" s="16"/>
      <c r="EIV21" s="2185"/>
      <c r="EIW21" s="16"/>
      <c r="EIX21" s="2185"/>
      <c r="EIY21" s="16"/>
      <c r="EIZ21" s="2185"/>
      <c r="EJA21" s="16"/>
      <c r="EJB21" s="2185"/>
      <c r="EJC21" s="16"/>
      <c r="EJD21" s="2185"/>
      <c r="EJE21" s="16"/>
      <c r="EJF21" s="2185"/>
      <c r="EJG21" s="16"/>
      <c r="EJH21" s="2185"/>
      <c r="EJI21" s="16"/>
      <c r="EJJ21" s="2185"/>
      <c r="EJK21" s="16"/>
      <c r="EJL21" s="2185"/>
      <c r="EJM21" s="16"/>
      <c r="EJN21" s="2185"/>
      <c r="EJO21" s="16"/>
      <c r="EJP21" s="2185"/>
      <c r="EJQ21" s="16"/>
      <c r="EJR21" s="2185"/>
      <c r="EJS21" s="16"/>
      <c r="EJT21" s="2185"/>
      <c r="EJU21" s="16"/>
      <c r="EJV21" s="2185"/>
      <c r="EJW21" s="16"/>
      <c r="EJX21" s="2185"/>
      <c r="EJY21" s="16"/>
      <c r="EJZ21" s="2185"/>
      <c r="EKA21" s="16"/>
      <c r="EKB21" s="2185"/>
      <c r="EKC21" s="16"/>
      <c r="EKD21" s="2185"/>
      <c r="EKE21" s="16"/>
      <c r="EKF21" s="2185"/>
      <c r="EKG21" s="16"/>
      <c r="EKH21" s="2185"/>
      <c r="EKI21" s="16"/>
      <c r="EKJ21" s="2185"/>
      <c r="EKK21" s="16"/>
      <c r="EKL21" s="2185"/>
      <c r="EKM21" s="16"/>
      <c r="EKN21" s="2185"/>
      <c r="EKO21" s="16"/>
      <c r="EKP21" s="2185"/>
      <c r="EKQ21" s="16"/>
      <c r="EKR21" s="2185"/>
      <c r="EKS21" s="16"/>
      <c r="EKT21" s="2185"/>
      <c r="EKU21" s="16"/>
      <c r="EKV21" s="2185"/>
      <c r="EKW21" s="16"/>
      <c r="EKX21" s="2185"/>
      <c r="EKY21" s="16"/>
      <c r="EKZ21" s="2185"/>
      <c r="ELA21" s="16"/>
      <c r="ELB21" s="2185"/>
      <c r="ELC21" s="16"/>
      <c r="ELD21" s="2185"/>
      <c r="ELE21" s="16"/>
      <c r="ELF21" s="2185"/>
      <c r="ELG21" s="16"/>
      <c r="ELH21" s="2185"/>
      <c r="ELI21" s="16"/>
      <c r="ELJ21" s="2185"/>
      <c r="ELK21" s="16"/>
      <c r="ELL21" s="2185"/>
      <c r="ELM21" s="16"/>
      <c r="ELN21" s="2185"/>
      <c r="ELO21" s="16"/>
      <c r="ELP21" s="2185"/>
      <c r="ELQ21" s="16"/>
      <c r="ELR21" s="2185"/>
      <c r="ELS21" s="16"/>
      <c r="ELT21" s="2185"/>
      <c r="ELU21" s="16"/>
      <c r="ELV21" s="2185"/>
      <c r="ELW21" s="16"/>
      <c r="ELX21" s="2185"/>
      <c r="ELY21" s="16"/>
      <c r="ELZ21" s="2185"/>
      <c r="EMA21" s="16"/>
      <c r="EMB21" s="2185"/>
      <c r="EMC21" s="16"/>
      <c r="EMD21" s="2185"/>
      <c r="EME21" s="16"/>
      <c r="EMF21" s="2185"/>
      <c r="EMG21" s="16"/>
      <c r="EMH21" s="2185"/>
      <c r="EMI21" s="16"/>
      <c r="EMJ21" s="2185"/>
      <c r="EMK21" s="16"/>
      <c r="EML21" s="2185"/>
      <c r="EMM21" s="16"/>
      <c r="EMN21" s="2185"/>
      <c r="EMO21" s="16"/>
      <c r="EMP21" s="2185"/>
      <c r="EMQ21" s="16"/>
      <c r="EMR21" s="2185"/>
      <c r="EMS21" s="16"/>
      <c r="EMT21" s="2185"/>
      <c r="EMU21" s="16"/>
      <c r="EMV21" s="2185"/>
      <c r="EMW21" s="16"/>
      <c r="EMX21" s="2185"/>
      <c r="EMY21" s="16"/>
      <c r="EMZ21" s="2185"/>
      <c r="ENA21" s="16"/>
      <c r="ENB21" s="2185"/>
      <c r="ENC21" s="16"/>
      <c r="END21" s="2185"/>
      <c r="ENE21" s="16"/>
      <c r="ENF21" s="2185"/>
      <c r="ENG21" s="16"/>
      <c r="ENH21" s="2185"/>
      <c r="ENI21" s="16"/>
      <c r="ENJ21" s="2185"/>
      <c r="ENK21" s="16"/>
      <c r="ENL21" s="2185"/>
      <c r="ENM21" s="16"/>
      <c r="ENN21" s="2185"/>
      <c r="ENO21" s="16"/>
      <c r="ENP21" s="2185"/>
      <c r="ENQ21" s="16"/>
      <c r="ENR21" s="2185"/>
      <c r="ENS21" s="16"/>
      <c r="ENT21" s="2185"/>
      <c r="ENU21" s="16"/>
      <c r="ENV21" s="2185"/>
      <c r="ENW21" s="16"/>
      <c r="ENX21" s="2185"/>
      <c r="ENY21" s="16"/>
      <c r="ENZ21" s="2185"/>
      <c r="EOA21" s="16"/>
      <c r="EOB21" s="2185"/>
      <c r="EOC21" s="16"/>
      <c r="EOD21" s="2185"/>
      <c r="EOE21" s="16"/>
      <c r="EOF21" s="2185"/>
      <c r="EOG21" s="16"/>
      <c r="EOH21" s="2185"/>
      <c r="EOI21" s="16"/>
      <c r="EOJ21" s="2185"/>
      <c r="EOK21" s="16"/>
      <c r="EOL21" s="2185"/>
      <c r="EOM21" s="16"/>
      <c r="EON21" s="2185"/>
      <c r="EOO21" s="16"/>
      <c r="EOP21" s="2185"/>
      <c r="EOQ21" s="16"/>
      <c r="EOR21" s="2185"/>
      <c r="EOS21" s="16"/>
      <c r="EOT21" s="2185"/>
      <c r="EOU21" s="16"/>
      <c r="EOV21" s="2185"/>
      <c r="EOW21" s="16"/>
      <c r="EOX21" s="2185"/>
      <c r="EOY21" s="16"/>
      <c r="EOZ21" s="2185"/>
      <c r="EPA21" s="16"/>
      <c r="EPB21" s="2185"/>
      <c r="EPC21" s="16"/>
      <c r="EPD21" s="2185"/>
      <c r="EPE21" s="16"/>
      <c r="EPF21" s="2185"/>
      <c r="EPG21" s="16"/>
      <c r="EPH21" s="2185"/>
      <c r="EPI21" s="16"/>
      <c r="EPJ21" s="2185"/>
      <c r="EPK21" s="16"/>
      <c r="EPL21" s="2185"/>
      <c r="EPM21" s="16"/>
      <c r="EPN21" s="2185"/>
      <c r="EPO21" s="16"/>
      <c r="EPP21" s="2185"/>
      <c r="EPQ21" s="16"/>
      <c r="EPR21" s="2185"/>
      <c r="EPS21" s="16"/>
      <c r="EPT21" s="2185"/>
      <c r="EPU21" s="16"/>
      <c r="EPV21" s="2185"/>
      <c r="EPW21" s="16"/>
      <c r="EPX21" s="2185"/>
      <c r="EPY21" s="16"/>
      <c r="EPZ21" s="2185"/>
      <c r="EQA21" s="16"/>
      <c r="EQB21" s="2185"/>
      <c r="EQC21" s="16"/>
      <c r="EQD21" s="2185"/>
      <c r="EQE21" s="16"/>
      <c r="EQF21" s="2185"/>
      <c r="EQG21" s="16"/>
      <c r="EQH21" s="2185"/>
      <c r="EQI21" s="16"/>
      <c r="EQJ21" s="2185"/>
      <c r="EQK21" s="16"/>
      <c r="EQL21" s="2185"/>
      <c r="EQM21" s="16"/>
      <c r="EQN21" s="2185"/>
      <c r="EQO21" s="16"/>
      <c r="EQP21" s="2185"/>
      <c r="EQQ21" s="16"/>
      <c r="EQR21" s="2185"/>
      <c r="EQS21" s="16"/>
      <c r="EQT21" s="2185"/>
      <c r="EQU21" s="16"/>
      <c r="EQV21" s="2185"/>
      <c r="EQW21" s="16"/>
      <c r="EQX21" s="2185"/>
      <c r="EQY21" s="16"/>
      <c r="EQZ21" s="2185"/>
      <c r="ERA21" s="16"/>
      <c r="ERB21" s="2185"/>
      <c r="ERC21" s="16"/>
      <c r="ERD21" s="2185"/>
      <c r="ERE21" s="16"/>
      <c r="ERF21" s="2185"/>
      <c r="ERG21" s="16"/>
      <c r="ERH21" s="2185"/>
      <c r="ERI21" s="16"/>
      <c r="ERJ21" s="2185"/>
      <c r="ERK21" s="16"/>
      <c r="ERL21" s="2185"/>
      <c r="ERM21" s="16"/>
      <c r="ERN21" s="2185"/>
      <c r="ERO21" s="16"/>
      <c r="ERP21" s="2185"/>
      <c r="ERQ21" s="16"/>
      <c r="ERR21" s="2185"/>
      <c r="ERS21" s="16"/>
      <c r="ERT21" s="2185"/>
      <c r="ERU21" s="16"/>
      <c r="ERV21" s="2185"/>
      <c r="ERW21" s="16"/>
      <c r="ERX21" s="2185"/>
      <c r="ERY21" s="16"/>
      <c r="ERZ21" s="2185"/>
      <c r="ESA21" s="16"/>
      <c r="ESB21" s="2185"/>
      <c r="ESC21" s="16"/>
      <c r="ESD21" s="2185"/>
      <c r="ESE21" s="16"/>
      <c r="ESF21" s="2185"/>
      <c r="ESG21" s="16"/>
      <c r="ESH21" s="2185"/>
      <c r="ESI21" s="16"/>
      <c r="ESJ21" s="2185"/>
      <c r="ESK21" s="16"/>
      <c r="ESL21" s="2185"/>
      <c r="ESM21" s="16"/>
      <c r="ESN21" s="2185"/>
      <c r="ESO21" s="16"/>
      <c r="ESP21" s="2185"/>
      <c r="ESQ21" s="16"/>
      <c r="ESR21" s="2185"/>
      <c r="ESS21" s="16"/>
      <c r="EST21" s="2185"/>
      <c r="ESU21" s="16"/>
      <c r="ESV21" s="2185"/>
      <c r="ESW21" s="16"/>
      <c r="ESX21" s="2185"/>
      <c r="ESY21" s="16"/>
      <c r="ESZ21" s="2185"/>
      <c r="ETA21" s="16"/>
      <c r="ETB21" s="2185"/>
      <c r="ETC21" s="16"/>
      <c r="ETD21" s="2185"/>
      <c r="ETE21" s="16"/>
      <c r="ETF21" s="2185"/>
      <c r="ETG21" s="16"/>
      <c r="ETH21" s="2185"/>
      <c r="ETI21" s="16"/>
      <c r="ETJ21" s="2185"/>
      <c r="ETK21" s="16"/>
      <c r="ETL21" s="2185"/>
      <c r="ETM21" s="16"/>
      <c r="ETN21" s="2185"/>
      <c r="ETO21" s="16"/>
      <c r="ETP21" s="2185"/>
      <c r="ETQ21" s="16"/>
      <c r="ETR21" s="2185"/>
      <c r="ETS21" s="16"/>
      <c r="ETT21" s="2185"/>
      <c r="ETU21" s="16"/>
      <c r="ETV21" s="2185"/>
      <c r="ETW21" s="16"/>
      <c r="ETX21" s="2185"/>
      <c r="ETY21" s="16"/>
      <c r="ETZ21" s="2185"/>
      <c r="EUA21" s="16"/>
      <c r="EUB21" s="2185"/>
      <c r="EUC21" s="16"/>
      <c r="EUD21" s="2185"/>
      <c r="EUE21" s="16"/>
      <c r="EUF21" s="2185"/>
      <c r="EUG21" s="16"/>
      <c r="EUH21" s="2185"/>
      <c r="EUI21" s="16"/>
      <c r="EUJ21" s="2185"/>
      <c r="EUK21" s="16"/>
      <c r="EUL21" s="2185"/>
      <c r="EUM21" s="16"/>
      <c r="EUN21" s="2185"/>
      <c r="EUO21" s="16"/>
      <c r="EUP21" s="2185"/>
      <c r="EUQ21" s="16"/>
      <c r="EUR21" s="2185"/>
      <c r="EUS21" s="16"/>
      <c r="EUT21" s="2185"/>
      <c r="EUU21" s="16"/>
      <c r="EUV21" s="2185"/>
      <c r="EUW21" s="16"/>
      <c r="EUX21" s="2185"/>
      <c r="EUY21" s="16"/>
      <c r="EUZ21" s="2185"/>
      <c r="EVA21" s="16"/>
      <c r="EVB21" s="2185"/>
      <c r="EVC21" s="16"/>
      <c r="EVD21" s="2185"/>
      <c r="EVE21" s="16"/>
      <c r="EVF21" s="2185"/>
      <c r="EVG21" s="16"/>
      <c r="EVH21" s="2185"/>
      <c r="EVI21" s="16"/>
      <c r="EVJ21" s="2185"/>
      <c r="EVK21" s="16"/>
      <c r="EVL21" s="2185"/>
      <c r="EVM21" s="16"/>
      <c r="EVN21" s="2185"/>
      <c r="EVO21" s="16"/>
      <c r="EVP21" s="2185"/>
      <c r="EVQ21" s="16"/>
      <c r="EVR21" s="2185"/>
      <c r="EVS21" s="16"/>
      <c r="EVT21" s="2185"/>
      <c r="EVU21" s="16"/>
      <c r="EVV21" s="2185"/>
      <c r="EVW21" s="16"/>
      <c r="EVX21" s="2185"/>
      <c r="EVY21" s="16"/>
      <c r="EVZ21" s="2185"/>
      <c r="EWA21" s="16"/>
      <c r="EWB21" s="2185"/>
      <c r="EWC21" s="16"/>
      <c r="EWD21" s="2185"/>
      <c r="EWE21" s="16"/>
      <c r="EWF21" s="2185"/>
      <c r="EWG21" s="16"/>
      <c r="EWH21" s="2185"/>
      <c r="EWI21" s="16"/>
      <c r="EWJ21" s="2185"/>
      <c r="EWK21" s="16"/>
      <c r="EWL21" s="2185"/>
      <c r="EWM21" s="16"/>
      <c r="EWN21" s="2185"/>
      <c r="EWO21" s="16"/>
      <c r="EWP21" s="2185"/>
      <c r="EWQ21" s="16"/>
      <c r="EWR21" s="2185"/>
      <c r="EWS21" s="16"/>
      <c r="EWT21" s="2185"/>
      <c r="EWU21" s="16"/>
      <c r="EWV21" s="2185"/>
      <c r="EWW21" s="16"/>
      <c r="EWX21" s="2185"/>
      <c r="EWY21" s="16"/>
      <c r="EWZ21" s="2185"/>
      <c r="EXA21" s="16"/>
      <c r="EXB21" s="2185"/>
      <c r="EXC21" s="16"/>
      <c r="EXD21" s="2185"/>
      <c r="EXE21" s="16"/>
      <c r="EXF21" s="2185"/>
      <c r="EXG21" s="16"/>
      <c r="EXH21" s="2185"/>
      <c r="EXI21" s="16"/>
      <c r="EXJ21" s="2185"/>
      <c r="EXK21" s="16"/>
      <c r="EXL21" s="2185"/>
      <c r="EXM21" s="16"/>
      <c r="EXN21" s="2185"/>
      <c r="EXO21" s="16"/>
      <c r="EXP21" s="2185"/>
      <c r="EXQ21" s="16"/>
      <c r="EXR21" s="2185"/>
      <c r="EXS21" s="16"/>
      <c r="EXT21" s="2185"/>
      <c r="EXU21" s="16"/>
      <c r="EXV21" s="2185"/>
      <c r="EXW21" s="16"/>
      <c r="EXX21" s="2185"/>
      <c r="EXY21" s="16"/>
      <c r="EXZ21" s="2185"/>
      <c r="EYA21" s="16"/>
      <c r="EYB21" s="2185"/>
      <c r="EYC21" s="16"/>
      <c r="EYD21" s="2185"/>
      <c r="EYE21" s="16"/>
      <c r="EYF21" s="2185"/>
      <c r="EYG21" s="16"/>
      <c r="EYH21" s="2185"/>
      <c r="EYI21" s="16"/>
      <c r="EYJ21" s="2185"/>
      <c r="EYK21" s="16"/>
      <c r="EYL21" s="2185"/>
      <c r="EYM21" s="16"/>
      <c r="EYN21" s="2185"/>
      <c r="EYO21" s="16"/>
      <c r="EYP21" s="2185"/>
      <c r="EYQ21" s="16"/>
      <c r="EYR21" s="2185"/>
      <c r="EYS21" s="16"/>
      <c r="EYT21" s="2185"/>
      <c r="EYU21" s="16"/>
      <c r="EYV21" s="2185"/>
      <c r="EYW21" s="16"/>
      <c r="EYX21" s="2185"/>
      <c r="EYY21" s="16"/>
      <c r="EYZ21" s="2185"/>
      <c r="EZA21" s="16"/>
      <c r="EZB21" s="2185"/>
      <c r="EZC21" s="16"/>
      <c r="EZD21" s="2185"/>
      <c r="EZE21" s="16"/>
      <c r="EZF21" s="2185"/>
      <c r="EZG21" s="16"/>
      <c r="EZH21" s="2185"/>
      <c r="EZI21" s="16"/>
      <c r="EZJ21" s="2185"/>
      <c r="EZK21" s="16"/>
      <c r="EZL21" s="2185"/>
      <c r="EZM21" s="16"/>
      <c r="EZN21" s="2185"/>
      <c r="EZO21" s="16"/>
      <c r="EZP21" s="2185"/>
      <c r="EZQ21" s="16"/>
      <c r="EZR21" s="2185"/>
      <c r="EZS21" s="16"/>
      <c r="EZT21" s="2185"/>
      <c r="EZU21" s="16"/>
      <c r="EZV21" s="2185"/>
      <c r="EZW21" s="16"/>
      <c r="EZX21" s="2185"/>
      <c r="EZY21" s="16"/>
      <c r="EZZ21" s="2185"/>
      <c r="FAA21" s="16"/>
      <c r="FAB21" s="2185"/>
      <c r="FAC21" s="16"/>
      <c r="FAD21" s="2185"/>
      <c r="FAE21" s="16"/>
      <c r="FAF21" s="2185"/>
      <c r="FAG21" s="16"/>
      <c r="FAH21" s="2185"/>
      <c r="FAI21" s="16"/>
      <c r="FAJ21" s="2185"/>
      <c r="FAK21" s="16"/>
      <c r="FAL21" s="2185"/>
      <c r="FAM21" s="16"/>
      <c r="FAN21" s="2185"/>
      <c r="FAO21" s="16"/>
      <c r="FAP21" s="2185"/>
      <c r="FAQ21" s="16"/>
      <c r="FAR21" s="2185"/>
      <c r="FAS21" s="16"/>
      <c r="FAT21" s="2185"/>
      <c r="FAU21" s="16"/>
      <c r="FAV21" s="2185"/>
      <c r="FAW21" s="16"/>
      <c r="FAX21" s="2185"/>
      <c r="FAY21" s="16"/>
      <c r="FAZ21" s="2185"/>
      <c r="FBA21" s="16"/>
      <c r="FBB21" s="2185"/>
      <c r="FBC21" s="16"/>
      <c r="FBD21" s="2185"/>
      <c r="FBE21" s="16"/>
      <c r="FBF21" s="2185"/>
      <c r="FBG21" s="16"/>
      <c r="FBH21" s="2185"/>
      <c r="FBI21" s="16"/>
      <c r="FBJ21" s="2185"/>
      <c r="FBK21" s="16"/>
      <c r="FBL21" s="2185"/>
      <c r="FBM21" s="16"/>
      <c r="FBN21" s="2185"/>
      <c r="FBO21" s="16"/>
      <c r="FBP21" s="2185"/>
      <c r="FBQ21" s="16"/>
      <c r="FBR21" s="2185"/>
      <c r="FBS21" s="16"/>
      <c r="FBT21" s="2185"/>
      <c r="FBU21" s="16"/>
      <c r="FBV21" s="2185"/>
      <c r="FBW21" s="16"/>
      <c r="FBX21" s="2185"/>
      <c r="FBY21" s="16"/>
      <c r="FBZ21" s="2185"/>
      <c r="FCA21" s="16"/>
      <c r="FCB21" s="2185"/>
      <c r="FCC21" s="16"/>
      <c r="FCD21" s="2185"/>
      <c r="FCE21" s="16"/>
      <c r="FCF21" s="2185"/>
      <c r="FCG21" s="16"/>
      <c r="FCH21" s="2185"/>
      <c r="FCI21" s="16"/>
      <c r="FCJ21" s="2185"/>
      <c r="FCK21" s="16"/>
      <c r="FCL21" s="2185"/>
      <c r="FCM21" s="16"/>
      <c r="FCN21" s="2185"/>
      <c r="FCO21" s="16"/>
      <c r="FCP21" s="2185"/>
      <c r="FCQ21" s="16"/>
      <c r="FCR21" s="2185"/>
      <c r="FCS21" s="16"/>
      <c r="FCT21" s="2185"/>
      <c r="FCU21" s="16"/>
      <c r="FCV21" s="2185"/>
      <c r="FCW21" s="16"/>
      <c r="FCX21" s="2185"/>
      <c r="FCY21" s="16"/>
      <c r="FCZ21" s="2185"/>
      <c r="FDA21" s="16"/>
      <c r="FDB21" s="2185"/>
      <c r="FDC21" s="16"/>
      <c r="FDD21" s="2185"/>
      <c r="FDE21" s="16"/>
      <c r="FDF21" s="2185"/>
      <c r="FDG21" s="16"/>
      <c r="FDH21" s="2185"/>
      <c r="FDI21" s="16"/>
      <c r="FDJ21" s="2185"/>
      <c r="FDK21" s="16"/>
      <c r="FDL21" s="2185"/>
      <c r="FDM21" s="16"/>
      <c r="FDN21" s="2185"/>
      <c r="FDO21" s="16"/>
      <c r="FDP21" s="2185"/>
      <c r="FDQ21" s="16"/>
      <c r="FDR21" s="2185"/>
      <c r="FDS21" s="16"/>
      <c r="FDT21" s="2185"/>
      <c r="FDU21" s="16"/>
      <c r="FDV21" s="2185"/>
      <c r="FDW21" s="16"/>
      <c r="FDX21" s="2185"/>
      <c r="FDY21" s="16"/>
      <c r="FDZ21" s="2185"/>
      <c r="FEA21" s="16"/>
      <c r="FEB21" s="2185"/>
      <c r="FEC21" s="16"/>
      <c r="FED21" s="2185"/>
      <c r="FEE21" s="16"/>
      <c r="FEF21" s="2185"/>
      <c r="FEG21" s="16"/>
      <c r="FEH21" s="2185"/>
      <c r="FEI21" s="16"/>
      <c r="FEJ21" s="2185"/>
      <c r="FEK21" s="16"/>
      <c r="FEL21" s="2185"/>
      <c r="FEM21" s="16"/>
      <c r="FEN21" s="2185"/>
      <c r="FEO21" s="16"/>
      <c r="FEP21" s="2185"/>
      <c r="FEQ21" s="16"/>
      <c r="FER21" s="2185"/>
      <c r="FES21" s="16"/>
      <c r="FET21" s="2185"/>
      <c r="FEU21" s="16"/>
      <c r="FEV21" s="2185"/>
      <c r="FEW21" s="16"/>
      <c r="FEX21" s="2185"/>
      <c r="FEY21" s="16"/>
      <c r="FEZ21" s="2185"/>
      <c r="FFA21" s="16"/>
      <c r="FFB21" s="2185"/>
      <c r="FFC21" s="16"/>
      <c r="FFD21" s="2185"/>
      <c r="FFE21" s="16"/>
      <c r="FFF21" s="2185"/>
      <c r="FFG21" s="16"/>
      <c r="FFH21" s="2185"/>
      <c r="FFI21" s="16"/>
      <c r="FFJ21" s="2185"/>
      <c r="FFK21" s="16"/>
      <c r="FFL21" s="2185"/>
      <c r="FFM21" s="16"/>
      <c r="FFN21" s="2185"/>
      <c r="FFO21" s="16"/>
      <c r="FFP21" s="2185"/>
      <c r="FFQ21" s="16"/>
      <c r="FFR21" s="2185"/>
      <c r="FFS21" s="16"/>
      <c r="FFT21" s="2185"/>
      <c r="FFU21" s="16"/>
      <c r="FFV21" s="2185"/>
      <c r="FFW21" s="16"/>
      <c r="FFX21" s="2185"/>
      <c r="FFY21" s="16"/>
      <c r="FFZ21" s="2185"/>
      <c r="FGA21" s="16"/>
      <c r="FGB21" s="2185"/>
      <c r="FGC21" s="16"/>
      <c r="FGD21" s="2185"/>
      <c r="FGE21" s="16"/>
      <c r="FGF21" s="2185"/>
      <c r="FGG21" s="16"/>
      <c r="FGH21" s="2185"/>
      <c r="FGI21" s="16"/>
      <c r="FGJ21" s="2185"/>
      <c r="FGK21" s="16"/>
      <c r="FGL21" s="2185"/>
      <c r="FGM21" s="16"/>
      <c r="FGN21" s="2185"/>
      <c r="FGO21" s="16"/>
      <c r="FGP21" s="2185"/>
      <c r="FGQ21" s="16"/>
      <c r="FGR21" s="2185"/>
      <c r="FGS21" s="16"/>
      <c r="FGT21" s="2185"/>
      <c r="FGU21" s="16"/>
      <c r="FGV21" s="2185"/>
      <c r="FGW21" s="16"/>
      <c r="FGX21" s="2185"/>
      <c r="FGY21" s="16"/>
      <c r="FGZ21" s="2185"/>
      <c r="FHA21" s="16"/>
      <c r="FHB21" s="2185"/>
      <c r="FHC21" s="16"/>
      <c r="FHD21" s="2185"/>
      <c r="FHE21" s="16"/>
      <c r="FHF21" s="2185"/>
      <c r="FHG21" s="16"/>
      <c r="FHH21" s="2185"/>
      <c r="FHI21" s="16"/>
      <c r="FHJ21" s="2185"/>
      <c r="FHK21" s="16"/>
      <c r="FHL21" s="2185"/>
      <c r="FHM21" s="16"/>
      <c r="FHN21" s="2185"/>
      <c r="FHO21" s="16"/>
      <c r="FHP21" s="2185"/>
      <c r="FHQ21" s="16"/>
      <c r="FHR21" s="2185"/>
      <c r="FHS21" s="16"/>
      <c r="FHT21" s="2185"/>
      <c r="FHU21" s="16"/>
      <c r="FHV21" s="2185"/>
      <c r="FHW21" s="16"/>
      <c r="FHX21" s="2185"/>
      <c r="FHY21" s="16"/>
      <c r="FHZ21" s="2185"/>
      <c r="FIA21" s="16"/>
      <c r="FIB21" s="2185"/>
      <c r="FIC21" s="16"/>
      <c r="FID21" s="2185"/>
      <c r="FIE21" s="16"/>
      <c r="FIF21" s="2185"/>
      <c r="FIG21" s="16"/>
      <c r="FIH21" s="2185"/>
      <c r="FII21" s="16"/>
      <c r="FIJ21" s="2185"/>
      <c r="FIK21" s="16"/>
      <c r="FIL21" s="2185"/>
      <c r="FIM21" s="16"/>
      <c r="FIN21" s="2185"/>
      <c r="FIO21" s="16"/>
      <c r="FIP21" s="2185"/>
      <c r="FIQ21" s="16"/>
      <c r="FIR21" s="2185"/>
      <c r="FIS21" s="16"/>
      <c r="FIT21" s="2185"/>
      <c r="FIU21" s="16"/>
      <c r="FIV21" s="2185"/>
      <c r="FIW21" s="16"/>
      <c r="FIX21" s="2185"/>
      <c r="FIY21" s="16"/>
      <c r="FIZ21" s="2185"/>
      <c r="FJA21" s="16"/>
      <c r="FJB21" s="2185"/>
      <c r="FJC21" s="16"/>
      <c r="FJD21" s="2185"/>
      <c r="FJE21" s="16"/>
      <c r="FJF21" s="2185"/>
      <c r="FJG21" s="16"/>
      <c r="FJH21" s="2185"/>
      <c r="FJI21" s="16"/>
      <c r="FJJ21" s="2185"/>
      <c r="FJK21" s="16"/>
      <c r="FJL21" s="2185"/>
      <c r="FJM21" s="16"/>
      <c r="FJN21" s="2185"/>
      <c r="FJO21" s="16"/>
      <c r="FJP21" s="2185"/>
      <c r="FJQ21" s="16"/>
      <c r="FJR21" s="2185"/>
      <c r="FJS21" s="16"/>
      <c r="FJT21" s="2185"/>
      <c r="FJU21" s="16"/>
      <c r="FJV21" s="2185"/>
      <c r="FJW21" s="16"/>
      <c r="FJX21" s="2185"/>
      <c r="FJY21" s="16"/>
      <c r="FJZ21" s="2185"/>
      <c r="FKA21" s="16"/>
      <c r="FKB21" s="2185"/>
      <c r="FKC21" s="16"/>
      <c r="FKD21" s="2185"/>
      <c r="FKE21" s="16"/>
      <c r="FKF21" s="2185"/>
      <c r="FKG21" s="16"/>
      <c r="FKH21" s="2185"/>
      <c r="FKI21" s="16"/>
      <c r="FKJ21" s="2185"/>
      <c r="FKK21" s="16"/>
      <c r="FKL21" s="2185"/>
      <c r="FKM21" s="16"/>
      <c r="FKN21" s="2185"/>
      <c r="FKO21" s="16"/>
      <c r="FKP21" s="2185"/>
      <c r="FKQ21" s="16"/>
      <c r="FKR21" s="2185"/>
      <c r="FKS21" s="16"/>
      <c r="FKT21" s="2185"/>
      <c r="FKU21" s="16"/>
      <c r="FKV21" s="2185"/>
      <c r="FKW21" s="16"/>
      <c r="FKX21" s="2185"/>
      <c r="FKY21" s="16"/>
      <c r="FKZ21" s="2185"/>
      <c r="FLA21" s="16"/>
      <c r="FLB21" s="2185"/>
      <c r="FLC21" s="16"/>
      <c r="FLD21" s="2185"/>
      <c r="FLE21" s="16"/>
      <c r="FLF21" s="2185"/>
      <c r="FLG21" s="16"/>
      <c r="FLH21" s="2185"/>
      <c r="FLI21" s="16"/>
      <c r="FLJ21" s="2185"/>
      <c r="FLK21" s="16"/>
      <c r="FLL21" s="2185"/>
      <c r="FLM21" s="16"/>
      <c r="FLN21" s="2185"/>
      <c r="FLO21" s="16"/>
      <c r="FLP21" s="2185"/>
      <c r="FLQ21" s="16"/>
      <c r="FLR21" s="2185"/>
      <c r="FLS21" s="16"/>
      <c r="FLT21" s="2185"/>
      <c r="FLU21" s="16"/>
      <c r="FLV21" s="2185"/>
      <c r="FLW21" s="16"/>
      <c r="FLX21" s="2185"/>
      <c r="FLY21" s="16"/>
      <c r="FLZ21" s="2185"/>
      <c r="FMA21" s="16"/>
      <c r="FMB21" s="2185"/>
      <c r="FMC21" s="16"/>
      <c r="FMD21" s="2185"/>
      <c r="FME21" s="16"/>
      <c r="FMF21" s="2185"/>
      <c r="FMG21" s="16"/>
      <c r="FMH21" s="2185"/>
      <c r="FMI21" s="16"/>
      <c r="FMJ21" s="2185"/>
      <c r="FMK21" s="16"/>
      <c r="FML21" s="2185"/>
      <c r="FMM21" s="16"/>
      <c r="FMN21" s="2185"/>
      <c r="FMO21" s="16"/>
      <c r="FMP21" s="2185"/>
      <c r="FMQ21" s="16"/>
      <c r="FMR21" s="2185"/>
      <c r="FMS21" s="16"/>
      <c r="FMT21" s="2185"/>
      <c r="FMU21" s="16"/>
      <c r="FMV21" s="2185"/>
      <c r="FMW21" s="16"/>
      <c r="FMX21" s="2185"/>
      <c r="FMY21" s="16"/>
      <c r="FMZ21" s="2185"/>
      <c r="FNA21" s="16"/>
      <c r="FNB21" s="2185"/>
      <c r="FNC21" s="16"/>
      <c r="FND21" s="2185"/>
      <c r="FNE21" s="16"/>
      <c r="FNF21" s="2185"/>
      <c r="FNG21" s="16"/>
      <c r="FNH21" s="2185"/>
      <c r="FNI21" s="16"/>
      <c r="FNJ21" s="2185"/>
      <c r="FNK21" s="16"/>
      <c r="FNL21" s="2185"/>
      <c r="FNM21" s="16"/>
      <c r="FNN21" s="2185"/>
      <c r="FNO21" s="16"/>
      <c r="FNP21" s="2185"/>
      <c r="FNQ21" s="16"/>
      <c r="FNR21" s="2185"/>
      <c r="FNS21" s="16"/>
      <c r="FNT21" s="2185"/>
      <c r="FNU21" s="16"/>
      <c r="FNV21" s="2185"/>
      <c r="FNW21" s="16"/>
      <c r="FNX21" s="2185"/>
      <c r="FNY21" s="16"/>
      <c r="FNZ21" s="2185"/>
      <c r="FOA21" s="16"/>
      <c r="FOB21" s="2185"/>
      <c r="FOC21" s="16"/>
      <c r="FOD21" s="2185"/>
      <c r="FOE21" s="16"/>
      <c r="FOF21" s="2185"/>
      <c r="FOG21" s="16"/>
      <c r="FOH21" s="2185"/>
      <c r="FOI21" s="16"/>
      <c r="FOJ21" s="2185"/>
      <c r="FOK21" s="16"/>
      <c r="FOL21" s="2185"/>
      <c r="FOM21" s="16"/>
      <c r="FON21" s="2185"/>
      <c r="FOO21" s="16"/>
      <c r="FOP21" s="2185"/>
      <c r="FOQ21" s="16"/>
      <c r="FOR21" s="2185"/>
      <c r="FOS21" s="16"/>
      <c r="FOT21" s="2185"/>
      <c r="FOU21" s="16"/>
      <c r="FOV21" s="2185"/>
      <c r="FOW21" s="16"/>
      <c r="FOX21" s="2185"/>
      <c r="FOY21" s="16"/>
      <c r="FOZ21" s="2185"/>
      <c r="FPA21" s="16"/>
      <c r="FPB21" s="2185"/>
      <c r="FPC21" s="16"/>
      <c r="FPD21" s="2185"/>
      <c r="FPE21" s="16"/>
      <c r="FPF21" s="2185"/>
      <c r="FPG21" s="16"/>
      <c r="FPH21" s="2185"/>
      <c r="FPI21" s="16"/>
      <c r="FPJ21" s="2185"/>
      <c r="FPK21" s="16"/>
      <c r="FPL21" s="2185"/>
      <c r="FPM21" s="16"/>
      <c r="FPN21" s="2185"/>
      <c r="FPO21" s="16"/>
      <c r="FPP21" s="2185"/>
      <c r="FPQ21" s="16"/>
      <c r="FPR21" s="2185"/>
      <c r="FPS21" s="16"/>
      <c r="FPT21" s="2185"/>
      <c r="FPU21" s="16"/>
      <c r="FPV21" s="2185"/>
      <c r="FPW21" s="16"/>
      <c r="FPX21" s="2185"/>
      <c r="FPY21" s="16"/>
      <c r="FPZ21" s="2185"/>
      <c r="FQA21" s="16"/>
      <c r="FQB21" s="2185"/>
      <c r="FQC21" s="16"/>
      <c r="FQD21" s="2185"/>
      <c r="FQE21" s="16"/>
      <c r="FQF21" s="2185"/>
      <c r="FQG21" s="16"/>
      <c r="FQH21" s="2185"/>
      <c r="FQI21" s="16"/>
      <c r="FQJ21" s="2185"/>
      <c r="FQK21" s="16"/>
      <c r="FQL21" s="2185"/>
      <c r="FQM21" s="16"/>
      <c r="FQN21" s="2185"/>
      <c r="FQO21" s="16"/>
      <c r="FQP21" s="2185"/>
      <c r="FQQ21" s="16"/>
      <c r="FQR21" s="2185"/>
      <c r="FQS21" s="16"/>
      <c r="FQT21" s="2185"/>
      <c r="FQU21" s="16"/>
      <c r="FQV21" s="2185"/>
      <c r="FQW21" s="16"/>
      <c r="FQX21" s="2185"/>
      <c r="FQY21" s="16"/>
      <c r="FQZ21" s="2185"/>
      <c r="FRA21" s="16"/>
      <c r="FRB21" s="2185"/>
      <c r="FRC21" s="16"/>
      <c r="FRD21" s="2185"/>
      <c r="FRE21" s="16"/>
      <c r="FRF21" s="2185"/>
      <c r="FRG21" s="16"/>
      <c r="FRH21" s="2185"/>
      <c r="FRI21" s="16"/>
      <c r="FRJ21" s="2185"/>
      <c r="FRK21" s="16"/>
      <c r="FRL21" s="2185"/>
      <c r="FRM21" s="16"/>
      <c r="FRN21" s="2185"/>
      <c r="FRO21" s="16"/>
      <c r="FRP21" s="2185"/>
      <c r="FRQ21" s="16"/>
      <c r="FRR21" s="2185"/>
      <c r="FRS21" s="16"/>
      <c r="FRT21" s="2185"/>
      <c r="FRU21" s="16"/>
      <c r="FRV21" s="2185"/>
      <c r="FRW21" s="16"/>
      <c r="FRX21" s="2185"/>
      <c r="FRY21" s="16"/>
      <c r="FRZ21" s="2185"/>
      <c r="FSA21" s="16"/>
      <c r="FSB21" s="2185"/>
      <c r="FSC21" s="16"/>
      <c r="FSD21" s="2185"/>
      <c r="FSE21" s="16"/>
      <c r="FSF21" s="2185"/>
      <c r="FSG21" s="16"/>
      <c r="FSH21" s="2185"/>
      <c r="FSI21" s="16"/>
      <c r="FSJ21" s="2185"/>
      <c r="FSK21" s="16"/>
      <c r="FSL21" s="2185"/>
      <c r="FSM21" s="16"/>
      <c r="FSN21" s="2185"/>
      <c r="FSO21" s="16"/>
      <c r="FSP21" s="2185"/>
      <c r="FSQ21" s="16"/>
      <c r="FSR21" s="2185"/>
      <c r="FSS21" s="16"/>
      <c r="FST21" s="2185"/>
      <c r="FSU21" s="16"/>
      <c r="FSV21" s="2185"/>
      <c r="FSW21" s="16"/>
      <c r="FSX21" s="2185"/>
      <c r="FSY21" s="16"/>
      <c r="FSZ21" s="2185"/>
      <c r="FTA21" s="16"/>
      <c r="FTB21" s="2185"/>
      <c r="FTC21" s="16"/>
      <c r="FTD21" s="2185"/>
      <c r="FTE21" s="16"/>
      <c r="FTF21" s="2185"/>
      <c r="FTG21" s="16"/>
      <c r="FTH21" s="2185"/>
      <c r="FTI21" s="16"/>
      <c r="FTJ21" s="2185"/>
      <c r="FTK21" s="16"/>
      <c r="FTL21" s="2185"/>
      <c r="FTM21" s="16"/>
      <c r="FTN21" s="2185"/>
      <c r="FTO21" s="16"/>
      <c r="FTP21" s="2185"/>
      <c r="FTQ21" s="16"/>
      <c r="FTR21" s="2185"/>
      <c r="FTS21" s="16"/>
      <c r="FTT21" s="2185"/>
      <c r="FTU21" s="16"/>
      <c r="FTV21" s="2185"/>
      <c r="FTW21" s="16"/>
      <c r="FTX21" s="2185"/>
      <c r="FTY21" s="16"/>
      <c r="FTZ21" s="2185"/>
      <c r="FUA21" s="16"/>
      <c r="FUB21" s="2185"/>
      <c r="FUC21" s="16"/>
      <c r="FUD21" s="2185"/>
      <c r="FUE21" s="16"/>
      <c r="FUF21" s="2185"/>
      <c r="FUG21" s="16"/>
      <c r="FUH21" s="2185"/>
      <c r="FUI21" s="16"/>
      <c r="FUJ21" s="2185"/>
      <c r="FUK21" s="16"/>
      <c r="FUL21" s="2185"/>
      <c r="FUM21" s="16"/>
      <c r="FUN21" s="2185"/>
      <c r="FUO21" s="16"/>
      <c r="FUP21" s="2185"/>
      <c r="FUQ21" s="16"/>
      <c r="FUR21" s="2185"/>
      <c r="FUS21" s="16"/>
      <c r="FUT21" s="2185"/>
      <c r="FUU21" s="16"/>
      <c r="FUV21" s="2185"/>
      <c r="FUW21" s="16"/>
      <c r="FUX21" s="2185"/>
      <c r="FUY21" s="16"/>
      <c r="FUZ21" s="2185"/>
      <c r="FVA21" s="16"/>
      <c r="FVB21" s="2185"/>
      <c r="FVC21" s="16"/>
      <c r="FVD21" s="2185"/>
      <c r="FVE21" s="16"/>
      <c r="FVF21" s="2185"/>
      <c r="FVG21" s="16"/>
      <c r="FVH21" s="2185"/>
      <c r="FVI21" s="16"/>
      <c r="FVJ21" s="2185"/>
      <c r="FVK21" s="16"/>
      <c r="FVL21" s="2185"/>
      <c r="FVM21" s="16"/>
      <c r="FVN21" s="2185"/>
      <c r="FVO21" s="16"/>
      <c r="FVP21" s="2185"/>
      <c r="FVQ21" s="16"/>
      <c r="FVR21" s="2185"/>
      <c r="FVS21" s="16"/>
      <c r="FVT21" s="2185"/>
      <c r="FVU21" s="16"/>
      <c r="FVV21" s="2185"/>
      <c r="FVW21" s="16"/>
      <c r="FVX21" s="2185"/>
      <c r="FVY21" s="16"/>
      <c r="FVZ21" s="2185"/>
      <c r="FWA21" s="16"/>
      <c r="FWB21" s="2185"/>
      <c r="FWC21" s="16"/>
      <c r="FWD21" s="2185"/>
      <c r="FWE21" s="16"/>
      <c r="FWF21" s="2185"/>
      <c r="FWG21" s="16"/>
      <c r="FWH21" s="2185"/>
      <c r="FWI21" s="16"/>
      <c r="FWJ21" s="2185"/>
      <c r="FWK21" s="16"/>
      <c r="FWL21" s="2185"/>
      <c r="FWM21" s="16"/>
      <c r="FWN21" s="2185"/>
      <c r="FWO21" s="16"/>
      <c r="FWP21" s="2185"/>
      <c r="FWQ21" s="16"/>
      <c r="FWR21" s="2185"/>
      <c r="FWS21" s="16"/>
      <c r="FWT21" s="2185"/>
      <c r="FWU21" s="16"/>
      <c r="FWV21" s="2185"/>
      <c r="FWW21" s="16"/>
      <c r="FWX21" s="2185"/>
      <c r="FWY21" s="16"/>
      <c r="FWZ21" s="2185"/>
      <c r="FXA21" s="16"/>
      <c r="FXB21" s="2185"/>
      <c r="FXC21" s="16"/>
      <c r="FXD21" s="2185"/>
      <c r="FXE21" s="16"/>
      <c r="FXF21" s="2185"/>
      <c r="FXG21" s="16"/>
      <c r="FXH21" s="2185"/>
      <c r="FXI21" s="16"/>
      <c r="FXJ21" s="2185"/>
      <c r="FXK21" s="16"/>
      <c r="FXL21" s="2185"/>
      <c r="FXM21" s="16"/>
      <c r="FXN21" s="2185"/>
      <c r="FXO21" s="16"/>
      <c r="FXP21" s="2185"/>
      <c r="FXQ21" s="16"/>
      <c r="FXR21" s="2185"/>
      <c r="FXS21" s="16"/>
      <c r="FXT21" s="2185"/>
      <c r="FXU21" s="16"/>
      <c r="FXV21" s="2185"/>
      <c r="FXW21" s="16"/>
      <c r="FXX21" s="2185"/>
      <c r="FXY21" s="16"/>
      <c r="FXZ21" s="2185"/>
      <c r="FYA21" s="16"/>
      <c r="FYB21" s="2185"/>
      <c r="FYC21" s="16"/>
      <c r="FYD21" s="2185"/>
      <c r="FYE21" s="16"/>
      <c r="FYF21" s="2185"/>
      <c r="FYG21" s="16"/>
      <c r="FYH21" s="2185"/>
      <c r="FYI21" s="16"/>
      <c r="FYJ21" s="2185"/>
      <c r="FYK21" s="16"/>
      <c r="FYL21" s="2185"/>
      <c r="FYM21" s="16"/>
      <c r="FYN21" s="2185"/>
      <c r="FYO21" s="16"/>
      <c r="FYP21" s="2185"/>
      <c r="FYQ21" s="16"/>
      <c r="FYR21" s="2185"/>
      <c r="FYS21" s="16"/>
      <c r="FYT21" s="2185"/>
      <c r="FYU21" s="16"/>
      <c r="FYV21" s="2185"/>
      <c r="FYW21" s="16"/>
      <c r="FYX21" s="2185"/>
      <c r="FYY21" s="16"/>
      <c r="FYZ21" s="2185"/>
      <c r="FZA21" s="16"/>
      <c r="FZB21" s="2185"/>
      <c r="FZC21" s="16"/>
      <c r="FZD21" s="2185"/>
      <c r="FZE21" s="16"/>
      <c r="FZF21" s="2185"/>
      <c r="FZG21" s="16"/>
      <c r="FZH21" s="2185"/>
      <c r="FZI21" s="16"/>
      <c r="FZJ21" s="2185"/>
      <c r="FZK21" s="16"/>
      <c r="FZL21" s="2185"/>
      <c r="FZM21" s="16"/>
      <c r="FZN21" s="2185"/>
      <c r="FZO21" s="16"/>
      <c r="FZP21" s="2185"/>
      <c r="FZQ21" s="16"/>
      <c r="FZR21" s="2185"/>
      <c r="FZS21" s="16"/>
      <c r="FZT21" s="2185"/>
      <c r="FZU21" s="16"/>
      <c r="FZV21" s="2185"/>
      <c r="FZW21" s="16"/>
      <c r="FZX21" s="2185"/>
      <c r="FZY21" s="16"/>
      <c r="FZZ21" s="2185"/>
      <c r="GAA21" s="16"/>
      <c r="GAB21" s="2185"/>
      <c r="GAC21" s="16"/>
      <c r="GAD21" s="2185"/>
      <c r="GAE21" s="16"/>
      <c r="GAF21" s="2185"/>
      <c r="GAG21" s="16"/>
      <c r="GAH21" s="2185"/>
      <c r="GAI21" s="16"/>
      <c r="GAJ21" s="2185"/>
      <c r="GAK21" s="16"/>
      <c r="GAL21" s="2185"/>
      <c r="GAM21" s="16"/>
      <c r="GAN21" s="2185"/>
      <c r="GAO21" s="16"/>
      <c r="GAP21" s="2185"/>
      <c r="GAQ21" s="16"/>
      <c r="GAR21" s="2185"/>
      <c r="GAS21" s="16"/>
      <c r="GAT21" s="2185"/>
      <c r="GAU21" s="16"/>
      <c r="GAV21" s="2185"/>
      <c r="GAW21" s="16"/>
      <c r="GAX21" s="2185"/>
      <c r="GAY21" s="16"/>
      <c r="GAZ21" s="2185"/>
      <c r="GBA21" s="16"/>
      <c r="GBB21" s="2185"/>
      <c r="GBC21" s="16"/>
      <c r="GBD21" s="2185"/>
      <c r="GBE21" s="16"/>
      <c r="GBF21" s="2185"/>
      <c r="GBG21" s="16"/>
      <c r="GBH21" s="2185"/>
      <c r="GBI21" s="16"/>
      <c r="GBJ21" s="2185"/>
      <c r="GBK21" s="16"/>
      <c r="GBL21" s="2185"/>
      <c r="GBM21" s="16"/>
      <c r="GBN21" s="2185"/>
      <c r="GBO21" s="16"/>
      <c r="GBP21" s="2185"/>
      <c r="GBQ21" s="16"/>
      <c r="GBR21" s="2185"/>
      <c r="GBS21" s="16"/>
      <c r="GBT21" s="2185"/>
      <c r="GBU21" s="16"/>
      <c r="GBV21" s="2185"/>
      <c r="GBW21" s="16"/>
      <c r="GBX21" s="2185"/>
      <c r="GBY21" s="16"/>
      <c r="GBZ21" s="2185"/>
      <c r="GCA21" s="16"/>
      <c r="GCB21" s="2185"/>
      <c r="GCC21" s="16"/>
      <c r="GCD21" s="2185"/>
      <c r="GCE21" s="16"/>
      <c r="GCF21" s="2185"/>
      <c r="GCG21" s="16"/>
      <c r="GCH21" s="2185"/>
      <c r="GCI21" s="16"/>
      <c r="GCJ21" s="2185"/>
      <c r="GCK21" s="16"/>
      <c r="GCL21" s="2185"/>
      <c r="GCM21" s="16"/>
      <c r="GCN21" s="2185"/>
      <c r="GCO21" s="16"/>
      <c r="GCP21" s="2185"/>
      <c r="GCQ21" s="16"/>
      <c r="GCR21" s="2185"/>
      <c r="GCS21" s="16"/>
      <c r="GCT21" s="2185"/>
      <c r="GCU21" s="16"/>
      <c r="GCV21" s="2185"/>
      <c r="GCW21" s="16"/>
      <c r="GCX21" s="2185"/>
      <c r="GCY21" s="16"/>
      <c r="GCZ21" s="2185"/>
      <c r="GDA21" s="16"/>
      <c r="GDB21" s="2185"/>
      <c r="GDC21" s="16"/>
      <c r="GDD21" s="2185"/>
      <c r="GDE21" s="16"/>
      <c r="GDF21" s="2185"/>
      <c r="GDG21" s="16"/>
      <c r="GDH21" s="2185"/>
      <c r="GDI21" s="16"/>
      <c r="GDJ21" s="2185"/>
      <c r="GDK21" s="16"/>
      <c r="GDL21" s="2185"/>
      <c r="GDM21" s="16"/>
      <c r="GDN21" s="2185"/>
      <c r="GDO21" s="16"/>
      <c r="GDP21" s="2185"/>
      <c r="GDQ21" s="16"/>
      <c r="GDR21" s="2185"/>
      <c r="GDS21" s="16"/>
      <c r="GDT21" s="2185"/>
      <c r="GDU21" s="16"/>
      <c r="GDV21" s="2185"/>
      <c r="GDW21" s="16"/>
      <c r="GDX21" s="2185"/>
      <c r="GDY21" s="16"/>
      <c r="GDZ21" s="2185"/>
      <c r="GEA21" s="16"/>
      <c r="GEB21" s="2185"/>
      <c r="GEC21" s="16"/>
      <c r="GED21" s="2185"/>
      <c r="GEE21" s="16"/>
      <c r="GEF21" s="2185"/>
      <c r="GEG21" s="16"/>
      <c r="GEH21" s="2185"/>
      <c r="GEI21" s="16"/>
      <c r="GEJ21" s="2185"/>
      <c r="GEK21" s="16"/>
      <c r="GEL21" s="2185"/>
      <c r="GEM21" s="16"/>
      <c r="GEN21" s="2185"/>
      <c r="GEO21" s="16"/>
      <c r="GEP21" s="2185"/>
      <c r="GEQ21" s="16"/>
      <c r="GER21" s="2185"/>
      <c r="GES21" s="16"/>
      <c r="GET21" s="2185"/>
      <c r="GEU21" s="16"/>
      <c r="GEV21" s="2185"/>
      <c r="GEW21" s="16"/>
      <c r="GEX21" s="2185"/>
      <c r="GEY21" s="16"/>
      <c r="GEZ21" s="2185"/>
      <c r="GFA21" s="16"/>
      <c r="GFB21" s="2185"/>
      <c r="GFC21" s="16"/>
      <c r="GFD21" s="2185"/>
      <c r="GFE21" s="16"/>
      <c r="GFF21" s="2185"/>
      <c r="GFG21" s="16"/>
      <c r="GFH21" s="2185"/>
      <c r="GFI21" s="16"/>
      <c r="GFJ21" s="2185"/>
      <c r="GFK21" s="16"/>
      <c r="GFL21" s="2185"/>
      <c r="GFM21" s="16"/>
      <c r="GFN21" s="2185"/>
      <c r="GFO21" s="16"/>
      <c r="GFP21" s="2185"/>
      <c r="GFQ21" s="16"/>
      <c r="GFR21" s="2185"/>
      <c r="GFS21" s="16"/>
      <c r="GFT21" s="2185"/>
      <c r="GFU21" s="16"/>
      <c r="GFV21" s="2185"/>
      <c r="GFW21" s="16"/>
      <c r="GFX21" s="2185"/>
      <c r="GFY21" s="16"/>
      <c r="GFZ21" s="2185"/>
      <c r="GGA21" s="16"/>
      <c r="GGB21" s="2185"/>
      <c r="GGC21" s="16"/>
      <c r="GGD21" s="2185"/>
      <c r="GGE21" s="16"/>
      <c r="GGF21" s="2185"/>
      <c r="GGG21" s="16"/>
      <c r="GGH21" s="2185"/>
      <c r="GGI21" s="16"/>
      <c r="GGJ21" s="2185"/>
      <c r="GGK21" s="16"/>
      <c r="GGL21" s="2185"/>
      <c r="GGM21" s="16"/>
      <c r="GGN21" s="2185"/>
      <c r="GGO21" s="16"/>
      <c r="GGP21" s="2185"/>
      <c r="GGQ21" s="16"/>
      <c r="GGR21" s="2185"/>
      <c r="GGS21" s="16"/>
      <c r="GGT21" s="2185"/>
      <c r="GGU21" s="16"/>
      <c r="GGV21" s="2185"/>
      <c r="GGW21" s="16"/>
      <c r="GGX21" s="2185"/>
      <c r="GGY21" s="16"/>
      <c r="GGZ21" s="2185"/>
      <c r="GHA21" s="16"/>
      <c r="GHB21" s="2185"/>
      <c r="GHC21" s="16"/>
      <c r="GHD21" s="2185"/>
      <c r="GHE21" s="16"/>
      <c r="GHF21" s="2185"/>
      <c r="GHG21" s="16"/>
      <c r="GHH21" s="2185"/>
      <c r="GHI21" s="16"/>
      <c r="GHJ21" s="2185"/>
      <c r="GHK21" s="16"/>
      <c r="GHL21" s="2185"/>
      <c r="GHM21" s="16"/>
      <c r="GHN21" s="2185"/>
      <c r="GHO21" s="16"/>
      <c r="GHP21" s="2185"/>
      <c r="GHQ21" s="16"/>
      <c r="GHR21" s="2185"/>
      <c r="GHS21" s="16"/>
      <c r="GHT21" s="2185"/>
      <c r="GHU21" s="16"/>
      <c r="GHV21" s="2185"/>
      <c r="GHW21" s="16"/>
      <c r="GHX21" s="2185"/>
      <c r="GHY21" s="16"/>
      <c r="GHZ21" s="2185"/>
      <c r="GIA21" s="16"/>
      <c r="GIB21" s="2185"/>
      <c r="GIC21" s="16"/>
      <c r="GID21" s="2185"/>
      <c r="GIE21" s="16"/>
      <c r="GIF21" s="2185"/>
      <c r="GIG21" s="16"/>
      <c r="GIH21" s="2185"/>
      <c r="GII21" s="16"/>
      <c r="GIJ21" s="2185"/>
      <c r="GIK21" s="16"/>
      <c r="GIL21" s="2185"/>
      <c r="GIM21" s="16"/>
      <c r="GIN21" s="2185"/>
      <c r="GIO21" s="16"/>
      <c r="GIP21" s="2185"/>
      <c r="GIQ21" s="16"/>
      <c r="GIR21" s="2185"/>
      <c r="GIS21" s="16"/>
      <c r="GIT21" s="2185"/>
      <c r="GIU21" s="16"/>
      <c r="GIV21" s="2185"/>
      <c r="GIW21" s="16"/>
      <c r="GIX21" s="2185"/>
      <c r="GIY21" s="16"/>
      <c r="GIZ21" s="2185"/>
      <c r="GJA21" s="16"/>
      <c r="GJB21" s="2185"/>
      <c r="GJC21" s="16"/>
      <c r="GJD21" s="2185"/>
      <c r="GJE21" s="16"/>
      <c r="GJF21" s="2185"/>
      <c r="GJG21" s="16"/>
      <c r="GJH21" s="2185"/>
      <c r="GJI21" s="16"/>
      <c r="GJJ21" s="2185"/>
      <c r="GJK21" s="16"/>
      <c r="GJL21" s="2185"/>
      <c r="GJM21" s="16"/>
      <c r="GJN21" s="2185"/>
      <c r="GJO21" s="16"/>
      <c r="GJP21" s="2185"/>
      <c r="GJQ21" s="16"/>
      <c r="GJR21" s="2185"/>
      <c r="GJS21" s="16"/>
      <c r="GJT21" s="2185"/>
      <c r="GJU21" s="16"/>
      <c r="GJV21" s="2185"/>
      <c r="GJW21" s="16"/>
      <c r="GJX21" s="2185"/>
      <c r="GJY21" s="16"/>
      <c r="GJZ21" s="2185"/>
      <c r="GKA21" s="16"/>
      <c r="GKB21" s="2185"/>
      <c r="GKC21" s="16"/>
      <c r="GKD21" s="2185"/>
      <c r="GKE21" s="16"/>
      <c r="GKF21" s="2185"/>
      <c r="GKG21" s="16"/>
      <c r="GKH21" s="2185"/>
      <c r="GKI21" s="16"/>
      <c r="GKJ21" s="2185"/>
      <c r="GKK21" s="16"/>
      <c r="GKL21" s="2185"/>
      <c r="GKM21" s="16"/>
      <c r="GKN21" s="2185"/>
      <c r="GKO21" s="16"/>
      <c r="GKP21" s="2185"/>
      <c r="GKQ21" s="16"/>
      <c r="GKR21" s="2185"/>
      <c r="GKS21" s="16"/>
      <c r="GKT21" s="2185"/>
      <c r="GKU21" s="16"/>
      <c r="GKV21" s="2185"/>
      <c r="GKW21" s="16"/>
      <c r="GKX21" s="2185"/>
      <c r="GKY21" s="16"/>
      <c r="GKZ21" s="2185"/>
      <c r="GLA21" s="16"/>
      <c r="GLB21" s="2185"/>
      <c r="GLC21" s="16"/>
      <c r="GLD21" s="2185"/>
      <c r="GLE21" s="16"/>
      <c r="GLF21" s="2185"/>
      <c r="GLG21" s="16"/>
      <c r="GLH21" s="2185"/>
      <c r="GLI21" s="16"/>
      <c r="GLJ21" s="2185"/>
      <c r="GLK21" s="16"/>
      <c r="GLL21" s="2185"/>
      <c r="GLM21" s="16"/>
      <c r="GLN21" s="2185"/>
      <c r="GLO21" s="16"/>
      <c r="GLP21" s="2185"/>
      <c r="GLQ21" s="16"/>
      <c r="GLR21" s="2185"/>
      <c r="GLS21" s="16"/>
      <c r="GLT21" s="2185"/>
      <c r="GLU21" s="16"/>
      <c r="GLV21" s="2185"/>
      <c r="GLW21" s="16"/>
      <c r="GLX21" s="2185"/>
      <c r="GLY21" s="16"/>
      <c r="GLZ21" s="2185"/>
      <c r="GMA21" s="16"/>
      <c r="GMB21" s="2185"/>
      <c r="GMC21" s="16"/>
      <c r="GMD21" s="2185"/>
      <c r="GME21" s="16"/>
      <c r="GMF21" s="2185"/>
      <c r="GMG21" s="16"/>
      <c r="GMH21" s="2185"/>
      <c r="GMI21" s="16"/>
      <c r="GMJ21" s="2185"/>
      <c r="GMK21" s="16"/>
      <c r="GML21" s="2185"/>
      <c r="GMM21" s="16"/>
      <c r="GMN21" s="2185"/>
      <c r="GMO21" s="16"/>
      <c r="GMP21" s="2185"/>
      <c r="GMQ21" s="16"/>
      <c r="GMR21" s="2185"/>
      <c r="GMS21" s="16"/>
      <c r="GMT21" s="2185"/>
      <c r="GMU21" s="16"/>
      <c r="GMV21" s="2185"/>
      <c r="GMW21" s="16"/>
      <c r="GMX21" s="2185"/>
      <c r="GMY21" s="16"/>
      <c r="GMZ21" s="2185"/>
      <c r="GNA21" s="16"/>
      <c r="GNB21" s="2185"/>
      <c r="GNC21" s="16"/>
      <c r="GND21" s="2185"/>
      <c r="GNE21" s="16"/>
      <c r="GNF21" s="2185"/>
      <c r="GNG21" s="16"/>
      <c r="GNH21" s="2185"/>
      <c r="GNI21" s="16"/>
      <c r="GNJ21" s="2185"/>
      <c r="GNK21" s="16"/>
      <c r="GNL21" s="2185"/>
      <c r="GNM21" s="16"/>
      <c r="GNN21" s="2185"/>
      <c r="GNO21" s="16"/>
      <c r="GNP21" s="2185"/>
      <c r="GNQ21" s="16"/>
      <c r="GNR21" s="2185"/>
      <c r="GNS21" s="16"/>
      <c r="GNT21" s="2185"/>
      <c r="GNU21" s="16"/>
      <c r="GNV21" s="2185"/>
      <c r="GNW21" s="16"/>
      <c r="GNX21" s="2185"/>
      <c r="GNY21" s="16"/>
      <c r="GNZ21" s="2185"/>
      <c r="GOA21" s="16"/>
      <c r="GOB21" s="2185"/>
      <c r="GOC21" s="16"/>
      <c r="GOD21" s="2185"/>
      <c r="GOE21" s="16"/>
      <c r="GOF21" s="2185"/>
      <c r="GOG21" s="16"/>
      <c r="GOH21" s="2185"/>
      <c r="GOI21" s="16"/>
      <c r="GOJ21" s="2185"/>
      <c r="GOK21" s="16"/>
      <c r="GOL21" s="2185"/>
      <c r="GOM21" s="16"/>
      <c r="GON21" s="2185"/>
      <c r="GOO21" s="16"/>
      <c r="GOP21" s="2185"/>
      <c r="GOQ21" s="16"/>
      <c r="GOR21" s="2185"/>
      <c r="GOS21" s="16"/>
      <c r="GOT21" s="2185"/>
      <c r="GOU21" s="16"/>
      <c r="GOV21" s="2185"/>
      <c r="GOW21" s="16"/>
      <c r="GOX21" s="2185"/>
      <c r="GOY21" s="16"/>
      <c r="GOZ21" s="2185"/>
      <c r="GPA21" s="16"/>
      <c r="GPB21" s="2185"/>
      <c r="GPC21" s="16"/>
      <c r="GPD21" s="2185"/>
      <c r="GPE21" s="16"/>
      <c r="GPF21" s="2185"/>
      <c r="GPG21" s="16"/>
      <c r="GPH21" s="2185"/>
      <c r="GPI21" s="16"/>
      <c r="GPJ21" s="2185"/>
      <c r="GPK21" s="16"/>
      <c r="GPL21" s="2185"/>
      <c r="GPM21" s="16"/>
      <c r="GPN21" s="2185"/>
      <c r="GPO21" s="16"/>
      <c r="GPP21" s="2185"/>
      <c r="GPQ21" s="16"/>
      <c r="GPR21" s="2185"/>
      <c r="GPS21" s="16"/>
      <c r="GPT21" s="2185"/>
      <c r="GPU21" s="16"/>
      <c r="GPV21" s="2185"/>
      <c r="GPW21" s="16"/>
      <c r="GPX21" s="2185"/>
      <c r="GPY21" s="16"/>
      <c r="GPZ21" s="2185"/>
      <c r="GQA21" s="16"/>
      <c r="GQB21" s="2185"/>
      <c r="GQC21" s="16"/>
      <c r="GQD21" s="2185"/>
      <c r="GQE21" s="16"/>
      <c r="GQF21" s="2185"/>
      <c r="GQG21" s="16"/>
      <c r="GQH21" s="2185"/>
      <c r="GQI21" s="16"/>
      <c r="GQJ21" s="2185"/>
      <c r="GQK21" s="16"/>
      <c r="GQL21" s="2185"/>
      <c r="GQM21" s="16"/>
      <c r="GQN21" s="2185"/>
      <c r="GQO21" s="16"/>
      <c r="GQP21" s="2185"/>
      <c r="GQQ21" s="16"/>
      <c r="GQR21" s="2185"/>
      <c r="GQS21" s="16"/>
      <c r="GQT21" s="2185"/>
      <c r="GQU21" s="16"/>
      <c r="GQV21" s="2185"/>
      <c r="GQW21" s="16"/>
      <c r="GQX21" s="2185"/>
      <c r="GQY21" s="16"/>
      <c r="GQZ21" s="2185"/>
      <c r="GRA21" s="16"/>
      <c r="GRB21" s="2185"/>
      <c r="GRC21" s="16"/>
      <c r="GRD21" s="2185"/>
      <c r="GRE21" s="16"/>
      <c r="GRF21" s="2185"/>
      <c r="GRG21" s="16"/>
      <c r="GRH21" s="2185"/>
      <c r="GRI21" s="16"/>
      <c r="GRJ21" s="2185"/>
      <c r="GRK21" s="16"/>
      <c r="GRL21" s="2185"/>
      <c r="GRM21" s="16"/>
      <c r="GRN21" s="2185"/>
      <c r="GRO21" s="16"/>
      <c r="GRP21" s="2185"/>
      <c r="GRQ21" s="16"/>
      <c r="GRR21" s="2185"/>
      <c r="GRS21" s="16"/>
      <c r="GRT21" s="2185"/>
      <c r="GRU21" s="16"/>
      <c r="GRV21" s="2185"/>
      <c r="GRW21" s="16"/>
      <c r="GRX21" s="2185"/>
      <c r="GRY21" s="16"/>
      <c r="GRZ21" s="2185"/>
      <c r="GSA21" s="16"/>
      <c r="GSB21" s="2185"/>
      <c r="GSC21" s="16"/>
      <c r="GSD21" s="2185"/>
      <c r="GSE21" s="16"/>
      <c r="GSF21" s="2185"/>
      <c r="GSG21" s="16"/>
      <c r="GSH21" s="2185"/>
      <c r="GSI21" s="16"/>
      <c r="GSJ21" s="2185"/>
      <c r="GSK21" s="16"/>
      <c r="GSL21" s="2185"/>
      <c r="GSM21" s="16"/>
      <c r="GSN21" s="2185"/>
      <c r="GSO21" s="16"/>
      <c r="GSP21" s="2185"/>
      <c r="GSQ21" s="16"/>
      <c r="GSR21" s="2185"/>
      <c r="GSS21" s="16"/>
      <c r="GST21" s="2185"/>
      <c r="GSU21" s="16"/>
      <c r="GSV21" s="2185"/>
      <c r="GSW21" s="16"/>
      <c r="GSX21" s="2185"/>
      <c r="GSY21" s="16"/>
      <c r="GSZ21" s="2185"/>
      <c r="GTA21" s="16"/>
      <c r="GTB21" s="2185"/>
      <c r="GTC21" s="16"/>
      <c r="GTD21" s="2185"/>
      <c r="GTE21" s="16"/>
      <c r="GTF21" s="2185"/>
      <c r="GTG21" s="16"/>
      <c r="GTH21" s="2185"/>
      <c r="GTI21" s="16"/>
      <c r="GTJ21" s="2185"/>
      <c r="GTK21" s="16"/>
      <c r="GTL21" s="2185"/>
      <c r="GTM21" s="16"/>
      <c r="GTN21" s="2185"/>
      <c r="GTO21" s="16"/>
      <c r="GTP21" s="2185"/>
      <c r="GTQ21" s="16"/>
      <c r="GTR21" s="2185"/>
      <c r="GTS21" s="16"/>
      <c r="GTT21" s="2185"/>
      <c r="GTU21" s="16"/>
      <c r="GTV21" s="2185"/>
      <c r="GTW21" s="16"/>
      <c r="GTX21" s="2185"/>
      <c r="GTY21" s="16"/>
      <c r="GTZ21" s="2185"/>
      <c r="GUA21" s="16"/>
      <c r="GUB21" s="2185"/>
      <c r="GUC21" s="16"/>
      <c r="GUD21" s="2185"/>
      <c r="GUE21" s="16"/>
      <c r="GUF21" s="2185"/>
      <c r="GUG21" s="16"/>
      <c r="GUH21" s="2185"/>
      <c r="GUI21" s="16"/>
      <c r="GUJ21" s="2185"/>
      <c r="GUK21" s="16"/>
      <c r="GUL21" s="2185"/>
      <c r="GUM21" s="16"/>
      <c r="GUN21" s="2185"/>
      <c r="GUO21" s="16"/>
      <c r="GUP21" s="2185"/>
      <c r="GUQ21" s="16"/>
      <c r="GUR21" s="2185"/>
      <c r="GUS21" s="16"/>
      <c r="GUT21" s="2185"/>
      <c r="GUU21" s="16"/>
      <c r="GUV21" s="2185"/>
      <c r="GUW21" s="16"/>
      <c r="GUX21" s="2185"/>
      <c r="GUY21" s="16"/>
      <c r="GUZ21" s="2185"/>
      <c r="GVA21" s="16"/>
      <c r="GVB21" s="2185"/>
      <c r="GVC21" s="16"/>
      <c r="GVD21" s="2185"/>
      <c r="GVE21" s="16"/>
      <c r="GVF21" s="2185"/>
      <c r="GVG21" s="16"/>
      <c r="GVH21" s="2185"/>
      <c r="GVI21" s="16"/>
      <c r="GVJ21" s="2185"/>
      <c r="GVK21" s="16"/>
      <c r="GVL21" s="2185"/>
      <c r="GVM21" s="16"/>
      <c r="GVN21" s="2185"/>
      <c r="GVO21" s="16"/>
      <c r="GVP21" s="2185"/>
      <c r="GVQ21" s="16"/>
      <c r="GVR21" s="2185"/>
      <c r="GVS21" s="16"/>
      <c r="GVT21" s="2185"/>
      <c r="GVU21" s="16"/>
      <c r="GVV21" s="2185"/>
      <c r="GVW21" s="16"/>
      <c r="GVX21" s="2185"/>
      <c r="GVY21" s="16"/>
      <c r="GVZ21" s="2185"/>
      <c r="GWA21" s="16"/>
      <c r="GWB21" s="2185"/>
      <c r="GWC21" s="16"/>
      <c r="GWD21" s="2185"/>
      <c r="GWE21" s="16"/>
      <c r="GWF21" s="2185"/>
      <c r="GWG21" s="16"/>
      <c r="GWH21" s="2185"/>
      <c r="GWI21" s="16"/>
      <c r="GWJ21" s="2185"/>
      <c r="GWK21" s="16"/>
      <c r="GWL21" s="2185"/>
      <c r="GWM21" s="16"/>
      <c r="GWN21" s="2185"/>
      <c r="GWO21" s="16"/>
      <c r="GWP21" s="2185"/>
      <c r="GWQ21" s="16"/>
      <c r="GWR21" s="2185"/>
      <c r="GWS21" s="16"/>
      <c r="GWT21" s="2185"/>
      <c r="GWU21" s="16"/>
      <c r="GWV21" s="2185"/>
      <c r="GWW21" s="16"/>
      <c r="GWX21" s="2185"/>
      <c r="GWY21" s="16"/>
      <c r="GWZ21" s="2185"/>
      <c r="GXA21" s="16"/>
      <c r="GXB21" s="2185"/>
      <c r="GXC21" s="16"/>
      <c r="GXD21" s="2185"/>
      <c r="GXE21" s="16"/>
      <c r="GXF21" s="2185"/>
      <c r="GXG21" s="16"/>
      <c r="GXH21" s="2185"/>
      <c r="GXI21" s="16"/>
      <c r="GXJ21" s="2185"/>
      <c r="GXK21" s="16"/>
      <c r="GXL21" s="2185"/>
      <c r="GXM21" s="16"/>
      <c r="GXN21" s="2185"/>
      <c r="GXO21" s="16"/>
      <c r="GXP21" s="2185"/>
      <c r="GXQ21" s="16"/>
      <c r="GXR21" s="2185"/>
      <c r="GXS21" s="16"/>
      <c r="GXT21" s="2185"/>
      <c r="GXU21" s="16"/>
      <c r="GXV21" s="2185"/>
      <c r="GXW21" s="16"/>
      <c r="GXX21" s="2185"/>
      <c r="GXY21" s="16"/>
      <c r="GXZ21" s="2185"/>
      <c r="GYA21" s="16"/>
      <c r="GYB21" s="2185"/>
      <c r="GYC21" s="16"/>
      <c r="GYD21" s="2185"/>
      <c r="GYE21" s="16"/>
      <c r="GYF21" s="2185"/>
      <c r="GYG21" s="16"/>
      <c r="GYH21" s="2185"/>
      <c r="GYI21" s="16"/>
      <c r="GYJ21" s="2185"/>
      <c r="GYK21" s="16"/>
      <c r="GYL21" s="2185"/>
      <c r="GYM21" s="16"/>
      <c r="GYN21" s="2185"/>
      <c r="GYO21" s="16"/>
      <c r="GYP21" s="2185"/>
      <c r="GYQ21" s="16"/>
      <c r="GYR21" s="2185"/>
      <c r="GYS21" s="16"/>
      <c r="GYT21" s="2185"/>
      <c r="GYU21" s="16"/>
      <c r="GYV21" s="2185"/>
      <c r="GYW21" s="16"/>
      <c r="GYX21" s="2185"/>
      <c r="GYY21" s="16"/>
      <c r="GYZ21" s="2185"/>
      <c r="GZA21" s="16"/>
      <c r="GZB21" s="2185"/>
      <c r="GZC21" s="16"/>
      <c r="GZD21" s="2185"/>
      <c r="GZE21" s="16"/>
      <c r="GZF21" s="2185"/>
      <c r="GZG21" s="16"/>
      <c r="GZH21" s="2185"/>
      <c r="GZI21" s="16"/>
      <c r="GZJ21" s="2185"/>
      <c r="GZK21" s="16"/>
      <c r="GZL21" s="2185"/>
      <c r="GZM21" s="16"/>
      <c r="GZN21" s="2185"/>
      <c r="GZO21" s="16"/>
      <c r="GZP21" s="2185"/>
      <c r="GZQ21" s="16"/>
      <c r="GZR21" s="2185"/>
      <c r="GZS21" s="16"/>
      <c r="GZT21" s="2185"/>
      <c r="GZU21" s="16"/>
      <c r="GZV21" s="2185"/>
      <c r="GZW21" s="16"/>
      <c r="GZX21" s="2185"/>
      <c r="GZY21" s="16"/>
      <c r="GZZ21" s="2185"/>
      <c r="HAA21" s="16"/>
      <c r="HAB21" s="2185"/>
      <c r="HAC21" s="16"/>
      <c r="HAD21" s="2185"/>
      <c r="HAE21" s="16"/>
      <c r="HAF21" s="2185"/>
      <c r="HAG21" s="16"/>
      <c r="HAH21" s="2185"/>
      <c r="HAI21" s="16"/>
      <c r="HAJ21" s="2185"/>
      <c r="HAK21" s="16"/>
      <c r="HAL21" s="2185"/>
      <c r="HAM21" s="16"/>
      <c r="HAN21" s="2185"/>
      <c r="HAO21" s="16"/>
      <c r="HAP21" s="2185"/>
      <c r="HAQ21" s="16"/>
      <c r="HAR21" s="2185"/>
      <c r="HAS21" s="16"/>
      <c r="HAT21" s="2185"/>
      <c r="HAU21" s="16"/>
      <c r="HAV21" s="2185"/>
      <c r="HAW21" s="16"/>
      <c r="HAX21" s="2185"/>
      <c r="HAY21" s="16"/>
      <c r="HAZ21" s="2185"/>
      <c r="HBA21" s="16"/>
      <c r="HBB21" s="2185"/>
      <c r="HBC21" s="16"/>
      <c r="HBD21" s="2185"/>
      <c r="HBE21" s="16"/>
      <c r="HBF21" s="2185"/>
      <c r="HBG21" s="16"/>
      <c r="HBH21" s="2185"/>
      <c r="HBI21" s="16"/>
      <c r="HBJ21" s="2185"/>
      <c r="HBK21" s="16"/>
      <c r="HBL21" s="2185"/>
      <c r="HBM21" s="16"/>
      <c r="HBN21" s="2185"/>
      <c r="HBO21" s="16"/>
      <c r="HBP21" s="2185"/>
      <c r="HBQ21" s="16"/>
      <c r="HBR21" s="2185"/>
      <c r="HBS21" s="16"/>
      <c r="HBT21" s="2185"/>
      <c r="HBU21" s="16"/>
      <c r="HBV21" s="2185"/>
      <c r="HBW21" s="16"/>
      <c r="HBX21" s="2185"/>
      <c r="HBY21" s="16"/>
      <c r="HBZ21" s="2185"/>
      <c r="HCA21" s="16"/>
      <c r="HCB21" s="2185"/>
      <c r="HCC21" s="16"/>
      <c r="HCD21" s="2185"/>
      <c r="HCE21" s="16"/>
      <c r="HCF21" s="2185"/>
      <c r="HCG21" s="16"/>
      <c r="HCH21" s="2185"/>
      <c r="HCI21" s="16"/>
      <c r="HCJ21" s="2185"/>
      <c r="HCK21" s="16"/>
      <c r="HCL21" s="2185"/>
      <c r="HCM21" s="16"/>
      <c r="HCN21" s="2185"/>
      <c r="HCO21" s="16"/>
      <c r="HCP21" s="2185"/>
      <c r="HCQ21" s="16"/>
      <c r="HCR21" s="2185"/>
      <c r="HCS21" s="16"/>
      <c r="HCT21" s="2185"/>
      <c r="HCU21" s="16"/>
      <c r="HCV21" s="2185"/>
      <c r="HCW21" s="16"/>
      <c r="HCX21" s="2185"/>
      <c r="HCY21" s="16"/>
      <c r="HCZ21" s="2185"/>
      <c r="HDA21" s="16"/>
      <c r="HDB21" s="2185"/>
      <c r="HDC21" s="16"/>
      <c r="HDD21" s="2185"/>
      <c r="HDE21" s="16"/>
      <c r="HDF21" s="2185"/>
      <c r="HDG21" s="16"/>
      <c r="HDH21" s="2185"/>
      <c r="HDI21" s="16"/>
      <c r="HDJ21" s="2185"/>
      <c r="HDK21" s="16"/>
      <c r="HDL21" s="2185"/>
      <c r="HDM21" s="16"/>
      <c r="HDN21" s="2185"/>
      <c r="HDO21" s="16"/>
      <c r="HDP21" s="2185"/>
      <c r="HDQ21" s="16"/>
      <c r="HDR21" s="2185"/>
      <c r="HDS21" s="16"/>
      <c r="HDT21" s="2185"/>
      <c r="HDU21" s="16"/>
      <c r="HDV21" s="2185"/>
      <c r="HDW21" s="16"/>
      <c r="HDX21" s="2185"/>
      <c r="HDY21" s="16"/>
      <c r="HDZ21" s="2185"/>
      <c r="HEA21" s="16"/>
      <c r="HEB21" s="2185"/>
      <c r="HEC21" s="16"/>
      <c r="HED21" s="2185"/>
      <c r="HEE21" s="16"/>
      <c r="HEF21" s="2185"/>
      <c r="HEG21" s="16"/>
      <c r="HEH21" s="2185"/>
      <c r="HEI21" s="16"/>
      <c r="HEJ21" s="2185"/>
      <c r="HEK21" s="16"/>
      <c r="HEL21" s="2185"/>
      <c r="HEM21" s="16"/>
      <c r="HEN21" s="2185"/>
      <c r="HEO21" s="16"/>
      <c r="HEP21" s="2185"/>
      <c r="HEQ21" s="16"/>
      <c r="HER21" s="2185"/>
      <c r="HES21" s="16"/>
      <c r="HET21" s="2185"/>
      <c r="HEU21" s="16"/>
      <c r="HEV21" s="2185"/>
      <c r="HEW21" s="16"/>
      <c r="HEX21" s="2185"/>
      <c r="HEY21" s="16"/>
      <c r="HEZ21" s="2185"/>
      <c r="HFA21" s="16"/>
      <c r="HFB21" s="2185"/>
      <c r="HFC21" s="16"/>
      <c r="HFD21" s="2185"/>
      <c r="HFE21" s="16"/>
      <c r="HFF21" s="2185"/>
      <c r="HFG21" s="16"/>
      <c r="HFH21" s="2185"/>
      <c r="HFI21" s="16"/>
      <c r="HFJ21" s="2185"/>
      <c r="HFK21" s="16"/>
      <c r="HFL21" s="2185"/>
      <c r="HFM21" s="16"/>
      <c r="HFN21" s="2185"/>
      <c r="HFO21" s="16"/>
      <c r="HFP21" s="2185"/>
      <c r="HFQ21" s="16"/>
      <c r="HFR21" s="2185"/>
      <c r="HFS21" s="16"/>
      <c r="HFT21" s="2185"/>
      <c r="HFU21" s="16"/>
      <c r="HFV21" s="2185"/>
      <c r="HFW21" s="16"/>
      <c r="HFX21" s="2185"/>
      <c r="HFY21" s="16"/>
      <c r="HFZ21" s="2185"/>
      <c r="HGA21" s="16"/>
      <c r="HGB21" s="2185"/>
      <c r="HGC21" s="16"/>
      <c r="HGD21" s="2185"/>
      <c r="HGE21" s="16"/>
      <c r="HGF21" s="2185"/>
      <c r="HGG21" s="16"/>
      <c r="HGH21" s="2185"/>
      <c r="HGI21" s="16"/>
      <c r="HGJ21" s="2185"/>
      <c r="HGK21" s="16"/>
      <c r="HGL21" s="2185"/>
      <c r="HGM21" s="16"/>
      <c r="HGN21" s="2185"/>
      <c r="HGO21" s="16"/>
      <c r="HGP21" s="2185"/>
      <c r="HGQ21" s="16"/>
      <c r="HGR21" s="2185"/>
      <c r="HGS21" s="16"/>
      <c r="HGT21" s="2185"/>
      <c r="HGU21" s="16"/>
      <c r="HGV21" s="2185"/>
      <c r="HGW21" s="16"/>
      <c r="HGX21" s="2185"/>
      <c r="HGY21" s="16"/>
      <c r="HGZ21" s="2185"/>
      <c r="HHA21" s="16"/>
      <c r="HHB21" s="2185"/>
      <c r="HHC21" s="16"/>
      <c r="HHD21" s="2185"/>
      <c r="HHE21" s="16"/>
      <c r="HHF21" s="2185"/>
      <c r="HHG21" s="16"/>
      <c r="HHH21" s="2185"/>
      <c r="HHI21" s="16"/>
      <c r="HHJ21" s="2185"/>
      <c r="HHK21" s="16"/>
      <c r="HHL21" s="2185"/>
      <c r="HHM21" s="16"/>
      <c r="HHN21" s="2185"/>
      <c r="HHO21" s="16"/>
      <c r="HHP21" s="2185"/>
      <c r="HHQ21" s="16"/>
      <c r="HHR21" s="2185"/>
      <c r="HHS21" s="16"/>
      <c r="HHT21" s="2185"/>
      <c r="HHU21" s="16"/>
      <c r="HHV21" s="2185"/>
      <c r="HHW21" s="16"/>
      <c r="HHX21" s="2185"/>
      <c r="HHY21" s="16"/>
      <c r="HHZ21" s="2185"/>
      <c r="HIA21" s="16"/>
      <c r="HIB21" s="2185"/>
      <c r="HIC21" s="16"/>
      <c r="HID21" s="2185"/>
      <c r="HIE21" s="16"/>
      <c r="HIF21" s="2185"/>
      <c r="HIG21" s="16"/>
      <c r="HIH21" s="2185"/>
      <c r="HII21" s="16"/>
      <c r="HIJ21" s="2185"/>
      <c r="HIK21" s="16"/>
      <c r="HIL21" s="2185"/>
      <c r="HIM21" s="16"/>
      <c r="HIN21" s="2185"/>
      <c r="HIO21" s="16"/>
      <c r="HIP21" s="2185"/>
      <c r="HIQ21" s="16"/>
      <c r="HIR21" s="2185"/>
      <c r="HIS21" s="16"/>
      <c r="HIT21" s="2185"/>
      <c r="HIU21" s="16"/>
      <c r="HIV21" s="2185"/>
      <c r="HIW21" s="16"/>
      <c r="HIX21" s="2185"/>
      <c r="HIY21" s="16"/>
      <c r="HIZ21" s="2185"/>
      <c r="HJA21" s="16"/>
      <c r="HJB21" s="2185"/>
      <c r="HJC21" s="16"/>
      <c r="HJD21" s="2185"/>
      <c r="HJE21" s="16"/>
      <c r="HJF21" s="2185"/>
      <c r="HJG21" s="16"/>
      <c r="HJH21" s="2185"/>
      <c r="HJI21" s="16"/>
      <c r="HJJ21" s="2185"/>
      <c r="HJK21" s="16"/>
      <c r="HJL21" s="2185"/>
      <c r="HJM21" s="16"/>
      <c r="HJN21" s="2185"/>
      <c r="HJO21" s="16"/>
      <c r="HJP21" s="2185"/>
      <c r="HJQ21" s="16"/>
      <c r="HJR21" s="2185"/>
      <c r="HJS21" s="16"/>
      <c r="HJT21" s="2185"/>
      <c r="HJU21" s="16"/>
      <c r="HJV21" s="2185"/>
      <c r="HJW21" s="16"/>
      <c r="HJX21" s="2185"/>
      <c r="HJY21" s="16"/>
      <c r="HJZ21" s="2185"/>
      <c r="HKA21" s="16"/>
      <c r="HKB21" s="2185"/>
      <c r="HKC21" s="16"/>
      <c r="HKD21" s="2185"/>
      <c r="HKE21" s="16"/>
      <c r="HKF21" s="2185"/>
      <c r="HKG21" s="16"/>
      <c r="HKH21" s="2185"/>
      <c r="HKI21" s="16"/>
      <c r="HKJ21" s="2185"/>
      <c r="HKK21" s="16"/>
      <c r="HKL21" s="2185"/>
      <c r="HKM21" s="16"/>
      <c r="HKN21" s="2185"/>
      <c r="HKO21" s="16"/>
      <c r="HKP21" s="2185"/>
      <c r="HKQ21" s="16"/>
      <c r="HKR21" s="2185"/>
      <c r="HKS21" s="16"/>
      <c r="HKT21" s="2185"/>
      <c r="HKU21" s="16"/>
      <c r="HKV21" s="2185"/>
      <c r="HKW21" s="16"/>
      <c r="HKX21" s="2185"/>
      <c r="HKY21" s="16"/>
      <c r="HKZ21" s="2185"/>
      <c r="HLA21" s="16"/>
      <c r="HLB21" s="2185"/>
      <c r="HLC21" s="16"/>
      <c r="HLD21" s="2185"/>
      <c r="HLE21" s="16"/>
      <c r="HLF21" s="2185"/>
      <c r="HLG21" s="16"/>
      <c r="HLH21" s="2185"/>
      <c r="HLI21" s="16"/>
      <c r="HLJ21" s="2185"/>
      <c r="HLK21" s="16"/>
      <c r="HLL21" s="2185"/>
      <c r="HLM21" s="16"/>
      <c r="HLN21" s="2185"/>
      <c r="HLO21" s="16"/>
      <c r="HLP21" s="2185"/>
      <c r="HLQ21" s="16"/>
      <c r="HLR21" s="2185"/>
      <c r="HLS21" s="16"/>
      <c r="HLT21" s="2185"/>
      <c r="HLU21" s="16"/>
      <c r="HLV21" s="2185"/>
      <c r="HLW21" s="16"/>
      <c r="HLX21" s="2185"/>
      <c r="HLY21" s="16"/>
      <c r="HLZ21" s="2185"/>
      <c r="HMA21" s="16"/>
      <c r="HMB21" s="2185"/>
      <c r="HMC21" s="16"/>
      <c r="HMD21" s="2185"/>
      <c r="HME21" s="16"/>
      <c r="HMF21" s="2185"/>
      <c r="HMG21" s="16"/>
      <c r="HMH21" s="2185"/>
      <c r="HMI21" s="16"/>
      <c r="HMJ21" s="2185"/>
      <c r="HMK21" s="16"/>
      <c r="HML21" s="2185"/>
      <c r="HMM21" s="16"/>
      <c r="HMN21" s="2185"/>
      <c r="HMO21" s="16"/>
      <c r="HMP21" s="2185"/>
      <c r="HMQ21" s="16"/>
      <c r="HMR21" s="2185"/>
      <c r="HMS21" s="16"/>
      <c r="HMT21" s="2185"/>
      <c r="HMU21" s="16"/>
      <c r="HMV21" s="2185"/>
      <c r="HMW21" s="16"/>
      <c r="HMX21" s="2185"/>
      <c r="HMY21" s="16"/>
      <c r="HMZ21" s="2185"/>
      <c r="HNA21" s="16"/>
      <c r="HNB21" s="2185"/>
      <c r="HNC21" s="16"/>
      <c r="HND21" s="2185"/>
      <c r="HNE21" s="16"/>
      <c r="HNF21" s="2185"/>
      <c r="HNG21" s="16"/>
      <c r="HNH21" s="2185"/>
      <c r="HNI21" s="16"/>
      <c r="HNJ21" s="2185"/>
      <c r="HNK21" s="16"/>
      <c r="HNL21" s="2185"/>
      <c r="HNM21" s="16"/>
      <c r="HNN21" s="2185"/>
      <c r="HNO21" s="16"/>
      <c r="HNP21" s="2185"/>
      <c r="HNQ21" s="16"/>
      <c r="HNR21" s="2185"/>
      <c r="HNS21" s="16"/>
      <c r="HNT21" s="2185"/>
      <c r="HNU21" s="16"/>
      <c r="HNV21" s="2185"/>
      <c r="HNW21" s="16"/>
      <c r="HNX21" s="2185"/>
      <c r="HNY21" s="16"/>
      <c r="HNZ21" s="2185"/>
      <c r="HOA21" s="16"/>
      <c r="HOB21" s="2185"/>
      <c r="HOC21" s="16"/>
      <c r="HOD21" s="2185"/>
      <c r="HOE21" s="16"/>
      <c r="HOF21" s="2185"/>
      <c r="HOG21" s="16"/>
      <c r="HOH21" s="2185"/>
      <c r="HOI21" s="16"/>
      <c r="HOJ21" s="2185"/>
      <c r="HOK21" s="16"/>
      <c r="HOL21" s="2185"/>
      <c r="HOM21" s="16"/>
      <c r="HON21" s="2185"/>
      <c r="HOO21" s="16"/>
      <c r="HOP21" s="2185"/>
      <c r="HOQ21" s="16"/>
      <c r="HOR21" s="2185"/>
      <c r="HOS21" s="16"/>
      <c r="HOT21" s="2185"/>
      <c r="HOU21" s="16"/>
      <c r="HOV21" s="2185"/>
      <c r="HOW21" s="16"/>
      <c r="HOX21" s="2185"/>
      <c r="HOY21" s="16"/>
      <c r="HOZ21" s="2185"/>
      <c r="HPA21" s="16"/>
      <c r="HPB21" s="2185"/>
      <c r="HPC21" s="16"/>
      <c r="HPD21" s="2185"/>
      <c r="HPE21" s="16"/>
      <c r="HPF21" s="2185"/>
      <c r="HPG21" s="16"/>
      <c r="HPH21" s="2185"/>
      <c r="HPI21" s="16"/>
      <c r="HPJ21" s="2185"/>
      <c r="HPK21" s="16"/>
      <c r="HPL21" s="2185"/>
      <c r="HPM21" s="16"/>
      <c r="HPN21" s="2185"/>
      <c r="HPO21" s="16"/>
      <c r="HPP21" s="2185"/>
      <c r="HPQ21" s="16"/>
      <c r="HPR21" s="2185"/>
      <c r="HPS21" s="16"/>
      <c r="HPT21" s="2185"/>
      <c r="HPU21" s="16"/>
      <c r="HPV21" s="2185"/>
      <c r="HPW21" s="16"/>
      <c r="HPX21" s="2185"/>
      <c r="HPY21" s="16"/>
      <c r="HPZ21" s="2185"/>
      <c r="HQA21" s="16"/>
      <c r="HQB21" s="2185"/>
      <c r="HQC21" s="16"/>
      <c r="HQD21" s="2185"/>
      <c r="HQE21" s="16"/>
      <c r="HQF21" s="2185"/>
      <c r="HQG21" s="16"/>
      <c r="HQH21" s="2185"/>
      <c r="HQI21" s="16"/>
      <c r="HQJ21" s="2185"/>
      <c r="HQK21" s="16"/>
      <c r="HQL21" s="2185"/>
      <c r="HQM21" s="16"/>
      <c r="HQN21" s="2185"/>
      <c r="HQO21" s="16"/>
      <c r="HQP21" s="2185"/>
      <c r="HQQ21" s="16"/>
      <c r="HQR21" s="2185"/>
      <c r="HQS21" s="16"/>
      <c r="HQT21" s="2185"/>
      <c r="HQU21" s="16"/>
      <c r="HQV21" s="2185"/>
      <c r="HQW21" s="16"/>
      <c r="HQX21" s="2185"/>
      <c r="HQY21" s="16"/>
      <c r="HQZ21" s="2185"/>
      <c r="HRA21" s="16"/>
      <c r="HRB21" s="2185"/>
      <c r="HRC21" s="16"/>
      <c r="HRD21" s="2185"/>
      <c r="HRE21" s="16"/>
      <c r="HRF21" s="2185"/>
      <c r="HRG21" s="16"/>
      <c r="HRH21" s="2185"/>
      <c r="HRI21" s="16"/>
      <c r="HRJ21" s="2185"/>
      <c r="HRK21" s="16"/>
      <c r="HRL21" s="2185"/>
      <c r="HRM21" s="16"/>
      <c r="HRN21" s="2185"/>
      <c r="HRO21" s="16"/>
      <c r="HRP21" s="2185"/>
      <c r="HRQ21" s="16"/>
      <c r="HRR21" s="2185"/>
      <c r="HRS21" s="16"/>
      <c r="HRT21" s="2185"/>
      <c r="HRU21" s="16"/>
      <c r="HRV21" s="2185"/>
      <c r="HRW21" s="16"/>
      <c r="HRX21" s="2185"/>
      <c r="HRY21" s="16"/>
      <c r="HRZ21" s="2185"/>
      <c r="HSA21" s="16"/>
      <c r="HSB21" s="2185"/>
      <c r="HSC21" s="16"/>
      <c r="HSD21" s="2185"/>
      <c r="HSE21" s="16"/>
      <c r="HSF21" s="2185"/>
      <c r="HSG21" s="16"/>
      <c r="HSH21" s="2185"/>
      <c r="HSI21" s="16"/>
      <c r="HSJ21" s="2185"/>
      <c r="HSK21" s="16"/>
      <c r="HSL21" s="2185"/>
      <c r="HSM21" s="16"/>
      <c r="HSN21" s="2185"/>
      <c r="HSO21" s="16"/>
      <c r="HSP21" s="2185"/>
      <c r="HSQ21" s="16"/>
      <c r="HSR21" s="2185"/>
      <c r="HSS21" s="16"/>
      <c r="HST21" s="2185"/>
      <c r="HSU21" s="16"/>
      <c r="HSV21" s="2185"/>
      <c r="HSW21" s="16"/>
      <c r="HSX21" s="2185"/>
      <c r="HSY21" s="16"/>
      <c r="HSZ21" s="2185"/>
      <c r="HTA21" s="16"/>
      <c r="HTB21" s="2185"/>
      <c r="HTC21" s="16"/>
      <c r="HTD21" s="2185"/>
      <c r="HTE21" s="16"/>
      <c r="HTF21" s="2185"/>
      <c r="HTG21" s="16"/>
      <c r="HTH21" s="2185"/>
      <c r="HTI21" s="16"/>
      <c r="HTJ21" s="2185"/>
      <c r="HTK21" s="16"/>
      <c r="HTL21" s="2185"/>
      <c r="HTM21" s="16"/>
      <c r="HTN21" s="2185"/>
      <c r="HTO21" s="16"/>
      <c r="HTP21" s="2185"/>
      <c r="HTQ21" s="16"/>
      <c r="HTR21" s="2185"/>
      <c r="HTS21" s="16"/>
      <c r="HTT21" s="2185"/>
      <c r="HTU21" s="16"/>
      <c r="HTV21" s="2185"/>
      <c r="HTW21" s="16"/>
      <c r="HTX21" s="2185"/>
      <c r="HTY21" s="16"/>
      <c r="HTZ21" s="2185"/>
      <c r="HUA21" s="16"/>
      <c r="HUB21" s="2185"/>
      <c r="HUC21" s="16"/>
      <c r="HUD21" s="2185"/>
      <c r="HUE21" s="16"/>
      <c r="HUF21" s="2185"/>
      <c r="HUG21" s="16"/>
      <c r="HUH21" s="2185"/>
      <c r="HUI21" s="16"/>
      <c r="HUJ21" s="2185"/>
      <c r="HUK21" s="16"/>
      <c r="HUL21" s="2185"/>
      <c r="HUM21" s="16"/>
      <c r="HUN21" s="2185"/>
      <c r="HUO21" s="16"/>
      <c r="HUP21" s="2185"/>
      <c r="HUQ21" s="16"/>
      <c r="HUR21" s="2185"/>
      <c r="HUS21" s="16"/>
      <c r="HUT21" s="2185"/>
      <c r="HUU21" s="16"/>
      <c r="HUV21" s="2185"/>
      <c r="HUW21" s="16"/>
      <c r="HUX21" s="2185"/>
      <c r="HUY21" s="16"/>
      <c r="HUZ21" s="2185"/>
      <c r="HVA21" s="16"/>
      <c r="HVB21" s="2185"/>
      <c r="HVC21" s="16"/>
      <c r="HVD21" s="2185"/>
      <c r="HVE21" s="16"/>
      <c r="HVF21" s="2185"/>
      <c r="HVG21" s="16"/>
      <c r="HVH21" s="2185"/>
      <c r="HVI21" s="16"/>
      <c r="HVJ21" s="2185"/>
      <c r="HVK21" s="16"/>
      <c r="HVL21" s="2185"/>
      <c r="HVM21" s="16"/>
      <c r="HVN21" s="2185"/>
      <c r="HVO21" s="16"/>
      <c r="HVP21" s="2185"/>
      <c r="HVQ21" s="16"/>
      <c r="HVR21" s="2185"/>
      <c r="HVS21" s="16"/>
      <c r="HVT21" s="2185"/>
      <c r="HVU21" s="16"/>
      <c r="HVV21" s="2185"/>
      <c r="HVW21" s="16"/>
      <c r="HVX21" s="2185"/>
      <c r="HVY21" s="16"/>
      <c r="HVZ21" s="2185"/>
      <c r="HWA21" s="16"/>
      <c r="HWB21" s="2185"/>
      <c r="HWC21" s="16"/>
      <c r="HWD21" s="2185"/>
      <c r="HWE21" s="16"/>
      <c r="HWF21" s="2185"/>
      <c r="HWG21" s="16"/>
      <c r="HWH21" s="2185"/>
      <c r="HWI21" s="16"/>
      <c r="HWJ21" s="2185"/>
      <c r="HWK21" s="16"/>
      <c r="HWL21" s="2185"/>
      <c r="HWM21" s="16"/>
      <c r="HWN21" s="2185"/>
      <c r="HWO21" s="16"/>
      <c r="HWP21" s="2185"/>
      <c r="HWQ21" s="16"/>
      <c r="HWR21" s="2185"/>
      <c r="HWS21" s="16"/>
      <c r="HWT21" s="2185"/>
      <c r="HWU21" s="16"/>
      <c r="HWV21" s="2185"/>
      <c r="HWW21" s="16"/>
      <c r="HWX21" s="2185"/>
      <c r="HWY21" s="16"/>
      <c r="HWZ21" s="2185"/>
      <c r="HXA21" s="16"/>
      <c r="HXB21" s="2185"/>
      <c r="HXC21" s="16"/>
      <c r="HXD21" s="2185"/>
      <c r="HXE21" s="16"/>
      <c r="HXF21" s="2185"/>
      <c r="HXG21" s="16"/>
      <c r="HXH21" s="2185"/>
      <c r="HXI21" s="16"/>
      <c r="HXJ21" s="2185"/>
      <c r="HXK21" s="16"/>
      <c r="HXL21" s="2185"/>
      <c r="HXM21" s="16"/>
      <c r="HXN21" s="2185"/>
      <c r="HXO21" s="16"/>
      <c r="HXP21" s="2185"/>
      <c r="HXQ21" s="16"/>
      <c r="HXR21" s="2185"/>
      <c r="HXS21" s="16"/>
      <c r="HXT21" s="2185"/>
      <c r="HXU21" s="16"/>
      <c r="HXV21" s="2185"/>
      <c r="HXW21" s="16"/>
      <c r="HXX21" s="2185"/>
      <c r="HXY21" s="16"/>
      <c r="HXZ21" s="2185"/>
      <c r="HYA21" s="16"/>
      <c r="HYB21" s="2185"/>
      <c r="HYC21" s="16"/>
      <c r="HYD21" s="2185"/>
      <c r="HYE21" s="16"/>
      <c r="HYF21" s="2185"/>
      <c r="HYG21" s="16"/>
      <c r="HYH21" s="2185"/>
      <c r="HYI21" s="16"/>
      <c r="HYJ21" s="2185"/>
      <c r="HYK21" s="16"/>
      <c r="HYL21" s="2185"/>
      <c r="HYM21" s="16"/>
      <c r="HYN21" s="2185"/>
      <c r="HYO21" s="16"/>
      <c r="HYP21" s="2185"/>
      <c r="HYQ21" s="16"/>
      <c r="HYR21" s="2185"/>
      <c r="HYS21" s="16"/>
      <c r="HYT21" s="2185"/>
      <c r="HYU21" s="16"/>
      <c r="HYV21" s="2185"/>
      <c r="HYW21" s="16"/>
      <c r="HYX21" s="2185"/>
      <c r="HYY21" s="16"/>
      <c r="HYZ21" s="2185"/>
      <c r="HZA21" s="16"/>
      <c r="HZB21" s="2185"/>
      <c r="HZC21" s="16"/>
      <c r="HZD21" s="2185"/>
      <c r="HZE21" s="16"/>
      <c r="HZF21" s="2185"/>
      <c r="HZG21" s="16"/>
      <c r="HZH21" s="2185"/>
      <c r="HZI21" s="16"/>
      <c r="HZJ21" s="2185"/>
      <c r="HZK21" s="16"/>
      <c r="HZL21" s="2185"/>
      <c r="HZM21" s="16"/>
      <c r="HZN21" s="2185"/>
      <c r="HZO21" s="16"/>
      <c r="HZP21" s="2185"/>
      <c r="HZQ21" s="16"/>
      <c r="HZR21" s="2185"/>
      <c r="HZS21" s="16"/>
      <c r="HZT21" s="2185"/>
      <c r="HZU21" s="16"/>
      <c r="HZV21" s="2185"/>
      <c r="HZW21" s="16"/>
      <c r="HZX21" s="2185"/>
      <c r="HZY21" s="16"/>
      <c r="HZZ21" s="2185"/>
      <c r="IAA21" s="16"/>
      <c r="IAB21" s="2185"/>
      <c r="IAC21" s="16"/>
      <c r="IAD21" s="2185"/>
      <c r="IAE21" s="16"/>
      <c r="IAF21" s="2185"/>
      <c r="IAG21" s="16"/>
      <c r="IAH21" s="2185"/>
      <c r="IAI21" s="16"/>
      <c r="IAJ21" s="2185"/>
      <c r="IAK21" s="16"/>
      <c r="IAL21" s="2185"/>
      <c r="IAM21" s="16"/>
      <c r="IAN21" s="2185"/>
      <c r="IAO21" s="16"/>
      <c r="IAP21" s="2185"/>
      <c r="IAQ21" s="16"/>
      <c r="IAR21" s="2185"/>
      <c r="IAS21" s="16"/>
      <c r="IAT21" s="2185"/>
      <c r="IAU21" s="16"/>
      <c r="IAV21" s="2185"/>
      <c r="IAW21" s="16"/>
      <c r="IAX21" s="2185"/>
      <c r="IAY21" s="16"/>
      <c r="IAZ21" s="2185"/>
      <c r="IBA21" s="16"/>
      <c r="IBB21" s="2185"/>
      <c r="IBC21" s="16"/>
      <c r="IBD21" s="2185"/>
      <c r="IBE21" s="16"/>
      <c r="IBF21" s="2185"/>
      <c r="IBG21" s="16"/>
      <c r="IBH21" s="2185"/>
      <c r="IBI21" s="16"/>
      <c r="IBJ21" s="2185"/>
      <c r="IBK21" s="16"/>
      <c r="IBL21" s="2185"/>
      <c r="IBM21" s="16"/>
      <c r="IBN21" s="2185"/>
      <c r="IBO21" s="16"/>
      <c r="IBP21" s="2185"/>
      <c r="IBQ21" s="16"/>
      <c r="IBR21" s="2185"/>
      <c r="IBS21" s="16"/>
      <c r="IBT21" s="2185"/>
      <c r="IBU21" s="16"/>
      <c r="IBV21" s="2185"/>
      <c r="IBW21" s="16"/>
      <c r="IBX21" s="2185"/>
      <c r="IBY21" s="16"/>
      <c r="IBZ21" s="2185"/>
      <c r="ICA21" s="16"/>
      <c r="ICB21" s="2185"/>
      <c r="ICC21" s="16"/>
      <c r="ICD21" s="2185"/>
      <c r="ICE21" s="16"/>
      <c r="ICF21" s="2185"/>
      <c r="ICG21" s="16"/>
      <c r="ICH21" s="2185"/>
      <c r="ICI21" s="16"/>
      <c r="ICJ21" s="2185"/>
      <c r="ICK21" s="16"/>
      <c r="ICL21" s="2185"/>
      <c r="ICM21" s="16"/>
      <c r="ICN21" s="2185"/>
      <c r="ICO21" s="16"/>
      <c r="ICP21" s="2185"/>
      <c r="ICQ21" s="16"/>
      <c r="ICR21" s="2185"/>
      <c r="ICS21" s="16"/>
      <c r="ICT21" s="2185"/>
      <c r="ICU21" s="16"/>
      <c r="ICV21" s="2185"/>
      <c r="ICW21" s="16"/>
      <c r="ICX21" s="2185"/>
      <c r="ICY21" s="16"/>
      <c r="ICZ21" s="2185"/>
      <c r="IDA21" s="16"/>
      <c r="IDB21" s="2185"/>
      <c r="IDC21" s="16"/>
      <c r="IDD21" s="2185"/>
      <c r="IDE21" s="16"/>
      <c r="IDF21" s="2185"/>
      <c r="IDG21" s="16"/>
      <c r="IDH21" s="2185"/>
      <c r="IDI21" s="16"/>
      <c r="IDJ21" s="2185"/>
      <c r="IDK21" s="16"/>
      <c r="IDL21" s="2185"/>
      <c r="IDM21" s="16"/>
      <c r="IDN21" s="2185"/>
      <c r="IDO21" s="16"/>
      <c r="IDP21" s="2185"/>
      <c r="IDQ21" s="16"/>
      <c r="IDR21" s="2185"/>
      <c r="IDS21" s="16"/>
      <c r="IDT21" s="2185"/>
      <c r="IDU21" s="16"/>
      <c r="IDV21" s="2185"/>
      <c r="IDW21" s="16"/>
      <c r="IDX21" s="2185"/>
      <c r="IDY21" s="16"/>
      <c r="IDZ21" s="2185"/>
      <c r="IEA21" s="16"/>
      <c r="IEB21" s="2185"/>
      <c r="IEC21" s="16"/>
      <c r="IED21" s="2185"/>
      <c r="IEE21" s="16"/>
      <c r="IEF21" s="2185"/>
      <c r="IEG21" s="16"/>
      <c r="IEH21" s="2185"/>
      <c r="IEI21" s="16"/>
      <c r="IEJ21" s="2185"/>
      <c r="IEK21" s="16"/>
      <c r="IEL21" s="2185"/>
      <c r="IEM21" s="16"/>
      <c r="IEN21" s="2185"/>
      <c r="IEO21" s="16"/>
      <c r="IEP21" s="2185"/>
      <c r="IEQ21" s="16"/>
      <c r="IER21" s="2185"/>
      <c r="IES21" s="16"/>
      <c r="IET21" s="2185"/>
      <c r="IEU21" s="16"/>
      <c r="IEV21" s="2185"/>
      <c r="IEW21" s="16"/>
      <c r="IEX21" s="2185"/>
      <c r="IEY21" s="16"/>
      <c r="IEZ21" s="2185"/>
      <c r="IFA21" s="16"/>
      <c r="IFB21" s="2185"/>
      <c r="IFC21" s="16"/>
      <c r="IFD21" s="2185"/>
      <c r="IFE21" s="16"/>
      <c r="IFF21" s="2185"/>
      <c r="IFG21" s="16"/>
      <c r="IFH21" s="2185"/>
      <c r="IFI21" s="16"/>
      <c r="IFJ21" s="2185"/>
      <c r="IFK21" s="16"/>
      <c r="IFL21" s="2185"/>
      <c r="IFM21" s="16"/>
      <c r="IFN21" s="2185"/>
      <c r="IFO21" s="16"/>
      <c r="IFP21" s="2185"/>
      <c r="IFQ21" s="16"/>
      <c r="IFR21" s="2185"/>
      <c r="IFS21" s="16"/>
      <c r="IFT21" s="2185"/>
      <c r="IFU21" s="16"/>
      <c r="IFV21" s="2185"/>
      <c r="IFW21" s="16"/>
      <c r="IFX21" s="2185"/>
      <c r="IFY21" s="16"/>
      <c r="IFZ21" s="2185"/>
      <c r="IGA21" s="16"/>
      <c r="IGB21" s="2185"/>
      <c r="IGC21" s="16"/>
      <c r="IGD21" s="2185"/>
      <c r="IGE21" s="16"/>
      <c r="IGF21" s="2185"/>
      <c r="IGG21" s="16"/>
      <c r="IGH21" s="2185"/>
      <c r="IGI21" s="16"/>
      <c r="IGJ21" s="2185"/>
      <c r="IGK21" s="16"/>
      <c r="IGL21" s="2185"/>
      <c r="IGM21" s="16"/>
      <c r="IGN21" s="2185"/>
      <c r="IGO21" s="16"/>
      <c r="IGP21" s="2185"/>
      <c r="IGQ21" s="16"/>
      <c r="IGR21" s="2185"/>
      <c r="IGS21" s="16"/>
      <c r="IGT21" s="2185"/>
      <c r="IGU21" s="16"/>
      <c r="IGV21" s="2185"/>
      <c r="IGW21" s="16"/>
      <c r="IGX21" s="2185"/>
      <c r="IGY21" s="16"/>
      <c r="IGZ21" s="2185"/>
      <c r="IHA21" s="16"/>
      <c r="IHB21" s="2185"/>
      <c r="IHC21" s="16"/>
      <c r="IHD21" s="2185"/>
      <c r="IHE21" s="16"/>
      <c r="IHF21" s="2185"/>
      <c r="IHG21" s="16"/>
      <c r="IHH21" s="2185"/>
      <c r="IHI21" s="16"/>
      <c r="IHJ21" s="2185"/>
      <c r="IHK21" s="16"/>
      <c r="IHL21" s="2185"/>
      <c r="IHM21" s="16"/>
      <c r="IHN21" s="2185"/>
      <c r="IHO21" s="16"/>
      <c r="IHP21" s="2185"/>
      <c r="IHQ21" s="16"/>
      <c r="IHR21" s="2185"/>
      <c r="IHS21" s="16"/>
      <c r="IHT21" s="2185"/>
      <c r="IHU21" s="16"/>
      <c r="IHV21" s="2185"/>
      <c r="IHW21" s="16"/>
      <c r="IHX21" s="2185"/>
      <c r="IHY21" s="16"/>
      <c r="IHZ21" s="2185"/>
      <c r="IIA21" s="16"/>
      <c r="IIB21" s="2185"/>
      <c r="IIC21" s="16"/>
      <c r="IID21" s="2185"/>
      <c r="IIE21" s="16"/>
      <c r="IIF21" s="2185"/>
      <c r="IIG21" s="16"/>
      <c r="IIH21" s="2185"/>
      <c r="III21" s="16"/>
      <c r="IIJ21" s="2185"/>
      <c r="IIK21" s="16"/>
      <c r="IIL21" s="2185"/>
      <c r="IIM21" s="16"/>
      <c r="IIN21" s="2185"/>
      <c r="IIO21" s="16"/>
      <c r="IIP21" s="2185"/>
      <c r="IIQ21" s="16"/>
      <c r="IIR21" s="2185"/>
      <c r="IIS21" s="16"/>
      <c r="IIT21" s="2185"/>
      <c r="IIU21" s="16"/>
      <c r="IIV21" s="2185"/>
      <c r="IIW21" s="16"/>
      <c r="IIX21" s="2185"/>
      <c r="IIY21" s="16"/>
      <c r="IIZ21" s="2185"/>
      <c r="IJA21" s="16"/>
      <c r="IJB21" s="2185"/>
      <c r="IJC21" s="16"/>
      <c r="IJD21" s="2185"/>
      <c r="IJE21" s="16"/>
      <c r="IJF21" s="2185"/>
      <c r="IJG21" s="16"/>
      <c r="IJH21" s="2185"/>
      <c r="IJI21" s="16"/>
      <c r="IJJ21" s="2185"/>
      <c r="IJK21" s="16"/>
      <c r="IJL21" s="2185"/>
      <c r="IJM21" s="16"/>
      <c r="IJN21" s="2185"/>
      <c r="IJO21" s="16"/>
      <c r="IJP21" s="2185"/>
      <c r="IJQ21" s="16"/>
      <c r="IJR21" s="2185"/>
      <c r="IJS21" s="16"/>
      <c r="IJT21" s="2185"/>
      <c r="IJU21" s="16"/>
      <c r="IJV21" s="2185"/>
      <c r="IJW21" s="16"/>
      <c r="IJX21" s="2185"/>
      <c r="IJY21" s="16"/>
      <c r="IJZ21" s="2185"/>
      <c r="IKA21" s="16"/>
      <c r="IKB21" s="2185"/>
      <c r="IKC21" s="16"/>
      <c r="IKD21" s="2185"/>
      <c r="IKE21" s="16"/>
      <c r="IKF21" s="2185"/>
      <c r="IKG21" s="16"/>
      <c r="IKH21" s="2185"/>
      <c r="IKI21" s="16"/>
      <c r="IKJ21" s="2185"/>
      <c r="IKK21" s="16"/>
      <c r="IKL21" s="2185"/>
      <c r="IKM21" s="16"/>
      <c r="IKN21" s="2185"/>
      <c r="IKO21" s="16"/>
      <c r="IKP21" s="2185"/>
      <c r="IKQ21" s="16"/>
      <c r="IKR21" s="2185"/>
      <c r="IKS21" s="16"/>
      <c r="IKT21" s="2185"/>
      <c r="IKU21" s="16"/>
      <c r="IKV21" s="2185"/>
      <c r="IKW21" s="16"/>
      <c r="IKX21" s="2185"/>
      <c r="IKY21" s="16"/>
      <c r="IKZ21" s="2185"/>
      <c r="ILA21" s="16"/>
      <c r="ILB21" s="2185"/>
      <c r="ILC21" s="16"/>
      <c r="ILD21" s="2185"/>
      <c r="ILE21" s="16"/>
      <c r="ILF21" s="2185"/>
      <c r="ILG21" s="16"/>
      <c r="ILH21" s="2185"/>
      <c r="ILI21" s="16"/>
      <c r="ILJ21" s="2185"/>
      <c r="ILK21" s="16"/>
      <c r="ILL21" s="2185"/>
      <c r="ILM21" s="16"/>
      <c r="ILN21" s="2185"/>
      <c r="ILO21" s="16"/>
      <c r="ILP21" s="2185"/>
      <c r="ILQ21" s="16"/>
      <c r="ILR21" s="2185"/>
      <c r="ILS21" s="16"/>
      <c r="ILT21" s="2185"/>
      <c r="ILU21" s="16"/>
      <c r="ILV21" s="2185"/>
      <c r="ILW21" s="16"/>
      <c r="ILX21" s="2185"/>
      <c r="ILY21" s="16"/>
      <c r="ILZ21" s="2185"/>
      <c r="IMA21" s="16"/>
      <c r="IMB21" s="2185"/>
      <c r="IMC21" s="16"/>
      <c r="IMD21" s="2185"/>
      <c r="IME21" s="16"/>
      <c r="IMF21" s="2185"/>
      <c r="IMG21" s="16"/>
      <c r="IMH21" s="2185"/>
      <c r="IMI21" s="16"/>
      <c r="IMJ21" s="2185"/>
      <c r="IMK21" s="16"/>
      <c r="IML21" s="2185"/>
      <c r="IMM21" s="16"/>
      <c r="IMN21" s="2185"/>
      <c r="IMO21" s="16"/>
      <c r="IMP21" s="2185"/>
      <c r="IMQ21" s="16"/>
      <c r="IMR21" s="2185"/>
      <c r="IMS21" s="16"/>
      <c r="IMT21" s="2185"/>
      <c r="IMU21" s="16"/>
      <c r="IMV21" s="2185"/>
      <c r="IMW21" s="16"/>
      <c r="IMX21" s="2185"/>
      <c r="IMY21" s="16"/>
      <c r="IMZ21" s="2185"/>
      <c r="INA21" s="16"/>
      <c r="INB21" s="2185"/>
      <c r="INC21" s="16"/>
      <c r="IND21" s="2185"/>
      <c r="INE21" s="16"/>
      <c r="INF21" s="2185"/>
      <c r="ING21" s="16"/>
      <c r="INH21" s="2185"/>
      <c r="INI21" s="16"/>
      <c r="INJ21" s="2185"/>
      <c r="INK21" s="16"/>
      <c r="INL21" s="2185"/>
      <c r="INM21" s="16"/>
      <c r="INN21" s="2185"/>
      <c r="INO21" s="16"/>
      <c r="INP21" s="2185"/>
      <c r="INQ21" s="16"/>
      <c r="INR21" s="2185"/>
      <c r="INS21" s="16"/>
      <c r="INT21" s="2185"/>
      <c r="INU21" s="16"/>
      <c r="INV21" s="2185"/>
      <c r="INW21" s="16"/>
      <c r="INX21" s="2185"/>
      <c r="INY21" s="16"/>
      <c r="INZ21" s="2185"/>
      <c r="IOA21" s="16"/>
      <c r="IOB21" s="2185"/>
      <c r="IOC21" s="16"/>
      <c r="IOD21" s="2185"/>
      <c r="IOE21" s="16"/>
      <c r="IOF21" s="2185"/>
      <c r="IOG21" s="16"/>
      <c r="IOH21" s="2185"/>
      <c r="IOI21" s="16"/>
      <c r="IOJ21" s="2185"/>
      <c r="IOK21" s="16"/>
      <c r="IOL21" s="2185"/>
      <c r="IOM21" s="16"/>
      <c r="ION21" s="2185"/>
      <c r="IOO21" s="16"/>
      <c r="IOP21" s="2185"/>
      <c r="IOQ21" s="16"/>
      <c r="IOR21" s="2185"/>
      <c r="IOS21" s="16"/>
      <c r="IOT21" s="2185"/>
      <c r="IOU21" s="16"/>
      <c r="IOV21" s="2185"/>
      <c r="IOW21" s="16"/>
      <c r="IOX21" s="2185"/>
      <c r="IOY21" s="16"/>
      <c r="IOZ21" s="2185"/>
      <c r="IPA21" s="16"/>
      <c r="IPB21" s="2185"/>
      <c r="IPC21" s="16"/>
      <c r="IPD21" s="2185"/>
      <c r="IPE21" s="16"/>
      <c r="IPF21" s="2185"/>
      <c r="IPG21" s="16"/>
      <c r="IPH21" s="2185"/>
      <c r="IPI21" s="16"/>
      <c r="IPJ21" s="2185"/>
      <c r="IPK21" s="16"/>
      <c r="IPL21" s="2185"/>
      <c r="IPM21" s="16"/>
      <c r="IPN21" s="2185"/>
      <c r="IPO21" s="16"/>
      <c r="IPP21" s="2185"/>
      <c r="IPQ21" s="16"/>
      <c r="IPR21" s="2185"/>
      <c r="IPS21" s="16"/>
      <c r="IPT21" s="2185"/>
      <c r="IPU21" s="16"/>
      <c r="IPV21" s="2185"/>
      <c r="IPW21" s="16"/>
      <c r="IPX21" s="2185"/>
      <c r="IPY21" s="16"/>
      <c r="IPZ21" s="2185"/>
      <c r="IQA21" s="16"/>
      <c r="IQB21" s="2185"/>
      <c r="IQC21" s="16"/>
      <c r="IQD21" s="2185"/>
      <c r="IQE21" s="16"/>
      <c r="IQF21" s="2185"/>
      <c r="IQG21" s="16"/>
      <c r="IQH21" s="2185"/>
      <c r="IQI21" s="16"/>
      <c r="IQJ21" s="2185"/>
      <c r="IQK21" s="16"/>
      <c r="IQL21" s="2185"/>
      <c r="IQM21" s="16"/>
      <c r="IQN21" s="2185"/>
      <c r="IQO21" s="16"/>
      <c r="IQP21" s="2185"/>
      <c r="IQQ21" s="16"/>
      <c r="IQR21" s="2185"/>
      <c r="IQS21" s="16"/>
      <c r="IQT21" s="2185"/>
      <c r="IQU21" s="16"/>
      <c r="IQV21" s="2185"/>
      <c r="IQW21" s="16"/>
      <c r="IQX21" s="2185"/>
      <c r="IQY21" s="16"/>
      <c r="IQZ21" s="2185"/>
      <c r="IRA21" s="16"/>
      <c r="IRB21" s="2185"/>
      <c r="IRC21" s="16"/>
      <c r="IRD21" s="2185"/>
      <c r="IRE21" s="16"/>
      <c r="IRF21" s="2185"/>
      <c r="IRG21" s="16"/>
      <c r="IRH21" s="2185"/>
      <c r="IRI21" s="16"/>
      <c r="IRJ21" s="2185"/>
      <c r="IRK21" s="16"/>
      <c r="IRL21" s="2185"/>
      <c r="IRM21" s="16"/>
      <c r="IRN21" s="2185"/>
      <c r="IRO21" s="16"/>
      <c r="IRP21" s="2185"/>
      <c r="IRQ21" s="16"/>
      <c r="IRR21" s="2185"/>
      <c r="IRS21" s="16"/>
      <c r="IRT21" s="2185"/>
      <c r="IRU21" s="16"/>
      <c r="IRV21" s="2185"/>
      <c r="IRW21" s="16"/>
      <c r="IRX21" s="2185"/>
      <c r="IRY21" s="16"/>
      <c r="IRZ21" s="2185"/>
      <c r="ISA21" s="16"/>
      <c r="ISB21" s="2185"/>
      <c r="ISC21" s="16"/>
      <c r="ISD21" s="2185"/>
      <c r="ISE21" s="16"/>
      <c r="ISF21" s="2185"/>
      <c r="ISG21" s="16"/>
      <c r="ISH21" s="2185"/>
      <c r="ISI21" s="16"/>
      <c r="ISJ21" s="2185"/>
      <c r="ISK21" s="16"/>
      <c r="ISL21" s="2185"/>
      <c r="ISM21" s="16"/>
      <c r="ISN21" s="2185"/>
      <c r="ISO21" s="16"/>
      <c r="ISP21" s="2185"/>
      <c r="ISQ21" s="16"/>
      <c r="ISR21" s="2185"/>
      <c r="ISS21" s="16"/>
      <c r="IST21" s="2185"/>
      <c r="ISU21" s="16"/>
      <c r="ISV21" s="2185"/>
      <c r="ISW21" s="16"/>
      <c r="ISX21" s="2185"/>
      <c r="ISY21" s="16"/>
      <c r="ISZ21" s="2185"/>
      <c r="ITA21" s="16"/>
      <c r="ITB21" s="2185"/>
      <c r="ITC21" s="16"/>
      <c r="ITD21" s="2185"/>
      <c r="ITE21" s="16"/>
      <c r="ITF21" s="2185"/>
      <c r="ITG21" s="16"/>
      <c r="ITH21" s="2185"/>
      <c r="ITI21" s="16"/>
      <c r="ITJ21" s="2185"/>
      <c r="ITK21" s="16"/>
      <c r="ITL21" s="2185"/>
      <c r="ITM21" s="16"/>
      <c r="ITN21" s="2185"/>
      <c r="ITO21" s="16"/>
      <c r="ITP21" s="2185"/>
      <c r="ITQ21" s="16"/>
      <c r="ITR21" s="2185"/>
      <c r="ITS21" s="16"/>
      <c r="ITT21" s="2185"/>
      <c r="ITU21" s="16"/>
      <c r="ITV21" s="2185"/>
      <c r="ITW21" s="16"/>
      <c r="ITX21" s="2185"/>
      <c r="ITY21" s="16"/>
      <c r="ITZ21" s="2185"/>
      <c r="IUA21" s="16"/>
      <c r="IUB21" s="2185"/>
      <c r="IUC21" s="16"/>
      <c r="IUD21" s="2185"/>
      <c r="IUE21" s="16"/>
      <c r="IUF21" s="2185"/>
      <c r="IUG21" s="16"/>
      <c r="IUH21" s="2185"/>
      <c r="IUI21" s="16"/>
      <c r="IUJ21" s="2185"/>
      <c r="IUK21" s="16"/>
      <c r="IUL21" s="2185"/>
      <c r="IUM21" s="16"/>
      <c r="IUN21" s="2185"/>
      <c r="IUO21" s="16"/>
      <c r="IUP21" s="2185"/>
      <c r="IUQ21" s="16"/>
      <c r="IUR21" s="2185"/>
      <c r="IUS21" s="16"/>
      <c r="IUT21" s="2185"/>
      <c r="IUU21" s="16"/>
      <c r="IUV21" s="2185"/>
      <c r="IUW21" s="16"/>
      <c r="IUX21" s="2185"/>
      <c r="IUY21" s="16"/>
      <c r="IUZ21" s="2185"/>
      <c r="IVA21" s="16"/>
      <c r="IVB21" s="2185"/>
      <c r="IVC21" s="16"/>
      <c r="IVD21" s="2185"/>
      <c r="IVE21" s="16"/>
      <c r="IVF21" s="2185"/>
      <c r="IVG21" s="16"/>
      <c r="IVH21" s="2185"/>
      <c r="IVI21" s="16"/>
      <c r="IVJ21" s="2185"/>
      <c r="IVK21" s="16"/>
      <c r="IVL21" s="2185"/>
      <c r="IVM21" s="16"/>
      <c r="IVN21" s="2185"/>
      <c r="IVO21" s="16"/>
      <c r="IVP21" s="2185"/>
      <c r="IVQ21" s="16"/>
      <c r="IVR21" s="2185"/>
      <c r="IVS21" s="16"/>
      <c r="IVT21" s="2185"/>
      <c r="IVU21" s="16"/>
      <c r="IVV21" s="2185"/>
      <c r="IVW21" s="16"/>
      <c r="IVX21" s="2185"/>
      <c r="IVY21" s="16"/>
      <c r="IVZ21" s="2185"/>
      <c r="IWA21" s="16"/>
      <c r="IWB21" s="2185"/>
      <c r="IWC21" s="16"/>
      <c r="IWD21" s="2185"/>
      <c r="IWE21" s="16"/>
      <c r="IWF21" s="2185"/>
      <c r="IWG21" s="16"/>
      <c r="IWH21" s="2185"/>
      <c r="IWI21" s="16"/>
      <c r="IWJ21" s="2185"/>
      <c r="IWK21" s="16"/>
      <c r="IWL21" s="2185"/>
      <c r="IWM21" s="16"/>
      <c r="IWN21" s="2185"/>
      <c r="IWO21" s="16"/>
      <c r="IWP21" s="2185"/>
      <c r="IWQ21" s="16"/>
      <c r="IWR21" s="2185"/>
      <c r="IWS21" s="16"/>
      <c r="IWT21" s="2185"/>
      <c r="IWU21" s="16"/>
      <c r="IWV21" s="2185"/>
      <c r="IWW21" s="16"/>
      <c r="IWX21" s="2185"/>
      <c r="IWY21" s="16"/>
      <c r="IWZ21" s="2185"/>
      <c r="IXA21" s="16"/>
      <c r="IXB21" s="2185"/>
      <c r="IXC21" s="16"/>
      <c r="IXD21" s="2185"/>
      <c r="IXE21" s="16"/>
      <c r="IXF21" s="2185"/>
      <c r="IXG21" s="16"/>
      <c r="IXH21" s="2185"/>
      <c r="IXI21" s="16"/>
      <c r="IXJ21" s="2185"/>
      <c r="IXK21" s="16"/>
      <c r="IXL21" s="2185"/>
      <c r="IXM21" s="16"/>
      <c r="IXN21" s="2185"/>
      <c r="IXO21" s="16"/>
      <c r="IXP21" s="2185"/>
      <c r="IXQ21" s="16"/>
      <c r="IXR21" s="2185"/>
      <c r="IXS21" s="16"/>
      <c r="IXT21" s="2185"/>
      <c r="IXU21" s="16"/>
      <c r="IXV21" s="2185"/>
      <c r="IXW21" s="16"/>
      <c r="IXX21" s="2185"/>
      <c r="IXY21" s="16"/>
      <c r="IXZ21" s="2185"/>
      <c r="IYA21" s="16"/>
      <c r="IYB21" s="2185"/>
      <c r="IYC21" s="16"/>
      <c r="IYD21" s="2185"/>
      <c r="IYE21" s="16"/>
      <c r="IYF21" s="2185"/>
      <c r="IYG21" s="16"/>
      <c r="IYH21" s="2185"/>
      <c r="IYI21" s="16"/>
      <c r="IYJ21" s="2185"/>
      <c r="IYK21" s="16"/>
      <c r="IYL21" s="2185"/>
      <c r="IYM21" s="16"/>
      <c r="IYN21" s="2185"/>
      <c r="IYO21" s="16"/>
      <c r="IYP21" s="2185"/>
      <c r="IYQ21" s="16"/>
      <c r="IYR21" s="2185"/>
      <c r="IYS21" s="16"/>
      <c r="IYT21" s="2185"/>
      <c r="IYU21" s="16"/>
      <c r="IYV21" s="2185"/>
      <c r="IYW21" s="16"/>
      <c r="IYX21" s="2185"/>
      <c r="IYY21" s="16"/>
      <c r="IYZ21" s="2185"/>
      <c r="IZA21" s="16"/>
      <c r="IZB21" s="2185"/>
      <c r="IZC21" s="16"/>
      <c r="IZD21" s="2185"/>
      <c r="IZE21" s="16"/>
      <c r="IZF21" s="2185"/>
      <c r="IZG21" s="16"/>
      <c r="IZH21" s="2185"/>
      <c r="IZI21" s="16"/>
      <c r="IZJ21" s="2185"/>
      <c r="IZK21" s="16"/>
      <c r="IZL21" s="2185"/>
      <c r="IZM21" s="16"/>
      <c r="IZN21" s="2185"/>
      <c r="IZO21" s="16"/>
      <c r="IZP21" s="2185"/>
      <c r="IZQ21" s="16"/>
      <c r="IZR21" s="2185"/>
      <c r="IZS21" s="16"/>
      <c r="IZT21" s="2185"/>
      <c r="IZU21" s="16"/>
      <c r="IZV21" s="2185"/>
      <c r="IZW21" s="16"/>
      <c r="IZX21" s="2185"/>
      <c r="IZY21" s="16"/>
      <c r="IZZ21" s="2185"/>
      <c r="JAA21" s="16"/>
      <c r="JAB21" s="2185"/>
      <c r="JAC21" s="16"/>
      <c r="JAD21" s="2185"/>
      <c r="JAE21" s="16"/>
      <c r="JAF21" s="2185"/>
      <c r="JAG21" s="16"/>
      <c r="JAH21" s="2185"/>
      <c r="JAI21" s="16"/>
      <c r="JAJ21" s="2185"/>
      <c r="JAK21" s="16"/>
      <c r="JAL21" s="2185"/>
      <c r="JAM21" s="16"/>
      <c r="JAN21" s="2185"/>
      <c r="JAO21" s="16"/>
      <c r="JAP21" s="2185"/>
      <c r="JAQ21" s="16"/>
      <c r="JAR21" s="2185"/>
      <c r="JAS21" s="16"/>
      <c r="JAT21" s="2185"/>
      <c r="JAU21" s="16"/>
      <c r="JAV21" s="2185"/>
      <c r="JAW21" s="16"/>
      <c r="JAX21" s="2185"/>
      <c r="JAY21" s="16"/>
      <c r="JAZ21" s="2185"/>
      <c r="JBA21" s="16"/>
      <c r="JBB21" s="2185"/>
      <c r="JBC21" s="16"/>
      <c r="JBD21" s="2185"/>
      <c r="JBE21" s="16"/>
      <c r="JBF21" s="2185"/>
      <c r="JBG21" s="16"/>
      <c r="JBH21" s="2185"/>
      <c r="JBI21" s="16"/>
      <c r="JBJ21" s="2185"/>
      <c r="JBK21" s="16"/>
      <c r="JBL21" s="2185"/>
      <c r="JBM21" s="16"/>
      <c r="JBN21" s="2185"/>
      <c r="JBO21" s="16"/>
      <c r="JBP21" s="2185"/>
      <c r="JBQ21" s="16"/>
      <c r="JBR21" s="2185"/>
      <c r="JBS21" s="16"/>
      <c r="JBT21" s="2185"/>
      <c r="JBU21" s="16"/>
      <c r="JBV21" s="2185"/>
      <c r="JBW21" s="16"/>
      <c r="JBX21" s="2185"/>
      <c r="JBY21" s="16"/>
      <c r="JBZ21" s="2185"/>
      <c r="JCA21" s="16"/>
      <c r="JCB21" s="2185"/>
      <c r="JCC21" s="16"/>
      <c r="JCD21" s="2185"/>
      <c r="JCE21" s="16"/>
      <c r="JCF21" s="2185"/>
      <c r="JCG21" s="16"/>
      <c r="JCH21" s="2185"/>
      <c r="JCI21" s="16"/>
      <c r="JCJ21" s="2185"/>
      <c r="JCK21" s="16"/>
      <c r="JCL21" s="2185"/>
      <c r="JCM21" s="16"/>
      <c r="JCN21" s="2185"/>
      <c r="JCO21" s="16"/>
      <c r="JCP21" s="2185"/>
      <c r="JCQ21" s="16"/>
      <c r="JCR21" s="2185"/>
      <c r="JCS21" s="16"/>
      <c r="JCT21" s="2185"/>
      <c r="JCU21" s="16"/>
      <c r="JCV21" s="2185"/>
      <c r="JCW21" s="16"/>
      <c r="JCX21" s="2185"/>
      <c r="JCY21" s="16"/>
      <c r="JCZ21" s="2185"/>
      <c r="JDA21" s="16"/>
      <c r="JDB21" s="2185"/>
      <c r="JDC21" s="16"/>
      <c r="JDD21" s="2185"/>
      <c r="JDE21" s="16"/>
      <c r="JDF21" s="2185"/>
      <c r="JDG21" s="16"/>
      <c r="JDH21" s="2185"/>
      <c r="JDI21" s="16"/>
      <c r="JDJ21" s="2185"/>
      <c r="JDK21" s="16"/>
      <c r="JDL21" s="2185"/>
      <c r="JDM21" s="16"/>
      <c r="JDN21" s="2185"/>
      <c r="JDO21" s="16"/>
      <c r="JDP21" s="2185"/>
      <c r="JDQ21" s="16"/>
      <c r="JDR21" s="2185"/>
      <c r="JDS21" s="16"/>
      <c r="JDT21" s="2185"/>
      <c r="JDU21" s="16"/>
      <c r="JDV21" s="2185"/>
      <c r="JDW21" s="16"/>
      <c r="JDX21" s="2185"/>
      <c r="JDY21" s="16"/>
      <c r="JDZ21" s="2185"/>
      <c r="JEA21" s="16"/>
      <c r="JEB21" s="2185"/>
      <c r="JEC21" s="16"/>
      <c r="JED21" s="2185"/>
      <c r="JEE21" s="16"/>
      <c r="JEF21" s="2185"/>
      <c r="JEG21" s="16"/>
      <c r="JEH21" s="2185"/>
      <c r="JEI21" s="16"/>
      <c r="JEJ21" s="2185"/>
      <c r="JEK21" s="16"/>
      <c r="JEL21" s="2185"/>
      <c r="JEM21" s="16"/>
      <c r="JEN21" s="2185"/>
      <c r="JEO21" s="16"/>
      <c r="JEP21" s="2185"/>
      <c r="JEQ21" s="16"/>
      <c r="JER21" s="2185"/>
      <c r="JES21" s="16"/>
      <c r="JET21" s="2185"/>
      <c r="JEU21" s="16"/>
      <c r="JEV21" s="2185"/>
      <c r="JEW21" s="16"/>
      <c r="JEX21" s="2185"/>
      <c r="JEY21" s="16"/>
      <c r="JEZ21" s="2185"/>
      <c r="JFA21" s="16"/>
      <c r="JFB21" s="2185"/>
      <c r="JFC21" s="16"/>
      <c r="JFD21" s="2185"/>
      <c r="JFE21" s="16"/>
      <c r="JFF21" s="2185"/>
      <c r="JFG21" s="16"/>
      <c r="JFH21" s="2185"/>
      <c r="JFI21" s="16"/>
      <c r="JFJ21" s="2185"/>
      <c r="JFK21" s="16"/>
      <c r="JFL21" s="2185"/>
      <c r="JFM21" s="16"/>
      <c r="JFN21" s="2185"/>
      <c r="JFO21" s="16"/>
      <c r="JFP21" s="2185"/>
      <c r="JFQ21" s="16"/>
      <c r="JFR21" s="2185"/>
      <c r="JFS21" s="16"/>
      <c r="JFT21" s="2185"/>
      <c r="JFU21" s="16"/>
      <c r="JFV21" s="2185"/>
      <c r="JFW21" s="16"/>
      <c r="JFX21" s="2185"/>
      <c r="JFY21" s="16"/>
      <c r="JFZ21" s="2185"/>
      <c r="JGA21" s="16"/>
      <c r="JGB21" s="2185"/>
      <c r="JGC21" s="16"/>
      <c r="JGD21" s="2185"/>
      <c r="JGE21" s="16"/>
      <c r="JGF21" s="2185"/>
      <c r="JGG21" s="16"/>
      <c r="JGH21" s="2185"/>
      <c r="JGI21" s="16"/>
      <c r="JGJ21" s="2185"/>
      <c r="JGK21" s="16"/>
      <c r="JGL21" s="2185"/>
      <c r="JGM21" s="16"/>
      <c r="JGN21" s="2185"/>
      <c r="JGO21" s="16"/>
      <c r="JGP21" s="2185"/>
      <c r="JGQ21" s="16"/>
      <c r="JGR21" s="2185"/>
      <c r="JGS21" s="16"/>
      <c r="JGT21" s="2185"/>
      <c r="JGU21" s="16"/>
      <c r="JGV21" s="2185"/>
      <c r="JGW21" s="16"/>
      <c r="JGX21" s="2185"/>
      <c r="JGY21" s="16"/>
      <c r="JGZ21" s="2185"/>
      <c r="JHA21" s="16"/>
      <c r="JHB21" s="2185"/>
      <c r="JHC21" s="16"/>
      <c r="JHD21" s="2185"/>
      <c r="JHE21" s="16"/>
      <c r="JHF21" s="2185"/>
      <c r="JHG21" s="16"/>
      <c r="JHH21" s="2185"/>
      <c r="JHI21" s="16"/>
      <c r="JHJ21" s="2185"/>
      <c r="JHK21" s="16"/>
      <c r="JHL21" s="2185"/>
      <c r="JHM21" s="16"/>
      <c r="JHN21" s="2185"/>
      <c r="JHO21" s="16"/>
      <c r="JHP21" s="2185"/>
      <c r="JHQ21" s="16"/>
      <c r="JHR21" s="2185"/>
      <c r="JHS21" s="16"/>
      <c r="JHT21" s="2185"/>
      <c r="JHU21" s="16"/>
      <c r="JHV21" s="2185"/>
      <c r="JHW21" s="16"/>
      <c r="JHX21" s="2185"/>
      <c r="JHY21" s="16"/>
      <c r="JHZ21" s="2185"/>
      <c r="JIA21" s="16"/>
      <c r="JIB21" s="2185"/>
      <c r="JIC21" s="16"/>
      <c r="JID21" s="2185"/>
      <c r="JIE21" s="16"/>
      <c r="JIF21" s="2185"/>
      <c r="JIG21" s="16"/>
      <c r="JIH21" s="2185"/>
      <c r="JII21" s="16"/>
      <c r="JIJ21" s="2185"/>
      <c r="JIK21" s="16"/>
      <c r="JIL21" s="2185"/>
      <c r="JIM21" s="16"/>
      <c r="JIN21" s="2185"/>
      <c r="JIO21" s="16"/>
      <c r="JIP21" s="2185"/>
      <c r="JIQ21" s="16"/>
      <c r="JIR21" s="2185"/>
      <c r="JIS21" s="16"/>
      <c r="JIT21" s="2185"/>
      <c r="JIU21" s="16"/>
      <c r="JIV21" s="2185"/>
      <c r="JIW21" s="16"/>
      <c r="JIX21" s="2185"/>
      <c r="JIY21" s="16"/>
      <c r="JIZ21" s="2185"/>
      <c r="JJA21" s="16"/>
      <c r="JJB21" s="2185"/>
      <c r="JJC21" s="16"/>
      <c r="JJD21" s="2185"/>
      <c r="JJE21" s="16"/>
      <c r="JJF21" s="2185"/>
      <c r="JJG21" s="16"/>
      <c r="JJH21" s="2185"/>
      <c r="JJI21" s="16"/>
      <c r="JJJ21" s="2185"/>
      <c r="JJK21" s="16"/>
      <c r="JJL21" s="2185"/>
      <c r="JJM21" s="16"/>
      <c r="JJN21" s="2185"/>
      <c r="JJO21" s="16"/>
      <c r="JJP21" s="2185"/>
      <c r="JJQ21" s="16"/>
      <c r="JJR21" s="2185"/>
      <c r="JJS21" s="16"/>
      <c r="JJT21" s="2185"/>
      <c r="JJU21" s="16"/>
      <c r="JJV21" s="2185"/>
      <c r="JJW21" s="16"/>
      <c r="JJX21" s="2185"/>
      <c r="JJY21" s="16"/>
      <c r="JJZ21" s="2185"/>
      <c r="JKA21" s="16"/>
      <c r="JKB21" s="2185"/>
      <c r="JKC21" s="16"/>
      <c r="JKD21" s="2185"/>
      <c r="JKE21" s="16"/>
      <c r="JKF21" s="2185"/>
      <c r="JKG21" s="16"/>
      <c r="JKH21" s="2185"/>
      <c r="JKI21" s="16"/>
      <c r="JKJ21" s="2185"/>
      <c r="JKK21" s="16"/>
      <c r="JKL21" s="2185"/>
      <c r="JKM21" s="16"/>
      <c r="JKN21" s="2185"/>
      <c r="JKO21" s="16"/>
      <c r="JKP21" s="2185"/>
      <c r="JKQ21" s="16"/>
      <c r="JKR21" s="2185"/>
      <c r="JKS21" s="16"/>
      <c r="JKT21" s="2185"/>
      <c r="JKU21" s="16"/>
      <c r="JKV21" s="2185"/>
      <c r="JKW21" s="16"/>
      <c r="JKX21" s="2185"/>
      <c r="JKY21" s="16"/>
      <c r="JKZ21" s="2185"/>
      <c r="JLA21" s="16"/>
      <c r="JLB21" s="2185"/>
      <c r="JLC21" s="16"/>
      <c r="JLD21" s="2185"/>
      <c r="JLE21" s="16"/>
      <c r="JLF21" s="2185"/>
      <c r="JLG21" s="16"/>
      <c r="JLH21" s="2185"/>
      <c r="JLI21" s="16"/>
      <c r="JLJ21" s="2185"/>
      <c r="JLK21" s="16"/>
      <c r="JLL21" s="2185"/>
      <c r="JLM21" s="16"/>
      <c r="JLN21" s="2185"/>
      <c r="JLO21" s="16"/>
      <c r="JLP21" s="2185"/>
      <c r="JLQ21" s="16"/>
      <c r="JLR21" s="2185"/>
      <c r="JLS21" s="16"/>
      <c r="JLT21" s="2185"/>
      <c r="JLU21" s="16"/>
      <c r="JLV21" s="2185"/>
      <c r="JLW21" s="16"/>
      <c r="JLX21" s="2185"/>
      <c r="JLY21" s="16"/>
      <c r="JLZ21" s="2185"/>
      <c r="JMA21" s="16"/>
      <c r="JMB21" s="2185"/>
      <c r="JMC21" s="16"/>
      <c r="JMD21" s="2185"/>
      <c r="JME21" s="16"/>
      <c r="JMF21" s="2185"/>
      <c r="JMG21" s="16"/>
      <c r="JMH21" s="2185"/>
      <c r="JMI21" s="16"/>
      <c r="JMJ21" s="2185"/>
      <c r="JMK21" s="16"/>
      <c r="JML21" s="2185"/>
      <c r="JMM21" s="16"/>
      <c r="JMN21" s="2185"/>
      <c r="JMO21" s="16"/>
      <c r="JMP21" s="2185"/>
      <c r="JMQ21" s="16"/>
      <c r="JMR21" s="2185"/>
      <c r="JMS21" s="16"/>
      <c r="JMT21" s="2185"/>
      <c r="JMU21" s="16"/>
      <c r="JMV21" s="2185"/>
      <c r="JMW21" s="16"/>
      <c r="JMX21" s="2185"/>
      <c r="JMY21" s="16"/>
      <c r="JMZ21" s="2185"/>
      <c r="JNA21" s="16"/>
      <c r="JNB21" s="2185"/>
      <c r="JNC21" s="16"/>
      <c r="JND21" s="2185"/>
      <c r="JNE21" s="16"/>
      <c r="JNF21" s="2185"/>
      <c r="JNG21" s="16"/>
      <c r="JNH21" s="2185"/>
      <c r="JNI21" s="16"/>
      <c r="JNJ21" s="2185"/>
      <c r="JNK21" s="16"/>
      <c r="JNL21" s="2185"/>
      <c r="JNM21" s="16"/>
      <c r="JNN21" s="2185"/>
      <c r="JNO21" s="16"/>
      <c r="JNP21" s="2185"/>
      <c r="JNQ21" s="16"/>
      <c r="JNR21" s="2185"/>
      <c r="JNS21" s="16"/>
      <c r="JNT21" s="2185"/>
      <c r="JNU21" s="16"/>
      <c r="JNV21" s="2185"/>
      <c r="JNW21" s="16"/>
      <c r="JNX21" s="2185"/>
      <c r="JNY21" s="16"/>
      <c r="JNZ21" s="2185"/>
      <c r="JOA21" s="16"/>
      <c r="JOB21" s="2185"/>
      <c r="JOC21" s="16"/>
      <c r="JOD21" s="2185"/>
      <c r="JOE21" s="16"/>
      <c r="JOF21" s="2185"/>
      <c r="JOG21" s="16"/>
      <c r="JOH21" s="2185"/>
      <c r="JOI21" s="16"/>
      <c r="JOJ21" s="2185"/>
      <c r="JOK21" s="16"/>
      <c r="JOL21" s="2185"/>
      <c r="JOM21" s="16"/>
      <c r="JON21" s="2185"/>
      <c r="JOO21" s="16"/>
      <c r="JOP21" s="2185"/>
      <c r="JOQ21" s="16"/>
      <c r="JOR21" s="2185"/>
      <c r="JOS21" s="16"/>
      <c r="JOT21" s="2185"/>
      <c r="JOU21" s="16"/>
      <c r="JOV21" s="2185"/>
      <c r="JOW21" s="16"/>
      <c r="JOX21" s="2185"/>
      <c r="JOY21" s="16"/>
      <c r="JOZ21" s="2185"/>
      <c r="JPA21" s="16"/>
      <c r="JPB21" s="2185"/>
      <c r="JPC21" s="16"/>
      <c r="JPD21" s="2185"/>
      <c r="JPE21" s="16"/>
      <c r="JPF21" s="2185"/>
      <c r="JPG21" s="16"/>
      <c r="JPH21" s="2185"/>
      <c r="JPI21" s="16"/>
      <c r="JPJ21" s="2185"/>
      <c r="JPK21" s="16"/>
      <c r="JPL21" s="2185"/>
      <c r="JPM21" s="16"/>
      <c r="JPN21" s="2185"/>
      <c r="JPO21" s="16"/>
      <c r="JPP21" s="2185"/>
      <c r="JPQ21" s="16"/>
      <c r="JPR21" s="2185"/>
      <c r="JPS21" s="16"/>
      <c r="JPT21" s="2185"/>
      <c r="JPU21" s="16"/>
      <c r="JPV21" s="2185"/>
      <c r="JPW21" s="16"/>
      <c r="JPX21" s="2185"/>
      <c r="JPY21" s="16"/>
      <c r="JPZ21" s="2185"/>
      <c r="JQA21" s="16"/>
      <c r="JQB21" s="2185"/>
      <c r="JQC21" s="16"/>
      <c r="JQD21" s="2185"/>
      <c r="JQE21" s="16"/>
      <c r="JQF21" s="2185"/>
      <c r="JQG21" s="16"/>
      <c r="JQH21" s="2185"/>
      <c r="JQI21" s="16"/>
      <c r="JQJ21" s="2185"/>
      <c r="JQK21" s="16"/>
      <c r="JQL21" s="2185"/>
      <c r="JQM21" s="16"/>
      <c r="JQN21" s="2185"/>
      <c r="JQO21" s="16"/>
      <c r="JQP21" s="2185"/>
      <c r="JQQ21" s="16"/>
      <c r="JQR21" s="2185"/>
      <c r="JQS21" s="16"/>
      <c r="JQT21" s="2185"/>
      <c r="JQU21" s="16"/>
      <c r="JQV21" s="2185"/>
      <c r="JQW21" s="16"/>
      <c r="JQX21" s="2185"/>
      <c r="JQY21" s="16"/>
      <c r="JQZ21" s="2185"/>
      <c r="JRA21" s="16"/>
      <c r="JRB21" s="2185"/>
      <c r="JRC21" s="16"/>
      <c r="JRD21" s="2185"/>
      <c r="JRE21" s="16"/>
      <c r="JRF21" s="2185"/>
      <c r="JRG21" s="16"/>
      <c r="JRH21" s="2185"/>
      <c r="JRI21" s="16"/>
      <c r="JRJ21" s="2185"/>
      <c r="JRK21" s="16"/>
      <c r="JRL21" s="2185"/>
      <c r="JRM21" s="16"/>
      <c r="JRN21" s="2185"/>
      <c r="JRO21" s="16"/>
      <c r="JRP21" s="2185"/>
      <c r="JRQ21" s="16"/>
      <c r="JRR21" s="2185"/>
      <c r="JRS21" s="16"/>
      <c r="JRT21" s="2185"/>
      <c r="JRU21" s="16"/>
      <c r="JRV21" s="2185"/>
      <c r="JRW21" s="16"/>
      <c r="JRX21" s="2185"/>
      <c r="JRY21" s="16"/>
      <c r="JRZ21" s="2185"/>
      <c r="JSA21" s="16"/>
      <c r="JSB21" s="2185"/>
      <c r="JSC21" s="16"/>
      <c r="JSD21" s="2185"/>
      <c r="JSE21" s="16"/>
      <c r="JSF21" s="2185"/>
      <c r="JSG21" s="16"/>
      <c r="JSH21" s="2185"/>
      <c r="JSI21" s="16"/>
      <c r="JSJ21" s="2185"/>
      <c r="JSK21" s="16"/>
      <c r="JSL21" s="2185"/>
      <c r="JSM21" s="16"/>
      <c r="JSN21" s="2185"/>
      <c r="JSO21" s="16"/>
      <c r="JSP21" s="2185"/>
      <c r="JSQ21" s="16"/>
      <c r="JSR21" s="2185"/>
      <c r="JSS21" s="16"/>
      <c r="JST21" s="2185"/>
      <c r="JSU21" s="16"/>
      <c r="JSV21" s="2185"/>
      <c r="JSW21" s="16"/>
      <c r="JSX21" s="2185"/>
      <c r="JSY21" s="16"/>
      <c r="JSZ21" s="2185"/>
      <c r="JTA21" s="16"/>
      <c r="JTB21" s="2185"/>
      <c r="JTC21" s="16"/>
      <c r="JTD21" s="2185"/>
      <c r="JTE21" s="16"/>
      <c r="JTF21" s="2185"/>
      <c r="JTG21" s="16"/>
      <c r="JTH21" s="2185"/>
      <c r="JTI21" s="16"/>
      <c r="JTJ21" s="2185"/>
      <c r="JTK21" s="16"/>
      <c r="JTL21" s="2185"/>
      <c r="JTM21" s="16"/>
      <c r="JTN21" s="2185"/>
      <c r="JTO21" s="16"/>
      <c r="JTP21" s="2185"/>
      <c r="JTQ21" s="16"/>
      <c r="JTR21" s="2185"/>
      <c r="JTS21" s="16"/>
      <c r="JTT21" s="2185"/>
      <c r="JTU21" s="16"/>
      <c r="JTV21" s="2185"/>
      <c r="JTW21" s="16"/>
      <c r="JTX21" s="2185"/>
      <c r="JTY21" s="16"/>
      <c r="JTZ21" s="2185"/>
      <c r="JUA21" s="16"/>
      <c r="JUB21" s="2185"/>
      <c r="JUC21" s="16"/>
      <c r="JUD21" s="2185"/>
      <c r="JUE21" s="16"/>
      <c r="JUF21" s="2185"/>
      <c r="JUG21" s="16"/>
      <c r="JUH21" s="2185"/>
      <c r="JUI21" s="16"/>
      <c r="JUJ21" s="2185"/>
      <c r="JUK21" s="16"/>
      <c r="JUL21" s="2185"/>
      <c r="JUM21" s="16"/>
      <c r="JUN21" s="2185"/>
      <c r="JUO21" s="16"/>
      <c r="JUP21" s="2185"/>
      <c r="JUQ21" s="16"/>
      <c r="JUR21" s="2185"/>
      <c r="JUS21" s="16"/>
      <c r="JUT21" s="2185"/>
      <c r="JUU21" s="16"/>
      <c r="JUV21" s="2185"/>
      <c r="JUW21" s="16"/>
      <c r="JUX21" s="2185"/>
      <c r="JUY21" s="16"/>
      <c r="JUZ21" s="2185"/>
      <c r="JVA21" s="16"/>
      <c r="JVB21" s="2185"/>
      <c r="JVC21" s="16"/>
      <c r="JVD21" s="2185"/>
      <c r="JVE21" s="16"/>
      <c r="JVF21" s="2185"/>
      <c r="JVG21" s="16"/>
      <c r="JVH21" s="2185"/>
      <c r="JVI21" s="16"/>
      <c r="JVJ21" s="2185"/>
      <c r="JVK21" s="16"/>
      <c r="JVL21" s="2185"/>
      <c r="JVM21" s="16"/>
      <c r="JVN21" s="2185"/>
      <c r="JVO21" s="16"/>
      <c r="JVP21" s="2185"/>
      <c r="JVQ21" s="16"/>
      <c r="JVR21" s="2185"/>
      <c r="JVS21" s="16"/>
      <c r="JVT21" s="2185"/>
      <c r="JVU21" s="16"/>
      <c r="JVV21" s="2185"/>
      <c r="JVW21" s="16"/>
      <c r="JVX21" s="2185"/>
      <c r="JVY21" s="16"/>
      <c r="JVZ21" s="2185"/>
      <c r="JWA21" s="16"/>
      <c r="JWB21" s="2185"/>
      <c r="JWC21" s="16"/>
      <c r="JWD21" s="2185"/>
      <c r="JWE21" s="16"/>
      <c r="JWF21" s="2185"/>
      <c r="JWG21" s="16"/>
      <c r="JWH21" s="2185"/>
      <c r="JWI21" s="16"/>
      <c r="JWJ21" s="2185"/>
      <c r="JWK21" s="16"/>
      <c r="JWL21" s="2185"/>
      <c r="JWM21" s="16"/>
      <c r="JWN21" s="2185"/>
      <c r="JWO21" s="16"/>
      <c r="JWP21" s="2185"/>
      <c r="JWQ21" s="16"/>
      <c r="JWR21" s="2185"/>
      <c r="JWS21" s="16"/>
      <c r="JWT21" s="2185"/>
      <c r="JWU21" s="16"/>
      <c r="JWV21" s="2185"/>
      <c r="JWW21" s="16"/>
      <c r="JWX21" s="2185"/>
      <c r="JWY21" s="16"/>
      <c r="JWZ21" s="2185"/>
      <c r="JXA21" s="16"/>
      <c r="JXB21" s="2185"/>
      <c r="JXC21" s="16"/>
      <c r="JXD21" s="2185"/>
      <c r="JXE21" s="16"/>
      <c r="JXF21" s="2185"/>
      <c r="JXG21" s="16"/>
      <c r="JXH21" s="2185"/>
      <c r="JXI21" s="16"/>
      <c r="JXJ21" s="2185"/>
      <c r="JXK21" s="16"/>
      <c r="JXL21" s="2185"/>
      <c r="JXM21" s="16"/>
      <c r="JXN21" s="2185"/>
      <c r="JXO21" s="16"/>
      <c r="JXP21" s="2185"/>
      <c r="JXQ21" s="16"/>
      <c r="JXR21" s="2185"/>
      <c r="JXS21" s="16"/>
      <c r="JXT21" s="2185"/>
      <c r="JXU21" s="16"/>
      <c r="JXV21" s="2185"/>
      <c r="JXW21" s="16"/>
      <c r="JXX21" s="2185"/>
      <c r="JXY21" s="16"/>
      <c r="JXZ21" s="2185"/>
      <c r="JYA21" s="16"/>
      <c r="JYB21" s="2185"/>
      <c r="JYC21" s="16"/>
      <c r="JYD21" s="2185"/>
      <c r="JYE21" s="16"/>
      <c r="JYF21" s="2185"/>
      <c r="JYG21" s="16"/>
      <c r="JYH21" s="2185"/>
      <c r="JYI21" s="16"/>
      <c r="JYJ21" s="2185"/>
      <c r="JYK21" s="16"/>
      <c r="JYL21" s="2185"/>
      <c r="JYM21" s="16"/>
      <c r="JYN21" s="2185"/>
      <c r="JYO21" s="16"/>
      <c r="JYP21" s="2185"/>
      <c r="JYQ21" s="16"/>
      <c r="JYR21" s="2185"/>
      <c r="JYS21" s="16"/>
      <c r="JYT21" s="2185"/>
      <c r="JYU21" s="16"/>
      <c r="JYV21" s="2185"/>
      <c r="JYW21" s="16"/>
      <c r="JYX21" s="2185"/>
      <c r="JYY21" s="16"/>
      <c r="JYZ21" s="2185"/>
      <c r="JZA21" s="16"/>
      <c r="JZB21" s="2185"/>
      <c r="JZC21" s="16"/>
      <c r="JZD21" s="2185"/>
      <c r="JZE21" s="16"/>
      <c r="JZF21" s="2185"/>
      <c r="JZG21" s="16"/>
      <c r="JZH21" s="2185"/>
      <c r="JZI21" s="16"/>
      <c r="JZJ21" s="2185"/>
      <c r="JZK21" s="16"/>
      <c r="JZL21" s="2185"/>
      <c r="JZM21" s="16"/>
      <c r="JZN21" s="2185"/>
      <c r="JZO21" s="16"/>
      <c r="JZP21" s="2185"/>
      <c r="JZQ21" s="16"/>
      <c r="JZR21" s="2185"/>
      <c r="JZS21" s="16"/>
      <c r="JZT21" s="2185"/>
      <c r="JZU21" s="16"/>
      <c r="JZV21" s="2185"/>
      <c r="JZW21" s="16"/>
      <c r="JZX21" s="2185"/>
      <c r="JZY21" s="16"/>
      <c r="JZZ21" s="2185"/>
      <c r="KAA21" s="16"/>
      <c r="KAB21" s="2185"/>
      <c r="KAC21" s="16"/>
      <c r="KAD21" s="2185"/>
      <c r="KAE21" s="16"/>
      <c r="KAF21" s="2185"/>
      <c r="KAG21" s="16"/>
      <c r="KAH21" s="2185"/>
      <c r="KAI21" s="16"/>
      <c r="KAJ21" s="2185"/>
      <c r="KAK21" s="16"/>
      <c r="KAL21" s="2185"/>
      <c r="KAM21" s="16"/>
      <c r="KAN21" s="2185"/>
      <c r="KAO21" s="16"/>
      <c r="KAP21" s="2185"/>
      <c r="KAQ21" s="16"/>
      <c r="KAR21" s="2185"/>
      <c r="KAS21" s="16"/>
      <c r="KAT21" s="2185"/>
      <c r="KAU21" s="16"/>
      <c r="KAV21" s="2185"/>
      <c r="KAW21" s="16"/>
      <c r="KAX21" s="2185"/>
      <c r="KAY21" s="16"/>
      <c r="KAZ21" s="2185"/>
      <c r="KBA21" s="16"/>
      <c r="KBB21" s="2185"/>
      <c r="KBC21" s="16"/>
      <c r="KBD21" s="2185"/>
      <c r="KBE21" s="16"/>
      <c r="KBF21" s="2185"/>
      <c r="KBG21" s="16"/>
      <c r="KBH21" s="2185"/>
      <c r="KBI21" s="16"/>
      <c r="KBJ21" s="2185"/>
      <c r="KBK21" s="16"/>
      <c r="KBL21" s="2185"/>
      <c r="KBM21" s="16"/>
      <c r="KBN21" s="2185"/>
      <c r="KBO21" s="16"/>
      <c r="KBP21" s="2185"/>
      <c r="KBQ21" s="16"/>
      <c r="KBR21" s="2185"/>
      <c r="KBS21" s="16"/>
      <c r="KBT21" s="2185"/>
      <c r="KBU21" s="16"/>
      <c r="KBV21" s="2185"/>
      <c r="KBW21" s="16"/>
      <c r="KBX21" s="2185"/>
      <c r="KBY21" s="16"/>
      <c r="KBZ21" s="2185"/>
      <c r="KCA21" s="16"/>
      <c r="KCB21" s="2185"/>
      <c r="KCC21" s="16"/>
      <c r="KCD21" s="2185"/>
      <c r="KCE21" s="16"/>
      <c r="KCF21" s="2185"/>
      <c r="KCG21" s="16"/>
      <c r="KCH21" s="2185"/>
      <c r="KCI21" s="16"/>
      <c r="KCJ21" s="2185"/>
      <c r="KCK21" s="16"/>
      <c r="KCL21" s="2185"/>
      <c r="KCM21" s="16"/>
      <c r="KCN21" s="2185"/>
      <c r="KCO21" s="16"/>
      <c r="KCP21" s="2185"/>
      <c r="KCQ21" s="16"/>
      <c r="KCR21" s="2185"/>
      <c r="KCS21" s="16"/>
      <c r="KCT21" s="2185"/>
      <c r="KCU21" s="16"/>
      <c r="KCV21" s="2185"/>
      <c r="KCW21" s="16"/>
      <c r="KCX21" s="2185"/>
      <c r="KCY21" s="16"/>
      <c r="KCZ21" s="2185"/>
      <c r="KDA21" s="16"/>
      <c r="KDB21" s="2185"/>
      <c r="KDC21" s="16"/>
      <c r="KDD21" s="2185"/>
      <c r="KDE21" s="16"/>
      <c r="KDF21" s="2185"/>
      <c r="KDG21" s="16"/>
      <c r="KDH21" s="2185"/>
      <c r="KDI21" s="16"/>
      <c r="KDJ21" s="2185"/>
      <c r="KDK21" s="16"/>
      <c r="KDL21" s="2185"/>
      <c r="KDM21" s="16"/>
      <c r="KDN21" s="2185"/>
      <c r="KDO21" s="16"/>
      <c r="KDP21" s="2185"/>
      <c r="KDQ21" s="16"/>
      <c r="KDR21" s="2185"/>
      <c r="KDS21" s="16"/>
      <c r="KDT21" s="2185"/>
      <c r="KDU21" s="16"/>
      <c r="KDV21" s="2185"/>
      <c r="KDW21" s="16"/>
      <c r="KDX21" s="2185"/>
      <c r="KDY21" s="16"/>
      <c r="KDZ21" s="2185"/>
      <c r="KEA21" s="16"/>
      <c r="KEB21" s="2185"/>
      <c r="KEC21" s="16"/>
      <c r="KED21" s="2185"/>
      <c r="KEE21" s="16"/>
      <c r="KEF21" s="2185"/>
      <c r="KEG21" s="16"/>
      <c r="KEH21" s="2185"/>
      <c r="KEI21" s="16"/>
      <c r="KEJ21" s="2185"/>
      <c r="KEK21" s="16"/>
      <c r="KEL21" s="2185"/>
      <c r="KEM21" s="16"/>
      <c r="KEN21" s="2185"/>
      <c r="KEO21" s="16"/>
      <c r="KEP21" s="2185"/>
      <c r="KEQ21" s="16"/>
      <c r="KER21" s="2185"/>
      <c r="KES21" s="16"/>
      <c r="KET21" s="2185"/>
      <c r="KEU21" s="16"/>
      <c r="KEV21" s="2185"/>
      <c r="KEW21" s="16"/>
      <c r="KEX21" s="2185"/>
      <c r="KEY21" s="16"/>
      <c r="KEZ21" s="2185"/>
      <c r="KFA21" s="16"/>
      <c r="KFB21" s="2185"/>
      <c r="KFC21" s="16"/>
      <c r="KFD21" s="2185"/>
      <c r="KFE21" s="16"/>
      <c r="KFF21" s="2185"/>
      <c r="KFG21" s="16"/>
      <c r="KFH21" s="2185"/>
      <c r="KFI21" s="16"/>
      <c r="KFJ21" s="2185"/>
      <c r="KFK21" s="16"/>
      <c r="KFL21" s="2185"/>
      <c r="KFM21" s="16"/>
      <c r="KFN21" s="2185"/>
      <c r="KFO21" s="16"/>
      <c r="KFP21" s="2185"/>
      <c r="KFQ21" s="16"/>
      <c r="KFR21" s="2185"/>
      <c r="KFS21" s="16"/>
      <c r="KFT21" s="2185"/>
      <c r="KFU21" s="16"/>
      <c r="KFV21" s="2185"/>
      <c r="KFW21" s="16"/>
      <c r="KFX21" s="2185"/>
      <c r="KFY21" s="16"/>
      <c r="KFZ21" s="2185"/>
      <c r="KGA21" s="16"/>
      <c r="KGB21" s="2185"/>
      <c r="KGC21" s="16"/>
      <c r="KGD21" s="2185"/>
      <c r="KGE21" s="16"/>
      <c r="KGF21" s="2185"/>
      <c r="KGG21" s="16"/>
      <c r="KGH21" s="2185"/>
      <c r="KGI21" s="16"/>
      <c r="KGJ21" s="2185"/>
      <c r="KGK21" s="16"/>
      <c r="KGL21" s="2185"/>
      <c r="KGM21" s="16"/>
      <c r="KGN21" s="2185"/>
      <c r="KGO21" s="16"/>
      <c r="KGP21" s="2185"/>
      <c r="KGQ21" s="16"/>
      <c r="KGR21" s="2185"/>
      <c r="KGS21" s="16"/>
      <c r="KGT21" s="2185"/>
      <c r="KGU21" s="16"/>
      <c r="KGV21" s="2185"/>
      <c r="KGW21" s="16"/>
      <c r="KGX21" s="2185"/>
      <c r="KGY21" s="16"/>
      <c r="KGZ21" s="2185"/>
      <c r="KHA21" s="16"/>
      <c r="KHB21" s="2185"/>
      <c r="KHC21" s="16"/>
      <c r="KHD21" s="2185"/>
      <c r="KHE21" s="16"/>
      <c r="KHF21" s="2185"/>
      <c r="KHG21" s="16"/>
      <c r="KHH21" s="2185"/>
      <c r="KHI21" s="16"/>
      <c r="KHJ21" s="2185"/>
      <c r="KHK21" s="16"/>
      <c r="KHL21" s="2185"/>
      <c r="KHM21" s="16"/>
      <c r="KHN21" s="2185"/>
      <c r="KHO21" s="16"/>
      <c r="KHP21" s="2185"/>
      <c r="KHQ21" s="16"/>
      <c r="KHR21" s="2185"/>
      <c r="KHS21" s="16"/>
      <c r="KHT21" s="2185"/>
      <c r="KHU21" s="16"/>
      <c r="KHV21" s="2185"/>
      <c r="KHW21" s="16"/>
      <c r="KHX21" s="2185"/>
      <c r="KHY21" s="16"/>
      <c r="KHZ21" s="2185"/>
      <c r="KIA21" s="16"/>
      <c r="KIB21" s="2185"/>
      <c r="KIC21" s="16"/>
      <c r="KID21" s="2185"/>
      <c r="KIE21" s="16"/>
      <c r="KIF21" s="2185"/>
      <c r="KIG21" s="16"/>
      <c r="KIH21" s="2185"/>
      <c r="KII21" s="16"/>
      <c r="KIJ21" s="2185"/>
      <c r="KIK21" s="16"/>
      <c r="KIL21" s="2185"/>
      <c r="KIM21" s="16"/>
      <c r="KIN21" s="2185"/>
      <c r="KIO21" s="16"/>
      <c r="KIP21" s="2185"/>
      <c r="KIQ21" s="16"/>
      <c r="KIR21" s="2185"/>
      <c r="KIS21" s="16"/>
      <c r="KIT21" s="2185"/>
      <c r="KIU21" s="16"/>
      <c r="KIV21" s="2185"/>
      <c r="KIW21" s="16"/>
      <c r="KIX21" s="2185"/>
      <c r="KIY21" s="16"/>
      <c r="KIZ21" s="2185"/>
      <c r="KJA21" s="16"/>
      <c r="KJB21" s="2185"/>
      <c r="KJC21" s="16"/>
      <c r="KJD21" s="2185"/>
      <c r="KJE21" s="16"/>
      <c r="KJF21" s="2185"/>
      <c r="KJG21" s="16"/>
      <c r="KJH21" s="2185"/>
      <c r="KJI21" s="16"/>
      <c r="KJJ21" s="2185"/>
      <c r="KJK21" s="16"/>
      <c r="KJL21" s="2185"/>
      <c r="KJM21" s="16"/>
      <c r="KJN21" s="2185"/>
      <c r="KJO21" s="16"/>
      <c r="KJP21" s="2185"/>
      <c r="KJQ21" s="16"/>
      <c r="KJR21" s="2185"/>
      <c r="KJS21" s="16"/>
      <c r="KJT21" s="2185"/>
      <c r="KJU21" s="16"/>
      <c r="KJV21" s="2185"/>
      <c r="KJW21" s="16"/>
      <c r="KJX21" s="2185"/>
      <c r="KJY21" s="16"/>
      <c r="KJZ21" s="2185"/>
      <c r="KKA21" s="16"/>
      <c r="KKB21" s="2185"/>
      <c r="KKC21" s="16"/>
      <c r="KKD21" s="2185"/>
      <c r="KKE21" s="16"/>
      <c r="KKF21" s="2185"/>
      <c r="KKG21" s="16"/>
      <c r="KKH21" s="2185"/>
      <c r="KKI21" s="16"/>
      <c r="KKJ21" s="2185"/>
      <c r="KKK21" s="16"/>
      <c r="KKL21" s="2185"/>
      <c r="KKM21" s="16"/>
      <c r="KKN21" s="2185"/>
      <c r="KKO21" s="16"/>
      <c r="KKP21" s="2185"/>
      <c r="KKQ21" s="16"/>
      <c r="KKR21" s="2185"/>
      <c r="KKS21" s="16"/>
      <c r="KKT21" s="2185"/>
      <c r="KKU21" s="16"/>
      <c r="KKV21" s="2185"/>
      <c r="KKW21" s="16"/>
      <c r="KKX21" s="2185"/>
      <c r="KKY21" s="16"/>
      <c r="KKZ21" s="2185"/>
      <c r="KLA21" s="16"/>
      <c r="KLB21" s="2185"/>
      <c r="KLC21" s="16"/>
      <c r="KLD21" s="2185"/>
      <c r="KLE21" s="16"/>
      <c r="KLF21" s="2185"/>
      <c r="KLG21" s="16"/>
      <c r="KLH21" s="2185"/>
      <c r="KLI21" s="16"/>
      <c r="KLJ21" s="2185"/>
      <c r="KLK21" s="16"/>
      <c r="KLL21" s="2185"/>
      <c r="KLM21" s="16"/>
      <c r="KLN21" s="2185"/>
      <c r="KLO21" s="16"/>
      <c r="KLP21" s="2185"/>
      <c r="KLQ21" s="16"/>
      <c r="KLR21" s="2185"/>
      <c r="KLS21" s="16"/>
      <c r="KLT21" s="2185"/>
      <c r="KLU21" s="16"/>
      <c r="KLV21" s="2185"/>
      <c r="KLW21" s="16"/>
      <c r="KLX21" s="2185"/>
      <c r="KLY21" s="16"/>
      <c r="KLZ21" s="2185"/>
      <c r="KMA21" s="16"/>
      <c r="KMB21" s="2185"/>
      <c r="KMC21" s="16"/>
      <c r="KMD21" s="2185"/>
      <c r="KME21" s="16"/>
      <c r="KMF21" s="2185"/>
      <c r="KMG21" s="16"/>
      <c r="KMH21" s="2185"/>
      <c r="KMI21" s="16"/>
      <c r="KMJ21" s="2185"/>
      <c r="KMK21" s="16"/>
      <c r="KML21" s="2185"/>
      <c r="KMM21" s="16"/>
      <c r="KMN21" s="2185"/>
      <c r="KMO21" s="16"/>
      <c r="KMP21" s="2185"/>
      <c r="KMQ21" s="16"/>
      <c r="KMR21" s="2185"/>
      <c r="KMS21" s="16"/>
      <c r="KMT21" s="2185"/>
      <c r="KMU21" s="16"/>
      <c r="KMV21" s="2185"/>
      <c r="KMW21" s="16"/>
      <c r="KMX21" s="2185"/>
      <c r="KMY21" s="16"/>
      <c r="KMZ21" s="2185"/>
      <c r="KNA21" s="16"/>
      <c r="KNB21" s="2185"/>
      <c r="KNC21" s="16"/>
      <c r="KND21" s="2185"/>
      <c r="KNE21" s="16"/>
      <c r="KNF21" s="2185"/>
      <c r="KNG21" s="16"/>
      <c r="KNH21" s="2185"/>
      <c r="KNI21" s="16"/>
      <c r="KNJ21" s="2185"/>
      <c r="KNK21" s="16"/>
      <c r="KNL21" s="2185"/>
      <c r="KNM21" s="16"/>
      <c r="KNN21" s="2185"/>
      <c r="KNO21" s="16"/>
      <c r="KNP21" s="2185"/>
      <c r="KNQ21" s="16"/>
      <c r="KNR21" s="2185"/>
      <c r="KNS21" s="16"/>
      <c r="KNT21" s="2185"/>
      <c r="KNU21" s="16"/>
      <c r="KNV21" s="2185"/>
      <c r="KNW21" s="16"/>
      <c r="KNX21" s="2185"/>
      <c r="KNY21" s="16"/>
      <c r="KNZ21" s="2185"/>
      <c r="KOA21" s="16"/>
      <c r="KOB21" s="2185"/>
      <c r="KOC21" s="16"/>
      <c r="KOD21" s="2185"/>
      <c r="KOE21" s="16"/>
      <c r="KOF21" s="2185"/>
      <c r="KOG21" s="16"/>
      <c r="KOH21" s="2185"/>
      <c r="KOI21" s="16"/>
      <c r="KOJ21" s="2185"/>
      <c r="KOK21" s="16"/>
      <c r="KOL21" s="2185"/>
      <c r="KOM21" s="16"/>
      <c r="KON21" s="2185"/>
      <c r="KOO21" s="16"/>
      <c r="KOP21" s="2185"/>
      <c r="KOQ21" s="16"/>
      <c r="KOR21" s="2185"/>
      <c r="KOS21" s="16"/>
      <c r="KOT21" s="2185"/>
      <c r="KOU21" s="16"/>
      <c r="KOV21" s="2185"/>
      <c r="KOW21" s="16"/>
      <c r="KOX21" s="2185"/>
      <c r="KOY21" s="16"/>
      <c r="KOZ21" s="2185"/>
      <c r="KPA21" s="16"/>
      <c r="KPB21" s="2185"/>
      <c r="KPC21" s="16"/>
      <c r="KPD21" s="2185"/>
      <c r="KPE21" s="16"/>
      <c r="KPF21" s="2185"/>
      <c r="KPG21" s="16"/>
      <c r="KPH21" s="2185"/>
      <c r="KPI21" s="16"/>
      <c r="KPJ21" s="2185"/>
      <c r="KPK21" s="16"/>
      <c r="KPL21" s="2185"/>
      <c r="KPM21" s="16"/>
      <c r="KPN21" s="2185"/>
      <c r="KPO21" s="16"/>
      <c r="KPP21" s="2185"/>
      <c r="KPQ21" s="16"/>
      <c r="KPR21" s="2185"/>
      <c r="KPS21" s="16"/>
      <c r="KPT21" s="2185"/>
      <c r="KPU21" s="16"/>
      <c r="KPV21" s="2185"/>
      <c r="KPW21" s="16"/>
      <c r="KPX21" s="2185"/>
      <c r="KPY21" s="16"/>
      <c r="KPZ21" s="2185"/>
      <c r="KQA21" s="16"/>
      <c r="KQB21" s="2185"/>
      <c r="KQC21" s="16"/>
      <c r="KQD21" s="2185"/>
      <c r="KQE21" s="16"/>
      <c r="KQF21" s="2185"/>
      <c r="KQG21" s="16"/>
      <c r="KQH21" s="2185"/>
      <c r="KQI21" s="16"/>
      <c r="KQJ21" s="2185"/>
      <c r="KQK21" s="16"/>
      <c r="KQL21" s="2185"/>
      <c r="KQM21" s="16"/>
      <c r="KQN21" s="2185"/>
      <c r="KQO21" s="16"/>
      <c r="KQP21" s="2185"/>
      <c r="KQQ21" s="16"/>
      <c r="KQR21" s="2185"/>
      <c r="KQS21" s="16"/>
      <c r="KQT21" s="2185"/>
      <c r="KQU21" s="16"/>
      <c r="KQV21" s="2185"/>
      <c r="KQW21" s="16"/>
      <c r="KQX21" s="2185"/>
      <c r="KQY21" s="16"/>
      <c r="KQZ21" s="2185"/>
      <c r="KRA21" s="16"/>
      <c r="KRB21" s="2185"/>
      <c r="KRC21" s="16"/>
      <c r="KRD21" s="2185"/>
      <c r="KRE21" s="16"/>
      <c r="KRF21" s="2185"/>
      <c r="KRG21" s="16"/>
      <c r="KRH21" s="2185"/>
      <c r="KRI21" s="16"/>
      <c r="KRJ21" s="2185"/>
      <c r="KRK21" s="16"/>
      <c r="KRL21" s="2185"/>
      <c r="KRM21" s="16"/>
      <c r="KRN21" s="2185"/>
      <c r="KRO21" s="16"/>
      <c r="KRP21" s="2185"/>
      <c r="KRQ21" s="16"/>
      <c r="KRR21" s="2185"/>
      <c r="KRS21" s="16"/>
      <c r="KRT21" s="2185"/>
      <c r="KRU21" s="16"/>
      <c r="KRV21" s="2185"/>
      <c r="KRW21" s="16"/>
      <c r="KRX21" s="2185"/>
      <c r="KRY21" s="16"/>
      <c r="KRZ21" s="2185"/>
      <c r="KSA21" s="16"/>
      <c r="KSB21" s="2185"/>
      <c r="KSC21" s="16"/>
      <c r="KSD21" s="2185"/>
      <c r="KSE21" s="16"/>
      <c r="KSF21" s="2185"/>
      <c r="KSG21" s="16"/>
      <c r="KSH21" s="2185"/>
      <c r="KSI21" s="16"/>
      <c r="KSJ21" s="2185"/>
      <c r="KSK21" s="16"/>
      <c r="KSL21" s="2185"/>
      <c r="KSM21" s="16"/>
      <c r="KSN21" s="2185"/>
      <c r="KSO21" s="16"/>
      <c r="KSP21" s="2185"/>
      <c r="KSQ21" s="16"/>
      <c r="KSR21" s="2185"/>
      <c r="KSS21" s="16"/>
      <c r="KST21" s="2185"/>
      <c r="KSU21" s="16"/>
      <c r="KSV21" s="2185"/>
      <c r="KSW21" s="16"/>
      <c r="KSX21" s="2185"/>
      <c r="KSY21" s="16"/>
      <c r="KSZ21" s="2185"/>
      <c r="KTA21" s="16"/>
      <c r="KTB21" s="2185"/>
      <c r="KTC21" s="16"/>
      <c r="KTD21" s="2185"/>
      <c r="KTE21" s="16"/>
      <c r="KTF21" s="2185"/>
      <c r="KTG21" s="16"/>
      <c r="KTH21" s="2185"/>
      <c r="KTI21" s="16"/>
      <c r="KTJ21" s="2185"/>
      <c r="KTK21" s="16"/>
      <c r="KTL21" s="2185"/>
      <c r="KTM21" s="16"/>
      <c r="KTN21" s="2185"/>
      <c r="KTO21" s="16"/>
      <c r="KTP21" s="2185"/>
      <c r="KTQ21" s="16"/>
      <c r="KTR21" s="2185"/>
      <c r="KTS21" s="16"/>
      <c r="KTT21" s="2185"/>
      <c r="KTU21" s="16"/>
      <c r="KTV21" s="2185"/>
      <c r="KTW21" s="16"/>
      <c r="KTX21" s="2185"/>
      <c r="KTY21" s="16"/>
      <c r="KTZ21" s="2185"/>
      <c r="KUA21" s="16"/>
      <c r="KUB21" s="2185"/>
      <c r="KUC21" s="16"/>
      <c r="KUD21" s="2185"/>
      <c r="KUE21" s="16"/>
      <c r="KUF21" s="2185"/>
      <c r="KUG21" s="16"/>
      <c r="KUH21" s="2185"/>
      <c r="KUI21" s="16"/>
      <c r="KUJ21" s="2185"/>
      <c r="KUK21" s="16"/>
      <c r="KUL21" s="2185"/>
      <c r="KUM21" s="16"/>
      <c r="KUN21" s="2185"/>
      <c r="KUO21" s="16"/>
      <c r="KUP21" s="2185"/>
      <c r="KUQ21" s="16"/>
      <c r="KUR21" s="2185"/>
      <c r="KUS21" s="16"/>
      <c r="KUT21" s="2185"/>
      <c r="KUU21" s="16"/>
      <c r="KUV21" s="2185"/>
      <c r="KUW21" s="16"/>
      <c r="KUX21" s="2185"/>
      <c r="KUY21" s="16"/>
      <c r="KUZ21" s="2185"/>
      <c r="KVA21" s="16"/>
      <c r="KVB21" s="2185"/>
      <c r="KVC21" s="16"/>
      <c r="KVD21" s="2185"/>
      <c r="KVE21" s="16"/>
      <c r="KVF21" s="2185"/>
      <c r="KVG21" s="16"/>
      <c r="KVH21" s="2185"/>
      <c r="KVI21" s="16"/>
      <c r="KVJ21" s="2185"/>
      <c r="KVK21" s="16"/>
      <c r="KVL21" s="2185"/>
      <c r="KVM21" s="16"/>
      <c r="KVN21" s="2185"/>
      <c r="KVO21" s="16"/>
      <c r="KVP21" s="2185"/>
      <c r="KVQ21" s="16"/>
      <c r="KVR21" s="2185"/>
      <c r="KVS21" s="16"/>
      <c r="KVT21" s="2185"/>
      <c r="KVU21" s="16"/>
      <c r="KVV21" s="2185"/>
      <c r="KVW21" s="16"/>
      <c r="KVX21" s="2185"/>
      <c r="KVY21" s="16"/>
      <c r="KVZ21" s="2185"/>
      <c r="KWA21" s="16"/>
      <c r="KWB21" s="2185"/>
      <c r="KWC21" s="16"/>
      <c r="KWD21" s="2185"/>
      <c r="KWE21" s="16"/>
      <c r="KWF21" s="2185"/>
      <c r="KWG21" s="16"/>
      <c r="KWH21" s="2185"/>
      <c r="KWI21" s="16"/>
      <c r="KWJ21" s="2185"/>
      <c r="KWK21" s="16"/>
      <c r="KWL21" s="2185"/>
      <c r="KWM21" s="16"/>
      <c r="KWN21" s="2185"/>
      <c r="KWO21" s="16"/>
      <c r="KWP21" s="2185"/>
      <c r="KWQ21" s="16"/>
      <c r="KWR21" s="2185"/>
      <c r="KWS21" s="16"/>
      <c r="KWT21" s="2185"/>
      <c r="KWU21" s="16"/>
      <c r="KWV21" s="2185"/>
      <c r="KWW21" s="16"/>
      <c r="KWX21" s="2185"/>
      <c r="KWY21" s="16"/>
      <c r="KWZ21" s="2185"/>
      <c r="KXA21" s="16"/>
      <c r="KXB21" s="2185"/>
      <c r="KXC21" s="16"/>
      <c r="KXD21" s="2185"/>
      <c r="KXE21" s="16"/>
      <c r="KXF21" s="2185"/>
      <c r="KXG21" s="16"/>
      <c r="KXH21" s="2185"/>
      <c r="KXI21" s="16"/>
      <c r="KXJ21" s="2185"/>
      <c r="KXK21" s="16"/>
      <c r="KXL21" s="2185"/>
      <c r="KXM21" s="16"/>
      <c r="KXN21" s="2185"/>
      <c r="KXO21" s="16"/>
      <c r="KXP21" s="2185"/>
      <c r="KXQ21" s="16"/>
      <c r="KXR21" s="2185"/>
      <c r="KXS21" s="16"/>
      <c r="KXT21" s="2185"/>
      <c r="KXU21" s="16"/>
      <c r="KXV21" s="2185"/>
      <c r="KXW21" s="16"/>
      <c r="KXX21" s="2185"/>
      <c r="KXY21" s="16"/>
      <c r="KXZ21" s="2185"/>
      <c r="KYA21" s="16"/>
      <c r="KYB21" s="2185"/>
      <c r="KYC21" s="16"/>
      <c r="KYD21" s="2185"/>
      <c r="KYE21" s="16"/>
      <c r="KYF21" s="2185"/>
      <c r="KYG21" s="16"/>
      <c r="KYH21" s="2185"/>
      <c r="KYI21" s="16"/>
      <c r="KYJ21" s="2185"/>
      <c r="KYK21" s="16"/>
      <c r="KYL21" s="2185"/>
      <c r="KYM21" s="16"/>
      <c r="KYN21" s="2185"/>
      <c r="KYO21" s="16"/>
      <c r="KYP21" s="2185"/>
      <c r="KYQ21" s="16"/>
      <c r="KYR21" s="2185"/>
      <c r="KYS21" s="16"/>
      <c r="KYT21" s="2185"/>
      <c r="KYU21" s="16"/>
      <c r="KYV21" s="2185"/>
      <c r="KYW21" s="16"/>
      <c r="KYX21" s="2185"/>
      <c r="KYY21" s="16"/>
      <c r="KYZ21" s="2185"/>
      <c r="KZA21" s="16"/>
      <c r="KZB21" s="2185"/>
      <c r="KZC21" s="16"/>
      <c r="KZD21" s="2185"/>
      <c r="KZE21" s="16"/>
      <c r="KZF21" s="2185"/>
      <c r="KZG21" s="16"/>
      <c r="KZH21" s="2185"/>
      <c r="KZI21" s="16"/>
      <c r="KZJ21" s="2185"/>
      <c r="KZK21" s="16"/>
      <c r="KZL21" s="2185"/>
      <c r="KZM21" s="16"/>
      <c r="KZN21" s="2185"/>
      <c r="KZO21" s="16"/>
      <c r="KZP21" s="2185"/>
      <c r="KZQ21" s="16"/>
      <c r="KZR21" s="2185"/>
      <c r="KZS21" s="16"/>
      <c r="KZT21" s="2185"/>
      <c r="KZU21" s="16"/>
      <c r="KZV21" s="2185"/>
      <c r="KZW21" s="16"/>
      <c r="KZX21" s="2185"/>
      <c r="KZY21" s="16"/>
      <c r="KZZ21" s="2185"/>
      <c r="LAA21" s="16"/>
      <c r="LAB21" s="2185"/>
      <c r="LAC21" s="16"/>
      <c r="LAD21" s="2185"/>
      <c r="LAE21" s="16"/>
      <c r="LAF21" s="2185"/>
      <c r="LAG21" s="16"/>
      <c r="LAH21" s="2185"/>
      <c r="LAI21" s="16"/>
      <c r="LAJ21" s="2185"/>
      <c r="LAK21" s="16"/>
      <c r="LAL21" s="2185"/>
      <c r="LAM21" s="16"/>
      <c r="LAN21" s="2185"/>
      <c r="LAO21" s="16"/>
      <c r="LAP21" s="2185"/>
      <c r="LAQ21" s="16"/>
      <c r="LAR21" s="2185"/>
      <c r="LAS21" s="16"/>
      <c r="LAT21" s="2185"/>
      <c r="LAU21" s="16"/>
      <c r="LAV21" s="2185"/>
      <c r="LAW21" s="16"/>
      <c r="LAX21" s="2185"/>
      <c r="LAY21" s="16"/>
      <c r="LAZ21" s="2185"/>
      <c r="LBA21" s="16"/>
      <c r="LBB21" s="2185"/>
      <c r="LBC21" s="16"/>
      <c r="LBD21" s="2185"/>
      <c r="LBE21" s="16"/>
      <c r="LBF21" s="2185"/>
      <c r="LBG21" s="16"/>
      <c r="LBH21" s="2185"/>
      <c r="LBI21" s="16"/>
      <c r="LBJ21" s="2185"/>
      <c r="LBK21" s="16"/>
      <c r="LBL21" s="2185"/>
      <c r="LBM21" s="16"/>
      <c r="LBN21" s="2185"/>
      <c r="LBO21" s="16"/>
      <c r="LBP21" s="2185"/>
      <c r="LBQ21" s="16"/>
      <c r="LBR21" s="2185"/>
      <c r="LBS21" s="16"/>
      <c r="LBT21" s="2185"/>
      <c r="LBU21" s="16"/>
      <c r="LBV21" s="2185"/>
      <c r="LBW21" s="16"/>
      <c r="LBX21" s="2185"/>
      <c r="LBY21" s="16"/>
      <c r="LBZ21" s="2185"/>
      <c r="LCA21" s="16"/>
      <c r="LCB21" s="2185"/>
      <c r="LCC21" s="16"/>
      <c r="LCD21" s="2185"/>
      <c r="LCE21" s="16"/>
      <c r="LCF21" s="2185"/>
      <c r="LCG21" s="16"/>
      <c r="LCH21" s="2185"/>
      <c r="LCI21" s="16"/>
      <c r="LCJ21" s="2185"/>
      <c r="LCK21" s="16"/>
      <c r="LCL21" s="2185"/>
      <c r="LCM21" s="16"/>
      <c r="LCN21" s="2185"/>
      <c r="LCO21" s="16"/>
      <c r="LCP21" s="2185"/>
      <c r="LCQ21" s="16"/>
      <c r="LCR21" s="2185"/>
      <c r="LCS21" s="16"/>
      <c r="LCT21" s="2185"/>
      <c r="LCU21" s="16"/>
      <c r="LCV21" s="2185"/>
      <c r="LCW21" s="16"/>
      <c r="LCX21" s="2185"/>
      <c r="LCY21" s="16"/>
      <c r="LCZ21" s="2185"/>
      <c r="LDA21" s="16"/>
      <c r="LDB21" s="2185"/>
      <c r="LDC21" s="16"/>
      <c r="LDD21" s="2185"/>
      <c r="LDE21" s="16"/>
      <c r="LDF21" s="2185"/>
      <c r="LDG21" s="16"/>
      <c r="LDH21" s="2185"/>
      <c r="LDI21" s="16"/>
      <c r="LDJ21" s="2185"/>
      <c r="LDK21" s="16"/>
      <c r="LDL21" s="2185"/>
      <c r="LDM21" s="16"/>
      <c r="LDN21" s="2185"/>
      <c r="LDO21" s="16"/>
      <c r="LDP21" s="2185"/>
      <c r="LDQ21" s="16"/>
      <c r="LDR21" s="2185"/>
      <c r="LDS21" s="16"/>
      <c r="LDT21" s="2185"/>
      <c r="LDU21" s="16"/>
      <c r="LDV21" s="2185"/>
      <c r="LDW21" s="16"/>
      <c r="LDX21" s="2185"/>
      <c r="LDY21" s="16"/>
      <c r="LDZ21" s="2185"/>
      <c r="LEA21" s="16"/>
      <c r="LEB21" s="2185"/>
      <c r="LEC21" s="16"/>
      <c r="LED21" s="2185"/>
      <c r="LEE21" s="16"/>
      <c r="LEF21" s="2185"/>
      <c r="LEG21" s="16"/>
      <c r="LEH21" s="2185"/>
      <c r="LEI21" s="16"/>
      <c r="LEJ21" s="2185"/>
      <c r="LEK21" s="16"/>
      <c r="LEL21" s="2185"/>
      <c r="LEM21" s="16"/>
      <c r="LEN21" s="2185"/>
      <c r="LEO21" s="16"/>
      <c r="LEP21" s="2185"/>
      <c r="LEQ21" s="16"/>
      <c r="LER21" s="2185"/>
      <c r="LES21" s="16"/>
      <c r="LET21" s="2185"/>
      <c r="LEU21" s="16"/>
      <c r="LEV21" s="2185"/>
      <c r="LEW21" s="16"/>
      <c r="LEX21" s="2185"/>
      <c r="LEY21" s="16"/>
      <c r="LEZ21" s="2185"/>
      <c r="LFA21" s="16"/>
      <c r="LFB21" s="2185"/>
      <c r="LFC21" s="16"/>
      <c r="LFD21" s="2185"/>
      <c r="LFE21" s="16"/>
      <c r="LFF21" s="2185"/>
      <c r="LFG21" s="16"/>
      <c r="LFH21" s="2185"/>
      <c r="LFI21" s="16"/>
      <c r="LFJ21" s="2185"/>
      <c r="LFK21" s="16"/>
      <c r="LFL21" s="2185"/>
      <c r="LFM21" s="16"/>
      <c r="LFN21" s="2185"/>
      <c r="LFO21" s="16"/>
      <c r="LFP21" s="2185"/>
      <c r="LFQ21" s="16"/>
      <c r="LFR21" s="2185"/>
      <c r="LFS21" s="16"/>
      <c r="LFT21" s="2185"/>
      <c r="LFU21" s="16"/>
      <c r="LFV21" s="2185"/>
      <c r="LFW21" s="16"/>
      <c r="LFX21" s="2185"/>
      <c r="LFY21" s="16"/>
      <c r="LFZ21" s="2185"/>
      <c r="LGA21" s="16"/>
      <c r="LGB21" s="2185"/>
      <c r="LGC21" s="16"/>
      <c r="LGD21" s="2185"/>
      <c r="LGE21" s="16"/>
      <c r="LGF21" s="2185"/>
      <c r="LGG21" s="16"/>
      <c r="LGH21" s="2185"/>
      <c r="LGI21" s="16"/>
      <c r="LGJ21" s="2185"/>
      <c r="LGK21" s="16"/>
      <c r="LGL21" s="2185"/>
      <c r="LGM21" s="16"/>
      <c r="LGN21" s="2185"/>
      <c r="LGO21" s="16"/>
      <c r="LGP21" s="2185"/>
      <c r="LGQ21" s="16"/>
      <c r="LGR21" s="2185"/>
      <c r="LGS21" s="16"/>
      <c r="LGT21" s="2185"/>
      <c r="LGU21" s="16"/>
      <c r="LGV21" s="2185"/>
      <c r="LGW21" s="16"/>
      <c r="LGX21" s="2185"/>
      <c r="LGY21" s="16"/>
      <c r="LGZ21" s="2185"/>
      <c r="LHA21" s="16"/>
      <c r="LHB21" s="2185"/>
      <c r="LHC21" s="16"/>
      <c r="LHD21" s="2185"/>
      <c r="LHE21" s="16"/>
      <c r="LHF21" s="2185"/>
      <c r="LHG21" s="16"/>
      <c r="LHH21" s="2185"/>
      <c r="LHI21" s="16"/>
      <c r="LHJ21" s="2185"/>
      <c r="LHK21" s="16"/>
      <c r="LHL21" s="2185"/>
      <c r="LHM21" s="16"/>
      <c r="LHN21" s="2185"/>
      <c r="LHO21" s="16"/>
      <c r="LHP21" s="2185"/>
      <c r="LHQ21" s="16"/>
      <c r="LHR21" s="2185"/>
      <c r="LHS21" s="16"/>
      <c r="LHT21" s="2185"/>
      <c r="LHU21" s="16"/>
      <c r="LHV21" s="2185"/>
      <c r="LHW21" s="16"/>
      <c r="LHX21" s="2185"/>
      <c r="LHY21" s="16"/>
      <c r="LHZ21" s="2185"/>
      <c r="LIA21" s="16"/>
      <c r="LIB21" s="2185"/>
      <c r="LIC21" s="16"/>
      <c r="LID21" s="2185"/>
      <c r="LIE21" s="16"/>
      <c r="LIF21" s="2185"/>
      <c r="LIG21" s="16"/>
      <c r="LIH21" s="2185"/>
      <c r="LII21" s="16"/>
      <c r="LIJ21" s="2185"/>
      <c r="LIK21" s="16"/>
      <c r="LIL21" s="2185"/>
      <c r="LIM21" s="16"/>
      <c r="LIN21" s="2185"/>
      <c r="LIO21" s="16"/>
      <c r="LIP21" s="2185"/>
      <c r="LIQ21" s="16"/>
      <c r="LIR21" s="2185"/>
      <c r="LIS21" s="16"/>
      <c r="LIT21" s="2185"/>
      <c r="LIU21" s="16"/>
      <c r="LIV21" s="2185"/>
      <c r="LIW21" s="16"/>
      <c r="LIX21" s="2185"/>
      <c r="LIY21" s="16"/>
      <c r="LIZ21" s="2185"/>
      <c r="LJA21" s="16"/>
      <c r="LJB21" s="2185"/>
      <c r="LJC21" s="16"/>
      <c r="LJD21" s="2185"/>
      <c r="LJE21" s="16"/>
      <c r="LJF21" s="2185"/>
      <c r="LJG21" s="16"/>
      <c r="LJH21" s="2185"/>
      <c r="LJI21" s="16"/>
      <c r="LJJ21" s="2185"/>
      <c r="LJK21" s="16"/>
      <c r="LJL21" s="2185"/>
      <c r="LJM21" s="16"/>
      <c r="LJN21" s="2185"/>
      <c r="LJO21" s="16"/>
      <c r="LJP21" s="2185"/>
      <c r="LJQ21" s="16"/>
      <c r="LJR21" s="2185"/>
      <c r="LJS21" s="16"/>
      <c r="LJT21" s="2185"/>
      <c r="LJU21" s="16"/>
      <c r="LJV21" s="2185"/>
      <c r="LJW21" s="16"/>
      <c r="LJX21" s="2185"/>
      <c r="LJY21" s="16"/>
      <c r="LJZ21" s="2185"/>
      <c r="LKA21" s="16"/>
      <c r="LKB21" s="2185"/>
      <c r="LKC21" s="16"/>
      <c r="LKD21" s="2185"/>
      <c r="LKE21" s="16"/>
      <c r="LKF21" s="2185"/>
      <c r="LKG21" s="16"/>
      <c r="LKH21" s="2185"/>
      <c r="LKI21" s="16"/>
      <c r="LKJ21" s="2185"/>
      <c r="LKK21" s="16"/>
      <c r="LKL21" s="2185"/>
      <c r="LKM21" s="16"/>
      <c r="LKN21" s="2185"/>
      <c r="LKO21" s="16"/>
      <c r="LKP21" s="2185"/>
      <c r="LKQ21" s="16"/>
      <c r="LKR21" s="2185"/>
      <c r="LKS21" s="16"/>
      <c r="LKT21" s="2185"/>
      <c r="LKU21" s="16"/>
      <c r="LKV21" s="2185"/>
      <c r="LKW21" s="16"/>
      <c r="LKX21" s="2185"/>
      <c r="LKY21" s="16"/>
      <c r="LKZ21" s="2185"/>
      <c r="LLA21" s="16"/>
      <c r="LLB21" s="2185"/>
      <c r="LLC21" s="16"/>
      <c r="LLD21" s="2185"/>
      <c r="LLE21" s="16"/>
      <c r="LLF21" s="2185"/>
      <c r="LLG21" s="16"/>
      <c r="LLH21" s="2185"/>
      <c r="LLI21" s="16"/>
      <c r="LLJ21" s="2185"/>
      <c r="LLK21" s="16"/>
      <c r="LLL21" s="2185"/>
      <c r="LLM21" s="16"/>
      <c r="LLN21" s="2185"/>
      <c r="LLO21" s="16"/>
      <c r="LLP21" s="2185"/>
      <c r="LLQ21" s="16"/>
      <c r="LLR21" s="2185"/>
      <c r="LLS21" s="16"/>
      <c r="LLT21" s="2185"/>
      <c r="LLU21" s="16"/>
      <c r="LLV21" s="2185"/>
      <c r="LLW21" s="16"/>
      <c r="LLX21" s="2185"/>
      <c r="LLY21" s="16"/>
      <c r="LLZ21" s="2185"/>
      <c r="LMA21" s="16"/>
      <c r="LMB21" s="2185"/>
      <c r="LMC21" s="16"/>
      <c r="LMD21" s="2185"/>
      <c r="LME21" s="16"/>
      <c r="LMF21" s="2185"/>
      <c r="LMG21" s="16"/>
      <c r="LMH21" s="2185"/>
      <c r="LMI21" s="16"/>
      <c r="LMJ21" s="2185"/>
      <c r="LMK21" s="16"/>
      <c r="LML21" s="2185"/>
      <c r="LMM21" s="16"/>
      <c r="LMN21" s="2185"/>
      <c r="LMO21" s="16"/>
      <c r="LMP21" s="2185"/>
      <c r="LMQ21" s="16"/>
      <c r="LMR21" s="2185"/>
      <c r="LMS21" s="16"/>
      <c r="LMT21" s="2185"/>
      <c r="LMU21" s="16"/>
      <c r="LMV21" s="2185"/>
      <c r="LMW21" s="16"/>
      <c r="LMX21" s="2185"/>
      <c r="LMY21" s="16"/>
      <c r="LMZ21" s="2185"/>
      <c r="LNA21" s="16"/>
      <c r="LNB21" s="2185"/>
      <c r="LNC21" s="16"/>
      <c r="LND21" s="2185"/>
      <c r="LNE21" s="16"/>
      <c r="LNF21" s="2185"/>
      <c r="LNG21" s="16"/>
      <c r="LNH21" s="2185"/>
      <c r="LNI21" s="16"/>
      <c r="LNJ21" s="2185"/>
      <c r="LNK21" s="16"/>
      <c r="LNL21" s="2185"/>
      <c r="LNM21" s="16"/>
      <c r="LNN21" s="2185"/>
      <c r="LNO21" s="16"/>
      <c r="LNP21" s="2185"/>
      <c r="LNQ21" s="16"/>
      <c r="LNR21" s="2185"/>
      <c r="LNS21" s="16"/>
      <c r="LNT21" s="2185"/>
      <c r="LNU21" s="16"/>
      <c r="LNV21" s="2185"/>
      <c r="LNW21" s="16"/>
      <c r="LNX21" s="2185"/>
      <c r="LNY21" s="16"/>
      <c r="LNZ21" s="2185"/>
      <c r="LOA21" s="16"/>
      <c r="LOB21" s="2185"/>
      <c r="LOC21" s="16"/>
      <c r="LOD21" s="2185"/>
      <c r="LOE21" s="16"/>
      <c r="LOF21" s="2185"/>
      <c r="LOG21" s="16"/>
      <c r="LOH21" s="2185"/>
      <c r="LOI21" s="16"/>
      <c r="LOJ21" s="2185"/>
      <c r="LOK21" s="16"/>
      <c r="LOL21" s="2185"/>
      <c r="LOM21" s="16"/>
      <c r="LON21" s="2185"/>
      <c r="LOO21" s="16"/>
      <c r="LOP21" s="2185"/>
      <c r="LOQ21" s="16"/>
      <c r="LOR21" s="2185"/>
      <c r="LOS21" s="16"/>
      <c r="LOT21" s="2185"/>
      <c r="LOU21" s="16"/>
      <c r="LOV21" s="2185"/>
      <c r="LOW21" s="16"/>
      <c r="LOX21" s="2185"/>
      <c r="LOY21" s="16"/>
      <c r="LOZ21" s="2185"/>
      <c r="LPA21" s="16"/>
      <c r="LPB21" s="2185"/>
      <c r="LPC21" s="16"/>
      <c r="LPD21" s="2185"/>
      <c r="LPE21" s="16"/>
      <c r="LPF21" s="2185"/>
      <c r="LPG21" s="16"/>
      <c r="LPH21" s="2185"/>
      <c r="LPI21" s="16"/>
      <c r="LPJ21" s="2185"/>
      <c r="LPK21" s="16"/>
      <c r="LPL21" s="2185"/>
      <c r="LPM21" s="16"/>
      <c r="LPN21" s="2185"/>
      <c r="LPO21" s="16"/>
      <c r="LPP21" s="2185"/>
      <c r="LPQ21" s="16"/>
      <c r="LPR21" s="2185"/>
      <c r="LPS21" s="16"/>
      <c r="LPT21" s="2185"/>
      <c r="LPU21" s="16"/>
      <c r="LPV21" s="2185"/>
      <c r="LPW21" s="16"/>
      <c r="LPX21" s="2185"/>
      <c r="LPY21" s="16"/>
      <c r="LPZ21" s="2185"/>
      <c r="LQA21" s="16"/>
      <c r="LQB21" s="2185"/>
      <c r="LQC21" s="16"/>
      <c r="LQD21" s="2185"/>
      <c r="LQE21" s="16"/>
      <c r="LQF21" s="2185"/>
      <c r="LQG21" s="16"/>
      <c r="LQH21" s="2185"/>
      <c r="LQI21" s="16"/>
      <c r="LQJ21" s="2185"/>
      <c r="LQK21" s="16"/>
      <c r="LQL21" s="2185"/>
      <c r="LQM21" s="16"/>
      <c r="LQN21" s="2185"/>
      <c r="LQO21" s="16"/>
      <c r="LQP21" s="2185"/>
      <c r="LQQ21" s="16"/>
      <c r="LQR21" s="2185"/>
      <c r="LQS21" s="16"/>
      <c r="LQT21" s="2185"/>
      <c r="LQU21" s="16"/>
      <c r="LQV21" s="2185"/>
      <c r="LQW21" s="16"/>
      <c r="LQX21" s="2185"/>
      <c r="LQY21" s="16"/>
      <c r="LQZ21" s="2185"/>
      <c r="LRA21" s="16"/>
      <c r="LRB21" s="2185"/>
      <c r="LRC21" s="16"/>
      <c r="LRD21" s="2185"/>
      <c r="LRE21" s="16"/>
      <c r="LRF21" s="2185"/>
      <c r="LRG21" s="16"/>
      <c r="LRH21" s="2185"/>
      <c r="LRI21" s="16"/>
      <c r="LRJ21" s="2185"/>
      <c r="LRK21" s="16"/>
      <c r="LRL21" s="2185"/>
      <c r="LRM21" s="16"/>
      <c r="LRN21" s="2185"/>
      <c r="LRO21" s="16"/>
      <c r="LRP21" s="2185"/>
      <c r="LRQ21" s="16"/>
      <c r="LRR21" s="2185"/>
      <c r="LRS21" s="16"/>
      <c r="LRT21" s="2185"/>
      <c r="LRU21" s="16"/>
      <c r="LRV21" s="2185"/>
      <c r="LRW21" s="16"/>
      <c r="LRX21" s="2185"/>
      <c r="LRY21" s="16"/>
      <c r="LRZ21" s="2185"/>
      <c r="LSA21" s="16"/>
      <c r="LSB21" s="2185"/>
      <c r="LSC21" s="16"/>
      <c r="LSD21" s="2185"/>
      <c r="LSE21" s="16"/>
      <c r="LSF21" s="2185"/>
      <c r="LSG21" s="16"/>
      <c r="LSH21" s="2185"/>
      <c r="LSI21" s="16"/>
      <c r="LSJ21" s="2185"/>
      <c r="LSK21" s="16"/>
      <c r="LSL21" s="2185"/>
      <c r="LSM21" s="16"/>
      <c r="LSN21" s="2185"/>
      <c r="LSO21" s="16"/>
      <c r="LSP21" s="2185"/>
      <c r="LSQ21" s="16"/>
      <c r="LSR21" s="2185"/>
      <c r="LSS21" s="16"/>
      <c r="LST21" s="2185"/>
      <c r="LSU21" s="16"/>
      <c r="LSV21" s="2185"/>
      <c r="LSW21" s="16"/>
      <c r="LSX21" s="2185"/>
      <c r="LSY21" s="16"/>
      <c r="LSZ21" s="2185"/>
      <c r="LTA21" s="16"/>
      <c r="LTB21" s="2185"/>
      <c r="LTC21" s="16"/>
      <c r="LTD21" s="2185"/>
      <c r="LTE21" s="16"/>
      <c r="LTF21" s="2185"/>
      <c r="LTG21" s="16"/>
      <c r="LTH21" s="2185"/>
      <c r="LTI21" s="16"/>
      <c r="LTJ21" s="2185"/>
      <c r="LTK21" s="16"/>
      <c r="LTL21" s="2185"/>
      <c r="LTM21" s="16"/>
      <c r="LTN21" s="2185"/>
      <c r="LTO21" s="16"/>
      <c r="LTP21" s="2185"/>
      <c r="LTQ21" s="16"/>
      <c r="LTR21" s="2185"/>
      <c r="LTS21" s="16"/>
      <c r="LTT21" s="2185"/>
      <c r="LTU21" s="16"/>
      <c r="LTV21" s="2185"/>
      <c r="LTW21" s="16"/>
      <c r="LTX21" s="2185"/>
      <c r="LTY21" s="16"/>
      <c r="LTZ21" s="2185"/>
      <c r="LUA21" s="16"/>
      <c r="LUB21" s="2185"/>
      <c r="LUC21" s="16"/>
      <c r="LUD21" s="2185"/>
      <c r="LUE21" s="16"/>
      <c r="LUF21" s="2185"/>
      <c r="LUG21" s="16"/>
      <c r="LUH21" s="2185"/>
      <c r="LUI21" s="16"/>
      <c r="LUJ21" s="2185"/>
      <c r="LUK21" s="16"/>
      <c r="LUL21" s="2185"/>
      <c r="LUM21" s="16"/>
      <c r="LUN21" s="2185"/>
      <c r="LUO21" s="16"/>
      <c r="LUP21" s="2185"/>
      <c r="LUQ21" s="16"/>
      <c r="LUR21" s="2185"/>
      <c r="LUS21" s="16"/>
      <c r="LUT21" s="2185"/>
      <c r="LUU21" s="16"/>
      <c r="LUV21" s="2185"/>
      <c r="LUW21" s="16"/>
      <c r="LUX21" s="2185"/>
      <c r="LUY21" s="16"/>
      <c r="LUZ21" s="2185"/>
      <c r="LVA21" s="16"/>
      <c r="LVB21" s="2185"/>
      <c r="LVC21" s="16"/>
      <c r="LVD21" s="2185"/>
      <c r="LVE21" s="16"/>
      <c r="LVF21" s="2185"/>
      <c r="LVG21" s="16"/>
      <c r="LVH21" s="2185"/>
      <c r="LVI21" s="16"/>
      <c r="LVJ21" s="2185"/>
      <c r="LVK21" s="16"/>
      <c r="LVL21" s="2185"/>
      <c r="LVM21" s="16"/>
      <c r="LVN21" s="2185"/>
      <c r="LVO21" s="16"/>
      <c r="LVP21" s="2185"/>
      <c r="LVQ21" s="16"/>
      <c r="LVR21" s="2185"/>
      <c r="LVS21" s="16"/>
      <c r="LVT21" s="2185"/>
      <c r="LVU21" s="16"/>
      <c r="LVV21" s="2185"/>
      <c r="LVW21" s="16"/>
      <c r="LVX21" s="2185"/>
      <c r="LVY21" s="16"/>
      <c r="LVZ21" s="2185"/>
      <c r="LWA21" s="16"/>
      <c r="LWB21" s="2185"/>
      <c r="LWC21" s="16"/>
      <c r="LWD21" s="2185"/>
      <c r="LWE21" s="16"/>
      <c r="LWF21" s="2185"/>
      <c r="LWG21" s="16"/>
      <c r="LWH21" s="2185"/>
      <c r="LWI21" s="16"/>
      <c r="LWJ21" s="2185"/>
      <c r="LWK21" s="16"/>
      <c r="LWL21" s="2185"/>
      <c r="LWM21" s="16"/>
      <c r="LWN21" s="2185"/>
      <c r="LWO21" s="16"/>
      <c r="LWP21" s="2185"/>
      <c r="LWQ21" s="16"/>
      <c r="LWR21" s="2185"/>
      <c r="LWS21" s="16"/>
      <c r="LWT21" s="2185"/>
      <c r="LWU21" s="16"/>
      <c r="LWV21" s="2185"/>
      <c r="LWW21" s="16"/>
      <c r="LWX21" s="2185"/>
      <c r="LWY21" s="16"/>
      <c r="LWZ21" s="2185"/>
      <c r="LXA21" s="16"/>
      <c r="LXB21" s="2185"/>
      <c r="LXC21" s="16"/>
      <c r="LXD21" s="2185"/>
      <c r="LXE21" s="16"/>
      <c r="LXF21" s="2185"/>
      <c r="LXG21" s="16"/>
      <c r="LXH21" s="2185"/>
      <c r="LXI21" s="16"/>
      <c r="LXJ21" s="2185"/>
      <c r="LXK21" s="16"/>
      <c r="LXL21" s="2185"/>
      <c r="LXM21" s="16"/>
      <c r="LXN21" s="2185"/>
      <c r="LXO21" s="16"/>
      <c r="LXP21" s="2185"/>
      <c r="LXQ21" s="16"/>
      <c r="LXR21" s="2185"/>
      <c r="LXS21" s="16"/>
      <c r="LXT21" s="2185"/>
      <c r="LXU21" s="16"/>
      <c r="LXV21" s="2185"/>
      <c r="LXW21" s="16"/>
      <c r="LXX21" s="2185"/>
      <c r="LXY21" s="16"/>
      <c r="LXZ21" s="2185"/>
      <c r="LYA21" s="16"/>
      <c r="LYB21" s="2185"/>
      <c r="LYC21" s="16"/>
      <c r="LYD21" s="2185"/>
      <c r="LYE21" s="16"/>
      <c r="LYF21" s="2185"/>
      <c r="LYG21" s="16"/>
      <c r="LYH21" s="2185"/>
      <c r="LYI21" s="16"/>
      <c r="LYJ21" s="2185"/>
      <c r="LYK21" s="16"/>
      <c r="LYL21" s="2185"/>
      <c r="LYM21" s="16"/>
      <c r="LYN21" s="2185"/>
      <c r="LYO21" s="16"/>
      <c r="LYP21" s="2185"/>
      <c r="LYQ21" s="16"/>
      <c r="LYR21" s="2185"/>
      <c r="LYS21" s="16"/>
      <c r="LYT21" s="2185"/>
      <c r="LYU21" s="16"/>
      <c r="LYV21" s="2185"/>
      <c r="LYW21" s="16"/>
      <c r="LYX21" s="2185"/>
      <c r="LYY21" s="16"/>
      <c r="LYZ21" s="2185"/>
      <c r="LZA21" s="16"/>
      <c r="LZB21" s="2185"/>
      <c r="LZC21" s="16"/>
      <c r="LZD21" s="2185"/>
      <c r="LZE21" s="16"/>
      <c r="LZF21" s="2185"/>
      <c r="LZG21" s="16"/>
      <c r="LZH21" s="2185"/>
      <c r="LZI21" s="16"/>
      <c r="LZJ21" s="2185"/>
      <c r="LZK21" s="16"/>
      <c r="LZL21" s="2185"/>
      <c r="LZM21" s="16"/>
      <c r="LZN21" s="2185"/>
      <c r="LZO21" s="16"/>
      <c r="LZP21" s="2185"/>
      <c r="LZQ21" s="16"/>
      <c r="LZR21" s="2185"/>
      <c r="LZS21" s="16"/>
      <c r="LZT21" s="2185"/>
      <c r="LZU21" s="16"/>
      <c r="LZV21" s="2185"/>
      <c r="LZW21" s="16"/>
      <c r="LZX21" s="2185"/>
      <c r="LZY21" s="16"/>
      <c r="LZZ21" s="2185"/>
      <c r="MAA21" s="16"/>
      <c r="MAB21" s="2185"/>
      <c r="MAC21" s="16"/>
      <c r="MAD21" s="2185"/>
      <c r="MAE21" s="16"/>
      <c r="MAF21" s="2185"/>
      <c r="MAG21" s="16"/>
      <c r="MAH21" s="2185"/>
      <c r="MAI21" s="16"/>
      <c r="MAJ21" s="2185"/>
      <c r="MAK21" s="16"/>
      <c r="MAL21" s="2185"/>
      <c r="MAM21" s="16"/>
      <c r="MAN21" s="2185"/>
      <c r="MAO21" s="16"/>
      <c r="MAP21" s="2185"/>
      <c r="MAQ21" s="16"/>
      <c r="MAR21" s="2185"/>
      <c r="MAS21" s="16"/>
      <c r="MAT21" s="2185"/>
      <c r="MAU21" s="16"/>
      <c r="MAV21" s="2185"/>
      <c r="MAW21" s="16"/>
      <c r="MAX21" s="2185"/>
      <c r="MAY21" s="16"/>
      <c r="MAZ21" s="2185"/>
      <c r="MBA21" s="16"/>
      <c r="MBB21" s="2185"/>
      <c r="MBC21" s="16"/>
      <c r="MBD21" s="2185"/>
      <c r="MBE21" s="16"/>
      <c r="MBF21" s="2185"/>
      <c r="MBG21" s="16"/>
      <c r="MBH21" s="2185"/>
      <c r="MBI21" s="16"/>
      <c r="MBJ21" s="2185"/>
      <c r="MBK21" s="16"/>
      <c r="MBL21" s="2185"/>
      <c r="MBM21" s="16"/>
      <c r="MBN21" s="2185"/>
      <c r="MBO21" s="16"/>
      <c r="MBP21" s="2185"/>
      <c r="MBQ21" s="16"/>
      <c r="MBR21" s="2185"/>
      <c r="MBS21" s="16"/>
      <c r="MBT21" s="2185"/>
      <c r="MBU21" s="16"/>
      <c r="MBV21" s="2185"/>
      <c r="MBW21" s="16"/>
      <c r="MBX21" s="2185"/>
      <c r="MBY21" s="16"/>
      <c r="MBZ21" s="2185"/>
      <c r="MCA21" s="16"/>
      <c r="MCB21" s="2185"/>
      <c r="MCC21" s="16"/>
      <c r="MCD21" s="2185"/>
      <c r="MCE21" s="16"/>
      <c r="MCF21" s="2185"/>
      <c r="MCG21" s="16"/>
      <c r="MCH21" s="2185"/>
      <c r="MCI21" s="16"/>
      <c r="MCJ21" s="2185"/>
      <c r="MCK21" s="16"/>
      <c r="MCL21" s="2185"/>
      <c r="MCM21" s="16"/>
      <c r="MCN21" s="2185"/>
      <c r="MCO21" s="16"/>
      <c r="MCP21" s="2185"/>
      <c r="MCQ21" s="16"/>
      <c r="MCR21" s="2185"/>
      <c r="MCS21" s="16"/>
      <c r="MCT21" s="2185"/>
      <c r="MCU21" s="16"/>
      <c r="MCV21" s="2185"/>
      <c r="MCW21" s="16"/>
      <c r="MCX21" s="2185"/>
      <c r="MCY21" s="16"/>
      <c r="MCZ21" s="2185"/>
      <c r="MDA21" s="16"/>
      <c r="MDB21" s="2185"/>
      <c r="MDC21" s="16"/>
      <c r="MDD21" s="2185"/>
      <c r="MDE21" s="16"/>
      <c r="MDF21" s="2185"/>
      <c r="MDG21" s="16"/>
      <c r="MDH21" s="2185"/>
      <c r="MDI21" s="16"/>
      <c r="MDJ21" s="2185"/>
      <c r="MDK21" s="16"/>
      <c r="MDL21" s="2185"/>
      <c r="MDM21" s="16"/>
      <c r="MDN21" s="2185"/>
      <c r="MDO21" s="16"/>
      <c r="MDP21" s="2185"/>
      <c r="MDQ21" s="16"/>
      <c r="MDR21" s="2185"/>
      <c r="MDS21" s="16"/>
      <c r="MDT21" s="2185"/>
      <c r="MDU21" s="16"/>
      <c r="MDV21" s="2185"/>
      <c r="MDW21" s="16"/>
      <c r="MDX21" s="2185"/>
      <c r="MDY21" s="16"/>
      <c r="MDZ21" s="2185"/>
      <c r="MEA21" s="16"/>
      <c r="MEB21" s="2185"/>
      <c r="MEC21" s="16"/>
      <c r="MED21" s="2185"/>
      <c r="MEE21" s="16"/>
      <c r="MEF21" s="2185"/>
      <c r="MEG21" s="16"/>
      <c r="MEH21" s="2185"/>
      <c r="MEI21" s="16"/>
      <c r="MEJ21" s="2185"/>
      <c r="MEK21" s="16"/>
      <c r="MEL21" s="2185"/>
      <c r="MEM21" s="16"/>
      <c r="MEN21" s="2185"/>
      <c r="MEO21" s="16"/>
      <c r="MEP21" s="2185"/>
      <c r="MEQ21" s="16"/>
      <c r="MER21" s="2185"/>
      <c r="MES21" s="16"/>
      <c r="MET21" s="2185"/>
      <c r="MEU21" s="16"/>
      <c r="MEV21" s="2185"/>
      <c r="MEW21" s="16"/>
      <c r="MEX21" s="2185"/>
      <c r="MEY21" s="16"/>
      <c r="MEZ21" s="2185"/>
      <c r="MFA21" s="16"/>
      <c r="MFB21" s="2185"/>
      <c r="MFC21" s="16"/>
      <c r="MFD21" s="2185"/>
      <c r="MFE21" s="16"/>
      <c r="MFF21" s="2185"/>
      <c r="MFG21" s="16"/>
      <c r="MFH21" s="2185"/>
      <c r="MFI21" s="16"/>
      <c r="MFJ21" s="2185"/>
      <c r="MFK21" s="16"/>
      <c r="MFL21" s="2185"/>
      <c r="MFM21" s="16"/>
      <c r="MFN21" s="2185"/>
      <c r="MFO21" s="16"/>
      <c r="MFP21" s="2185"/>
      <c r="MFQ21" s="16"/>
      <c r="MFR21" s="2185"/>
      <c r="MFS21" s="16"/>
      <c r="MFT21" s="2185"/>
      <c r="MFU21" s="16"/>
      <c r="MFV21" s="2185"/>
      <c r="MFW21" s="16"/>
      <c r="MFX21" s="2185"/>
      <c r="MFY21" s="16"/>
      <c r="MFZ21" s="2185"/>
      <c r="MGA21" s="16"/>
      <c r="MGB21" s="2185"/>
      <c r="MGC21" s="16"/>
      <c r="MGD21" s="2185"/>
      <c r="MGE21" s="16"/>
      <c r="MGF21" s="2185"/>
      <c r="MGG21" s="16"/>
      <c r="MGH21" s="2185"/>
      <c r="MGI21" s="16"/>
      <c r="MGJ21" s="2185"/>
      <c r="MGK21" s="16"/>
      <c r="MGL21" s="2185"/>
      <c r="MGM21" s="16"/>
      <c r="MGN21" s="2185"/>
      <c r="MGO21" s="16"/>
      <c r="MGP21" s="2185"/>
      <c r="MGQ21" s="16"/>
      <c r="MGR21" s="2185"/>
      <c r="MGS21" s="16"/>
      <c r="MGT21" s="2185"/>
      <c r="MGU21" s="16"/>
      <c r="MGV21" s="2185"/>
      <c r="MGW21" s="16"/>
      <c r="MGX21" s="2185"/>
      <c r="MGY21" s="16"/>
      <c r="MGZ21" s="2185"/>
      <c r="MHA21" s="16"/>
      <c r="MHB21" s="2185"/>
      <c r="MHC21" s="16"/>
      <c r="MHD21" s="2185"/>
      <c r="MHE21" s="16"/>
      <c r="MHF21" s="2185"/>
      <c r="MHG21" s="16"/>
      <c r="MHH21" s="2185"/>
      <c r="MHI21" s="16"/>
      <c r="MHJ21" s="2185"/>
      <c r="MHK21" s="16"/>
      <c r="MHL21" s="2185"/>
      <c r="MHM21" s="16"/>
      <c r="MHN21" s="2185"/>
      <c r="MHO21" s="16"/>
      <c r="MHP21" s="2185"/>
      <c r="MHQ21" s="16"/>
      <c r="MHR21" s="2185"/>
      <c r="MHS21" s="16"/>
      <c r="MHT21" s="2185"/>
      <c r="MHU21" s="16"/>
      <c r="MHV21" s="2185"/>
      <c r="MHW21" s="16"/>
      <c r="MHX21" s="2185"/>
      <c r="MHY21" s="16"/>
      <c r="MHZ21" s="2185"/>
      <c r="MIA21" s="16"/>
      <c r="MIB21" s="2185"/>
      <c r="MIC21" s="16"/>
      <c r="MID21" s="2185"/>
      <c r="MIE21" s="16"/>
      <c r="MIF21" s="2185"/>
      <c r="MIG21" s="16"/>
      <c r="MIH21" s="2185"/>
      <c r="MII21" s="16"/>
      <c r="MIJ21" s="2185"/>
      <c r="MIK21" s="16"/>
      <c r="MIL21" s="2185"/>
      <c r="MIM21" s="16"/>
      <c r="MIN21" s="2185"/>
      <c r="MIO21" s="16"/>
      <c r="MIP21" s="2185"/>
      <c r="MIQ21" s="16"/>
      <c r="MIR21" s="2185"/>
      <c r="MIS21" s="16"/>
      <c r="MIT21" s="2185"/>
      <c r="MIU21" s="16"/>
      <c r="MIV21" s="2185"/>
      <c r="MIW21" s="16"/>
      <c r="MIX21" s="2185"/>
      <c r="MIY21" s="16"/>
      <c r="MIZ21" s="2185"/>
      <c r="MJA21" s="16"/>
      <c r="MJB21" s="2185"/>
      <c r="MJC21" s="16"/>
      <c r="MJD21" s="2185"/>
      <c r="MJE21" s="16"/>
      <c r="MJF21" s="2185"/>
      <c r="MJG21" s="16"/>
      <c r="MJH21" s="2185"/>
      <c r="MJI21" s="16"/>
      <c r="MJJ21" s="2185"/>
      <c r="MJK21" s="16"/>
      <c r="MJL21" s="2185"/>
      <c r="MJM21" s="16"/>
      <c r="MJN21" s="2185"/>
      <c r="MJO21" s="16"/>
      <c r="MJP21" s="2185"/>
      <c r="MJQ21" s="16"/>
      <c r="MJR21" s="2185"/>
      <c r="MJS21" s="16"/>
      <c r="MJT21" s="2185"/>
      <c r="MJU21" s="16"/>
      <c r="MJV21" s="2185"/>
      <c r="MJW21" s="16"/>
      <c r="MJX21" s="2185"/>
      <c r="MJY21" s="16"/>
      <c r="MJZ21" s="2185"/>
      <c r="MKA21" s="16"/>
      <c r="MKB21" s="2185"/>
      <c r="MKC21" s="16"/>
      <c r="MKD21" s="2185"/>
      <c r="MKE21" s="16"/>
      <c r="MKF21" s="2185"/>
      <c r="MKG21" s="16"/>
      <c r="MKH21" s="2185"/>
      <c r="MKI21" s="16"/>
      <c r="MKJ21" s="2185"/>
      <c r="MKK21" s="16"/>
      <c r="MKL21" s="2185"/>
      <c r="MKM21" s="16"/>
      <c r="MKN21" s="2185"/>
      <c r="MKO21" s="16"/>
      <c r="MKP21" s="2185"/>
      <c r="MKQ21" s="16"/>
      <c r="MKR21" s="2185"/>
      <c r="MKS21" s="16"/>
      <c r="MKT21" s="2185"/>
      <c r="MKU21" s="16"/>
      <c r="MKV21" s="2185"/>
      <c r="MKW21" s="16"/>
      <c r="MKX21" s="2185"/>
      <c r="MKY21" s="16"/>
      <c r="MKZ21" s="2185"/>
      <c r="MLA21" s="16"/>
      <c r="MLB21" s="2185"/>
      <c r="MLC21" s="16"/>
      <c r="MLD21" s="2185"/>
      <c r="MLE21" s="16"/>
      <c r="MLF21" s="2185"/>
      <c r="MLG21" s="16"/>
      <c r="MLH21" s="2185"/>
      <c r="MLI21" s="16"/>
      <c r="MLJ21" s="2185"/>
      <c r="MLK21" s="16"/>
      <c r="MLL21" s="2185"/>
      <c r="MLM21" s="16"/>
      <c r="MLN21" s="2185"/>
      <c r="MLO21" s="16"/>
      <c r="MLP21" s="2185"/>
      <c r="MLQ21" s="16"/>
      <c r="MLR21" s="2185"/>
      <c r="MLS21" s="16"/>
      <c r="MLT21" s="2185"/>
      <c r="MLU21" s="16"/>
      <c r="MLV21" s="2185"/>
      <c r="MLW21" s="16"/>
      <c r="MLX21" s="2185"/>
      <c r="MLY21" s="16"/>
      <c r="MLZ21" s="2185"/>
      <c r="MMA21" s="16"/>
      <c r="MMB21" s="2185"/>
      <c r="MMC21" s="16"/>
      <c r="MMD21" s="2185"/>
      <c r="MME21" s="16"/>
      <c r="MMF21" s="2185"/>
      <c r="MMG21" s="16"/>
      <c r="MMH21" s="2185"/>
      <c r="MMI21" s="16"/>
      <c r="MMJ21" s="2185"/>
      <c r="MMK21" s="16"/>
      <c r="MML21" s="2185"/>
      <c r="MMM21" s="16"/>
      <c r="MMN21" s="2185"/>
      <c r="MMO21" s="16"/>
      <c r="MMP21" s="2185"/>
      <c r="MMQ21" s="16"/>
      <c r="MMR21" s="2185"/>
      <c r="MMS21" s="16"/>
      <c r="MMT21" s="2185"/>
      <c r="MMU21" s="16"/>
      <c r="MMV21" s="2185"/>
      <c r="MMW21" s="16"/>
      <c r="MMX21" s="2185"/>
      <c r="MMY21" s="16"/>
      <c r="MMZ21" s="2185"/>
      <c r="MNA21" s="16"/>
      <c r="MNB21" s="2185"/>
      <c r="MNC21" s="16"/>
      <c r="MND21" s="2185"/>
      <c r="MNE21" s="16"/>
      <c r="MNF21" s="2185"/>
      <c r="MNG21" s="16"/>
      <c r="MNH21" s="2185"/>
      <c r="MNI21" s="16"/>
      <c r="MNJ21" s="2185"/>
      <c r="MNK21" s="16"/>
      <c r="MNL21" s="2185"/>
      <c r="MNM21" s="16"/>
      <c r="MNN21" s="2185"/>
      <c r="MNO21" s="16"/>
      <c r="MNP21" s="2185"/>
      <c r="MNQ21" s="16"/>
      <c r="MNR21" s="2185"/>
      <c r="MNS21" s="16"/>
      <c r="MNT21" s="2185"/>
      <c r="MNU21" s="16"/>
      <c r="MNV21" s="2185"/>
      <c r="MNW21" s="16"/>
      <c r="MNX21" s="2185"/>
      <c r="MNY21" s="16"/>
      <c r="MNZ21" s="2185"/>
      <c r="MOA21" s="16"/>
      <c r="MOB21" s="2185"/>
      <c r="MOC21" s="16"/>
      <c r="MOD21" s="2185"/>
      <c r="MOE21" s="16"/>
      <c r="MOF21" s="2185"/>
      <c r="MOG21" s="16"/>
      <c r="MOH21" s="2185"/>
      <c r="MOI21" s="16"/>
      <c r="MOJ21" s="2185"/>
      <c r="MOK21" s="16"/>
      <c r="MOL21" s="2185"/>
      <c r="MOM21" s="16"/>
      <c r="MON21" s="2185"/>
      <c r="MOO21" s="16"/>
      <c r="MOP21" s="2185"/>
      <c r="MOQ21" s="16"/>
      <c r="MOR21" s="2185"/>
      <c r="MOS21" s="16"/>
      <c r="MOT21" s="2185"/>
      <c r="MOU21" s="16"/>
      <c r="MOV21" s="2185"/>
      <c r="MOW21" s="16"/>
      <c r="MOX21" s="2185"/>
      <c r="MOY21" s="16"/>
      <c r="MOZ21" s="2185"/>
      <c r="MPA21" s="16"/>
      <c r="MPB21" s="2185"/>
      <c r="MPC21" s="16"/>
      <c r="MPD21" s="2185"/>
      <c r="MPE21" s="16"/>
      <c r="MPF21" s="2185"/>
      <c r="MPG21" s="16"/>
      <c r="MPH21" s="2185"/>
      <c r="MPI21" s="16"/>
      <c r="MPJ21" s="2185"/>
      <c r="MPK21" s="16"/>
      <c r="MPL21" s="2185"/>
      <c r="MPM21" s="16"/>
      <c r="MPN21" s="2185"/>
      <c r="MPO21" s="16"/>
      <c r="MPP21" s="2185"/>
      <c r="MPQ21" s="16"/>
      <c r="MPR21" s="2185"/>
      <c r="MPS21" s="16"/>
      <c r="MPT21" s="2185"/>
      <c r="MPU21" s="16"/>
      <c r="MPV21" s="2185"/>
      <c r="MPW21" s="16"/>
      <c r="MPX21" s="2185"/>
      <c r="MPY21" s="16"/>
      <c r="MPZ21" s="2185"/>
      <c r="MQA21" s="16"/>
      <c r="MQB21" s="2185"/>
      <c r="MQC21" s="16"/>
      <c r="MQD21" s="2185"/>
      <c r="MQE21" s="16"/>
      <c r="MQF21" s="2185"/>
      <c r="MQG21" s="16"/>
      <c r="MQH21" s="2185"/>
      <c r="MQI21" s="16"/>
      <c r="MQJ21" s="2185"/>
      <c r="MQK21" s="16"/>
      <c r="MQL21" s="2185"/>
      <c r="MQM21" s="16"/>
      <c r="MQN21" s="2185"/>
      <c r="MQO21" s="16"/>
      <c r="MQP21" s="2185"/>
      <c r="MQQ21" s="16"/>
      <c r="MQR21" s="2185"/>
      <c r="MQS21" s="16"/>
      <c r="MQT21" s="2185"/>
      <c r="MQU21" s="16"/>
      <c r="MQV21" s="2185"/>
      <c r="MQW21" s="16"/>
      <c r="MQX21" s="2185"/>
      <c r="MQY21" s="16"/>
      <c r="MQZ21" s="2185"/>
      <c r="MRA21" s="16"/>
      <c r="MRB21" s="2185"/>
      <c r="MRC21" s="16"/>
      <c r="MRD21" s="2185"/>
      <c r="MRE21" s="16"/>
      <c r="MRF21" s="2185"/>
      <c r="MRG21" s="16"/>
      <c r="MRH21" s="2185"/>
      <c r="MRI21" s="16"/>
      <c r="MRJ21" s="2185"/>
      <c r="MRK21" s="16"/>
      <c r="MRL21" s="2185"/>
      <c r="MRM21" s="16"/>
      <c r="MRN21" s="2185"/>
      <c r="MRO21" s="16"/>
      <c r="MRP21" s="2185"/>
      <c r="MRQ21" s="16"/>
      <c r="MRR21" s="2185"/>
      <c r="MRS21" s="16"/>
      <c r="MRT21" s="2185"/>
      <c r="MRU21" s="16"/>
      <c r="MRV21" s="2185"/>
      <c r="MRW21" s="16"/>
      <c r="MRX21" s="2185"/>
      <c r="MRY21" s="16"/>
      <c r="MRZ21" s="2185"/>
      <c r="MSA21" s="16"/>
      <c r="MSB21" s="2185"/>
      <c r="MSC21" s="16"/>
      <c r="MSD21" s="2185"/>
      <c r="MSE21" s="16"/>
      <c r="MSF21" s="2185"/>
      <c r="MSG21" s="16"/>
      <c r="MSH21" s="2185"/>
      <c r="MSI21" s="16"/>
      <c r="MSJ21" s="2185"/>
      <c r="MSK21" s="16"/>
      <c r="MSL21" s="2185"/>
      <c r="MSM21" s="16"/>
      <c r="MSN21" s="2185"/>
      <c r="MSO21" s="16"/>
      <c r="MSP21" s="2185"/>
      <c r="MSQ21" s="16"/>
      <c r="MSR21" s="2185"/>
      <c r="MSS21" s="16"/>
      <c r="MST21" s="2185"/>
      <c r="MSU21" s="16"/>
      <c r="MSV21" s="2185"/>
      <c r="MSW21" s="16"/>
      <c r="MSX21" s="2185"/>
      <c r="MSY21" s="16"/>
      <c r="MSZ21" s="2185"/>
      <c r="MTA21" s="16"/>
      <c r="MTB21" s="2185"/>
      <c r="MTC21" s="16"/>
      <c r="MTD21" s="2185"/>
      <c r="MTE21" s="16"/>
      <c r="MTF21" s="2185"/>
      <c r="MTG21" s="16"/>
      <c r="MTH21" s="2185"/>
      <c r="MTI21" s="16"/>
      <c r="MTJ21" s="2185"/>
      <c r="MTK21" s="16"/>
      <c r="MTL21" s="2185"/>
      <c r="MTM21" s="16"/>
      <c r="MTN21" s="2185"/>
      <c r="MTO21" s="16"/>
      <c r="MTP21" s="2185"/>
      <c r="MTQ21" s="16"/>
      <c r="MTR21" s="2185"/>
      <c r="MTS21" s="16"/>
      <c r="MTT21" s="2185"/>
      <c r="MTU21" s="16"/>
      <c r="MTV21" s="2185"/>
      <c r="MTW21" s="16"/>
      <c r="MTX21" s="2185"/>
      <c r="MTY21" s="16"/>
      <c r="MTZ21" s="2185"/>
      <c r="MUA21" s="16"/>
      <c r="MUB21" s="2185"/>
      <c r="MUC21" s="16"/>
      <c r="MUD21" s="2185"/>
      <c r="MUE21" s="16"/>
      <c r="MUF21" s="2185"/>
      <c r="MUG21" s="16"/>
      <c r="MUH21" s="2185"/>
      <c r="MUI21" s="16"/>
      <c r="MUJ21" s="2185"/>
      <c r="MUK21" s="16"/>
      <c r="MUL21" s="2185"/>
      <c r="MUM21" s="16"/>
      <c r="MUN21" s="2185"/>
      <c r="MUO21" s="16"/>
      <c r="MUP21" s="2185"/>
      <c r="MUQ21" s="16"/>
      <c r="MUR21" s="2185"/>
      <c r="MUS21" s="16"/>
      <c r="MUT21" s="2185"/>
      <c r="MUU21" s="16"/>
      <c r="MUV21" s="2185"/>
      <c r="MUW21" s="16"/>
      <c r="MUX21" s="2185"/>
      <c r="MUY21" s="16"/>
      <c r="MUZ21" s="2185"/>
      <c r="MVA21" s="16"/>
      <c r="MVB21" s="2185"/>
      <c r="MVC21" s="16"/>
      <c r="MVD21" s="2185"/>
      <c r="MVE21" s="16"/>
      <c r="MVF21" s="2185"/>
      <c r="MVG21" s="16"/>
      <c r="MVH21" s="2185"/>
      <c r="MVI21" s="16"/>
      <c r="MVJ21" s="2185"/>
      <c r="MVK21" s="16"/>
      <c r="MVL21" s="2185"/>
      <c r="MVM21" s="16"/>
      <c r="MVN21" s="2185"/>
      <c r="MVO21" s="16"/>
      <c r="MVP21" s="2185"/>
      <c r="MVQ21" s="16"/>
      <c r="MVR21" s="2185"/>
      <c r="MVS21" s="16"/>
      <c r="MVT21" s="2185"/>
      <c r="MVU21" s="16"/>
      <c r="MVV21" s="2185"/>
      <c r="MVW21" s="16"/>
      <c r="MVX21" s="2185"/>
      <c r="MVY21" s="16"/>
      <c r="MVZ21" s="2185"/>
      <c r="MWA21" s="16"/>
      <c r="MWB21" s="2185"/>
      <c r="MWC21" s="16"/>
      <c r="MWD21" s="2185"/>
      <c r="MWE21" s="16"/>
      <c r="MWF21" s="2185"/>
      <c r="MWG21" s="16"/>
      <c r="MWH21" s="2185"/>
      <c r="MWI21" s="16"/>
      <c r="MWJ21" s="2185"/>
      <c r="MWK21" s="16"/>
      <c r="MWL21" s="2185"/>
      <c r="MWM21" s="16"/>
      <c r="MWN21" s="2185"/>
      <c r="MWO21" s="16"/>
      <c r="MWP21" s="2185"/>
      <c r="MWQ21" s="16"/>
      <c r="MWR21" s="2185"/>
      <c r="MWS21" s="16"/>
      <c r="MWT21" s="2185"/>
      <c r="MWU21" s="16"/>
      <c r="MWV21" s="2185"/>
      <c r="MWW21" s="16"/>
      <c r="MWX21" s="2185"/>
      <c r="MWY21" s="16"/>
      <c r="MWZ21" s="2185"/>
      <c r="MXA21" s="16"/>
      <c r="MXB21" s="2185"/>
      <c r="MXC21" s="16"/>
      <c r="MXD21" s="2185"/>
      <c r="MXE21" s="16"/>
      <c r="MXF21" s="2185"/>
      <c r="MXG21" s="16"/>
      <c r="MXH21" s="2185"/>
      <c r="MXI21" s="16"/>
      <c r="MXJ21" s="2185"/>
      <c r="MXK21" s="16"/>
      <c r="MXL21" s="2185"/>
      <c r="MXM21" s="16"/>
      <c r="MXN21" s="2185"/>
      <c r="MXO21" s="16"/>
      <c r="MXP21" s="2185"/>
      <c r="MXQ21" s="16"/>
      <c r="MXR21" s="2185"/>
      <c r="MXS21" s="16"/>
      <c r="MXT21" s="2185"/>
      <c r="MXU21" s="16"/>
      <c r="MXV21" s="2185"/>
      <c r="MXW21" s="16"/>
      <c r="MXX21" s="2185"/>
      <c r="MXY21" s="16"/>
      <c r="MXZ21" s="2185"/>
      <c r="MYA21" s="16"/>
      <c r="MYB21" s="2185"/>
      <c r="MYC21" s="16"/>
      <c r="MYD21" s="2185"/>
      <c r="MYE21" s="16"/>
      <c r="MYF21" s="2185"/>
      <c r="MYG21" s="16"/>
      <c r="MYH21" s="2185"/>
      <c r="MYI21" s="16"/>
      <c r="MYJ21" s="2185"/>
      <c r="MYK21" s="16"/>
      <c r="MYL21" s="2185"/>
      <c r="MYM21" s="16"/>
      <c r="MYN21" s="2185"/>
      <c r="MYO21" s="16"/>
      <c r="MYP21" s="2185"/>
      <c r="MYQ21" s="16"/>
      <c r="MYR21" s="2185"/>
      <c r="MYS21" s="16"/>
      <c r="MYT21" s="2185"/>
      <c r="MYU21" s="16"/>
      <c r="MYV21" s="2185"/>
      <c r="MYW21" s="16"/>
      <c r="MYX21" s="2185"/>
      <c r="MYY21" s="16"/>
      <c r="MYZ21" s="2185"/>
      <c r="MZA21" s="16"/>
      <c r="MZB21" s="2185"/>
      <c r="MZC21" s="16"/>
      <c r="MZD21" s="2185"/>
      <c r="MZE21" s="16"/>
      <c r="MZF21" s="2185"/>
      <c r="MZG21" s="16"/>
      <c r="MZH21" s="2185"/>
      <c r="MZI21" s="16"/>
      <c r="MZJ21" s="2185"/>
      <c r="MZK21" s="16"/>
      <c r="MZL21" s="2185"/>
      <c r="MZM21" s="16"/>
      <c r="MZN21" s="2185"/>
      <c r="MZO21" s="16"/>
      <c r="MZP21" s="2185"/>
      <c r="MZQ21" s="16"/>
      <c r="MZR21" s="2185"/>
      <c r="MZS21" s="16"/>
      <c r="MZT21" s="2185"/>
      <c r="MZU21" s="16"/>
      <c r="MZV21" s="2185"/>
      <c r="MZW21" s="16"/>
      <c r="MZX21" s="2185"/>
      <c r="MZY21" s="16"/>
      <c r="MZZ21" s="2185"/>
      <c r="NAA21" s="16"/>
      <c r="NAB21" s="2185"/>
      <c r="NAC21" s="16"/>
      <c r="NAD21" s="2185"/>
      <c r="NAE21" s="16"/>
      <c r="NAF21" s="2185"/>
      <c r="NAG21" s="16"/>
      <c r="NAH21" s="2185"/>
      <c r="NAI21" s="16"/>
      <c r="NAJ21" s="2185"/>
      <c r="NAK21" s="16"/>
      <c r="NAL21" s="2185"/>
      <c r="NAM21" s="16"/>
      <c r="NAN21" s="2185"/>
      <c r="NAO21" s="16"/>
      <c r="NAP21" s="2185"/>
      <c r="NAQ21" s="16"/>
      <c r="NAR21" s="2185"/>
      <c r="NAS21" s="16"/>
      <c r="NAT21" s="2185"/>
      <c r="NAU21" s="16"/>
      <c r="NAV21" s="2185"/>
      <c r="NAW21" s="16"/>
      <c r="NAX21" s="2185"/>
      <c r="NAY21" s="16"/>
      <c r="NAZ21" s="2185"/>
      <c r="NBA21" s="16"/>
      <c r="NBB21" s="2185"/>
      <c r="NBC21" s="16"/>
      <c r="NBD21" s="2185"/>
      <c r="NBE21" s="16"/>
      <c r="NBF21" s="2185"/>
      <c r="NBG21" s="16"/>
      <c r="NBH21" s="2185"/>
      <c r="NBI21" s="16"/>
      <c r="NBJ21" s="2185"/>
      <c r="NBK21" s="16"/>
      <c r="NBL21" s="2185"/>
      <c r="NBM21" s="16"/>
      <c r="NBN21" s="2185"/>
      <c r="NBO21" s="16"/>
      <c r="NBP21" s="2185"/>
      <c r="NBQ21" s="16"/>
      <c r="NBR21" s="2185"/>
      <c r="NBS21" s="16"/>
      <c r="NBT21" s="2185"/>
      <c r="NBU21" s="16"/>
      <c r="NBV21" s="2185"/>
      <c r="NBW21" s="16"/>
      <c r="NBX21" s="2185"/>
      <c r="NBY21" s="16"/>
      <c r="NBZ21" s="2185"/>
      <c r="NCA21" s="16"/>
      <c r="NCB21" s="2185"/>
      <c r="NCC21" s="16"/>
      <c r="NCD21" s="2185"/>
      <c r="NCE21" s="16"/>
      <c r="NCF21" s="2185"/>
      <c r="NCG21" s="16"/>
      <c r="NCH21" s="2185"/>
      <c r="NCI21" s="16"/>
      <c r="NCJ21" s="2185"/>
      <c r="NCK21" s="16"/>
      <c r="NCL21" s="2185"/>
      <c r="NCM21" s="16"/>
      <c r="NCN21" s="2185"/>
      <c r="NCO21" s="16"/>
      <c r="NCP21" s="2185"/>
      <c r="NCQ21" s="16"/>
      <c r="NCR21" s="2185"/>
      <c r="NCS21" s="16"/>
      <c r="NCT21" s="2185"/>
      <c r="NCU21" s="16"/>
      <c r="NCV21" s="2185"/>
      <c r="NCW21" s="16"/>
      <c r="NCX21" s="2185"/>
      <c r="NCY21" s="16"/>
      <c r="NCZ21" s="2185"/>
      <c r="NDA21" s="16"/>
      <c r="NDB21" s="2185"/>
      <c r="NDC21" s="16"/>
      <c r="NDD21" s="2185"/>
      <c r="NDE21" s="16"/>
      <c r="NDF21" s="2185"/>
      <c r="NDG21" s="16"/>
      <c r="NDH21" s="2185"/>
      <c r="NDI21" s="16"/>
      <c r="NDJ21" s="2185"/>
      <c r="NDK21" s="16"/>
      <c r="NDL21" s="2185"/>
      <c r="NDM21" s="16"/>
      <c r="NDN21" s="2185"/>
      <c r="NDO21" s="16"/>
      <c r="NDP21" s="2185"/>
      <c r="NDQ21" s="16"/>
      <c r="NDR21" s="2185"/>
      <c r="NDS21" s="16"/>
      <c r="NDT21" s="2185"/>
      <c r="NDU21" s="16"/>
      <c r="NDV21" s="2185"/>
      <c r="NDW21" s="16"/>
      <c r="NDX21" s="2185"/>
      <c r="NDY21" s="16"/>
      <c r="NDZ21" s="2185"/>
      <c r="NEA21" s="16"/>
      <c r="NEB21" s="2185"/>
      <c r="NEC21" s="16"/>
      <c r="NED21" s="2185"/>
      <c r="NEE21" s="16"/>
      <c r="NEF21" s="2185"/>
      <c r="NEG21" s="16"/>
      <c r="NEH21" s="2185"/>
      <c r="NEI21" s="16"/>
      <c r="NEJ21" s="2185"/>
      <c r="NEK21" s="16"/>
      <c r="NEL21" s="2185"/>
      <c r="NEM21" s="16"/>
      <c r="NEN21" s="2185"/>
      <c r="NEO21" s="16"/>
      <c r="NEP21" s="2185"/>
      <c r="NEQ21" s="16"/>
      <c r="NER21" s="2185"/>
      <c r="NES21" s="16"/>
      <c r="NET21" s="2185"/>
      <c r="NEU21" s="16"/>
      <c r="NEV21" s="2185"/>
      <c r="NEW21" s="16"/>
      <c r="NEX21" s="2185"/>
      <c r="NEY21" s="16"/>
      <c r="NEZ21" s="2185"/>
      <c r="NFA21" s="16"/>
      <c r="NFB21" s="2185"/>
      <c r="NFC21" s="16"/>
      <c r="NFD21" s="2185"/>
      <c r="NFE21" s="16"/>
      <c r="NFF21" s="2185"/>
      <c r="NFG21" s="16"/>
      <c r="NFH21" s="2185"/>
      <c r="NFI21" s="16"/>
      <c r="NFJ21" s="2185"/>
      <c r="NFK21" s="16"/>
      <c r="NFL21" s="2185"/>
      <c r="NFM21" s="16"/>
      <c r="NFN21" s="2185"/>
      <c r="NFO21" s="16"/>
      <c r="NFP21" s="2185"/>
      <c r="NFQ21" s="16"/>
      <c r="NFR21" s="2185"/>
      <c r="NFS21" s="16"/>
      <c r="NFT21" s="2185"/>
      <c r="NFU21" s="16"/>
      <c r="NFV21" s="2185"/>
      <c r="NFW21" s="16"/>
      <c r="NFX21" s="2185"/>
      <c r="NFY21" s="16"/>
      <c r="NFZ21" s="2185"/>
      <c r="NGA21" s="16"/>
      <c r="NGB21" s="2185"/>
      <c r="NGC21" s="16"/>
      <c r="NGD21" s="2185"/>
      <c r="NGE21" s="16"/>
      <c r="NGF21" s="2185"/>
      <c r="NGG21" s="16"/>
      <c r="NGH21" s="2185"/>
      <c r="NGI21" s="16"/>
      <c r="NGJ21" s="2185"/>
      <c r="NGK21" s="16"/>
      <c r="NGL21" s="2185"/>
      <c r="NGM21" s="16"/>
      <c r="NGN21" s="2185"/>
      <c r="NGO21" s="16"/>
      <c r="NGP21" s="2185"/>
      <c r="NGQ21" s="16"/>
      <c r="NGR21" s="2185"/>
      <c r="NGS21" s="16"/>
      <c r="NGT21" s="2185"/>
      <c r="NGU21" s="16"/>
      <c r="NGV21" s="2185"/>
      <c r="NGW21" s="16"/>
      <c r="NGX21" s="2185"/>
      <c r="NGY21" s="16"/>
      <c r="NGZ21" s="2185"/>
      <c r="NHA21" s="16"/>
      <c r="NHB21" s="2185"/>
      <c r="NHC21" s="16"/>
      <c r="NHD21" s="2185"/>
      <c r="NHE21" s="16"/>
      <c r="NHF21" s="2185"/>
      <c r="NHG21" s="16"/>
      <c r="NHH21" s="2185"/>
      <c r="NHI21" s="16"/>
      <c r="NHJ21" s="2185"/>
      <c r="NHK21" s="16"/>
      <c r="NHL21" s="2185"/>
      <c r="NHM21" s="16"/>
      <c r="NHN21" s="2185"/>
      <c r="NHO21" s="16"/>
      <c r="NHP21" s="2185"/>
      <c r="NHQ21" s="16"/>
      <c r="NHR21" s="2185"/>
      <c r="NHS21" s="16"/>
      <c r="NHT21" s="2185"/>
      <c r="NHU21" s="16"/>
      <c r="NHV21" s="2185"/>
      <c r="NHW21" s="16"/>
      <c r="NHX21" s="2185"/>
      <c r="NHY21" s="16"/>
      <c r="NHZ21" s="2185"/>
      <c r="NIA21" s="16"/>
      <c r="NIB21" s="2185"/>
      <c r="NIC21" s="16"/>
      <c r="NID21" s="2185"/>
      <c r="NIE21" s="16"/>
      <c r="NIF21" s="2185"/>
      <c r="NIG21" s="16"/>
      <c r="NIH21" s="2185"/>
      <c r="NII21" s="16"/>
      <c r="NIJ21" s="2185"/>
      <c r="NIK21" s="16"/>
      <c r="NIL21" s="2185"/>
      <c r="NIM21" s="16"/>
      <c r="NIN21" s="2185"/>
      <c r="NIO21" s="16"/>
      <c r="NIP21" s="2185"/>
      <c r="NIQ21" s="16"/>
      <c r="NIR21" s="2185"/>
      <c r="NIS21" s="16"/>
      <c r="NIT21" s="2185"/>
      <c r="NIU21" s="16"/>
      <c r="NIV21" s="2185"/>
      <c r="NIW21" s="16"/>
      <c r="NIX21" s="2185"/>
      <c r="NIY21" s="16"/>
      <c r="NIZ21" s="2185"/>
      <c r="NJA21" s="16"/>
      <c r="NJB21" s="2185"/>
      <c r="NJC21" s="16"/>
      <c r="NJD21" s="2185"/>
      <c r="NJE21" s="16"/>
      <c r="NJF21" s="2185"/>
      <c r="NJG21" s="16"/>
      <c r="NJH21" s="2185"/>
      <c r="NJI21" s="16"/>
      <c r="NJJ21" s="2185"/>
      <c r="NJK21" s="16"/>
      <c r="NJL21" s="2185"/>
      <c r="NJM21" s="16"/>
      <c r="NJN21" s="2185"/>
      <c r="NJO21" s="16"/>
      <c r="NJP21" s="2185"/>
      <c r="NJQ21" s="16"/>
      <c r="NJR21" s="2185"/>
      <c r="NJS21" s="16"/>
      <c r="NJT21" s="2185"/>
      <c r="NJU21" s="16"/>
      <c r="NJV21" s="2185"/>
      <c r="NJW21" s="16"/>
      <c r="NJX21" s="2185"/>
      <c r="NJY21" s="16"/>
      <c r="NJZ21" s="2185"/>
      <c r="NKA21" s="16"/>
      <c r="NKB21" s="2185"/>
      <c r="NKC21" s="16"/>
      <c r="NKD21" s="2185"/>
      <c r="NKE21" s="16"/>
      <c r="NKF21" s="2185"/>
      <c r="NKG21" s="16"/>
      <c r="NKH21" s="2185"/>
      <c r="NKI21" s="16"/>
      <c r="NKJ21" s="2185"/>
      <c r="NKK21" s="16"/>
      <c r="NKL21" s="2185"/>
      <c r="NKM21" s="16"/>
      <c r="NKN21" s="2185"/>
      <c r="NKO21" s="16"/>
      <c r="NKP21" s="2185"/>
      <c r="NKQ21" s="16"/>
      <c r="NKR21" s="2185"/>
      <c r="NKS21" s="16"/>
      <c r="NKT21" s="2185"/>
      <c r="NKU21" s="16"/>
      <c r="NKV21" s="2185"/>
      <c r="NKW21" s="16"/>
      <c r="NKX21" s="2185"/>
      <c r="NKY21" s="16"/>
      <c r="NKZ21" s="2185"/>
      <c r="NLA21" s="16"/>
      <c r="NLB21" s="2185"/>
      <c r="NLC21" s="16"/>
      <c r="NLD21" s="2185"/>
      <c r="NLE21" s="16"/>
      <c r="NLF21" s="2185"/>
      <c r="NLG21" s="16"/>
      <c r="NLH21" s="2185"/>
      <c r="NLI21" s="16"/>
      <c r="NLJ21" s="2185"/>
      <c r="NLK21" s="16"/>
      <c r="NLL21" s="2185"/>
      <c r="NLM21" s="16"/>
      <c r="NLN21" s="2185"/>
      <c r="NLO21" s="16"/>
      <c r="NLP21" s="2185"/>
      <c r="NLQ21" s="16"/>
      <c r="NLR21" s="2185"/>
      <c r="NLS21" s="16"/>
      <c r="NLT21" s="2185"/>
      <c r="NLU21" s="16"/>
      <c r="NLV21" s="2185"/>
      <c r="NLW21" s="16"/>
      <c r="NLX21" s="2185"/>
      <c r="NLY21" s="16"/>
      <c r="NLZ21" s="2185"/>
      <c r="NMA21" s="16"/>
      <c r="NMB21" s="2185"/>
      <c r="NMC21" s="16"/>
      <c r="NMD21" s="2185"/>
      <c r="NME21" s="16"/>
      <c r="NMF21" s="2185"/>
      <c r="NMG21" s="16"/>
      <c r="NMH21" s="2185"/>
      <c r="NMI21" s="16"/>
      <c r="NMJ21" s="2185"/>
      <c r="NMK21" s="16"/>
      <c r="NML21" s="2185"/>
      <c r="NMM21" s="16"/>
      <c r="NMN21" s="2185"/>
      <c r="NMO21" s="16"/>
      <c r="NMP21" s="2185"/>
      <c r="NMQ21" s="16"/>
      <c r="NMR21" s="2185"/>
      <c r="NMS21" s="16"/>
      <c r="NMT21" s="2185"/>
      <c r="NMU21" s="16"/>
      <c r="NMV21" s="2185"/>
      <c r="NMW21" s="16"/>
      <c r="NMX21" s="2185"/>
      <c r="NMY21" s="16"/>
      <c r="NMZ21" s="2185"/>
      <c r="NNA21" s="16"/>
      <c r="NNB21" s="2185"/>
      <c r="NNC21" s="16"/>
      <c r="NND21" s="2185"/>
      <c r="NNE21" s="16"/>
      <c r="NNF21" s="2185"/>
      <c r="NNG21" s="16"/>
      <c r="NNH21" s="2185"/>
      <c r="NNI21" s="16"/>
      <c r="NNJ21" s="2185"/>
      <c r="NNK21" s="16"/>
      <c r="NNL21" s="2185"/>
      <c r="NNM21" s="16"/>
      <c r="NNN21" s="2185"/>
      <c r="NNO21" s="16"/>
      <c r="NNP21" s="2185"/>
      <c r="NNQ21" s="16"/>
      <c r="NNR21" s="2185"/>
      <c r="NNS21" s="16"/>
      <c r="NNT21" s="2185"/>
      <c r="NNU21" s="16"/>
      <c r="NNV21" s="2185"/>
      <c r="NNW21" s="16"/>
      <c r="NNX21" s="2185"/>
      <c r="NNY21" s="16"/>
      <c r="NNZ21" s="2185"/>
      <c r="NOA21" s="16"/>
      <c r="NOB21" s="2185"/>
      <c r="NOC21" s="16"/>
      <c r="NOD21" s="2185"/>
      <c r="NOE21" s="16"/>
      <c r="NOF21" s="2185"/>
      <c r="NOG21" s="16"/>
      <c r="NOH21" s="2185"/>
      <c r="NOI21" s="16"/>
      <c r="NOJ21" s="2185"/>
      <c r="NOK21" s="16"/>
      <c r="NOL21" s="2185"/>
      <c r="NOM21" s="16"/>
      <c r="NON21" s="2185"/>
      <c r="NOO21" s="16"/>
      <c r="NOP21" s="2185"/>
      <c r="NOQ21" s="16"/>
      <c r="NOR21" s="2185"/>
      <c r="NOS21" s="16"/>
      <c r="NOT21" s="2185"/>
      <c r="NOU21" s="16"/>
      <c r="NOV21" s="2185"/>
      <c r="NOW21" s="16"/>
      <c r="NOX21" s="2185"/>
      <c r="NOY21" s="16"/>
      <c r="NOZ21" s="2185"/>
      <c r="NPA21" s="16"/>
      <c r="NPB21" s="2185"/>
      <c r="NPC21" s="16"/>
      <c r="NPD21" s="2185"/>
      <c r="NPE21" s="16"/>
      <c r="NPF21" s="2185"/>
      <c r="NPG21" s="16"/>
      <c r="NPH21" s="2185"/>
      <c r="NPI21" s="16"/>
      <c r="NPJ21" s="2185"/>
      <c r="NPK21" s="16"/>
      <c r="NPL21" s="2185"/>
      <c r="NPM21" s="16"/>
      <c r="NPN21" s="2185"/>
      <c r="NPO21" s="16"/>
      <c r="NPP21" s="2185"/>
      <c r="NPQ21" s="16"/>
      <c r="NPR21" s="2185"/>
      <c r="NPS21" s="16"/>
      <c r="NPT21" s="2185"/>
      <c r="NPU21" s="16"/>
      <c r="NPV21" s="2185"/>
      <c r="NPW21" s="16"/>
      <c r="NPX21" s="2185"/>
      <c r="NPY21" s="16"/>
      <c r="NPZ21" s="2185"/>
      <c r="NQA21" s="16"/>
      <c r="NQB21" s="2185"/>
      <c r="NQC21" s="16"/>
      <c r="NQD21" s="2185"/>
      <c r="NQE21" s="16"/>
      <c r="NQF21" s="2185"/>
      <c r="NQG21" s="16"/>
      <c r="NQH21" s="2185"/>
      <c r="NQI21" s="16"/>
      <c r="NQJ21" s="2185"/>
      <c r="NQK21" s="16"/>
      <c r="NQL21" s="2185"/>
      <c r="NQM21" s="16"/>
      <c r="NQN21" s="2185"/>
      <c r="NQO21" s="16"/>
      <c r="NQP21" s="2185"/>
      <c r="NQQ21" s="16"/>
      <c r="NQR21" s="2185"/>
      <c r="NQS21" s="16"/>
      <c r="NQT21" s="2185"/>
      <c r="NQU21" s="16"/>
      <c r="NQV21" s="2185"/>
      <c r="NQW21" s="16"/>
      <c r="NQX21" s="2185"/>
      <c r="NQY21" s="16"/>
      <c r="NQZ21" s="2185"/>
      <c r="NRA21" s="16"/>
      <c r="NRB21" s="2185"/>
      <c r="NRC21" s="16"/>
      <c r="NRD21" s="2185"/>
      <c r="NRE21" s="16"/>
      <c r="NRF21" s="2185"/>
      <c r="NRG21" s="16"/>
      <c r="NRH21" s="2185"/>
      <c r="NRI21" s="16"/>
      <c r="NRJ21" s="2185"/>
      <c r="NRK21" s="16"/>
      <c r="NRL21" s="2185"/>
      <c r="NRM21" s="16"/>
      <c r="NRN21" s="2185"/>
      <c r="NRO21" s="16"/>
      <c r="NRP21" s="2185"/>
      <c r="NRQ21" s="16"/>
      <c r="NRR21" s="2185"/>
      <c r="NRS21" s="16"/>
      <c r="NRT21" s="2185"/>
      <c r="NRU21" s="16"/>
      <c r="NRV21" s="2185"/>
      <c r="NRW21" s="16"/>
      <c r="NRX21" s="2185"/>
      <c r="NRY21" s="16"/>
      <c r="NRZ21" s="2185"/>
      <c r="NSA21" s="16"/>
      <c r="NSB21" s="2185"/>
      <c r="NSC21" s="16"/>
      <c r="NSD21" s="2185"/>
      <c r="NSE21" s="16"/>
      <c r="NSF21" s="2185"/>
      <c r="NSG21" s="16"/>
      <c r="NSH21" s="2185"/>
      <c r="NSI21" s="16"/>
      <c r="NSJ21" s="2185"/>
      <c r="NSK21" s="16"/>
      <c r="NSL21" s="2185"/>
      <c r="NSM21" s="16"/>
      <c r="NSN21" s="2185"/>
      <c r="NSO21" s="16"/>
      <c r="NSP21" s="2185"/>
      <c r="NSQ21" s="16"/>
      <c r="NSR21" s="2185"/>
      <c r="NSS21" s="16"/>
      <c r="NST21" s="2185"/>
      <c r="NSU21" s="16"/>
      <c r="NSV21" s="2185"/>
      <c r="NSW21" s="16"/>
      <c r="NSX21" s="2185"/>
      <c r="NSY21" s="16"/>
      <c r="NSZ21" s="2185"/>
      <c r="NTA21" s="16"/>
      <c r="NTB21" s="2185"/>
      <c r="NTC21" s="16"/>
      <c r="NTD21" s="2185"/>
      <c r="NTE21" s="16"/>
      <c r="NTF21" s="2185"/>
      <c r="NTG21" s="16"/>
      <c r="NTH21" s="2185"/>
      <c r="NTI21" s="16"/>
      <c r="NTJ21" s="2185"/>
      <c r="NTK21" s="16"/>
      <c r="NTL21" s="2185"/>
      <c r="NTM21" s="16"/>
      <c r="NTN21" s="2185"/>
      <c r="NTO21" s="16"/>
      <c r="NTP21" s="2185"/>
      <c r="NTQ21" s="16"/>
      <c r="NTR21" s="2185"/>
      <c r="NTS21" s="16"/>
      <c r="NTT21" s="2185"/>
      <c r="NTU21" s="16"/>
      <c r="NTV21" s="2185"/>
      <c r="NTW21" s="16"/>
      <c r="NTX21" s="2185"/>
      <c r="NTY21" s="16"/>
      <c r="NTZ21" s="2185"/>
      <c r="NUA21" s="16"/>
      <c r="NUB21" s="2185"/>
      <c r="NUC21" s="16"/>
      <c r="NUD21" s="2185"/>
      <c r="NUE21" s="16"/>
      <c r="NUF21" s="2185"/>
      <c r="NUG21" s="16"/>
      <c r="NUH21" s="2185"/>
      <c r="NUI21" s="16"/>
      <c r="NUJ21" s="2185"/>
      <c r="NUK21" s="16"/>
      <c r="NUL21" s="2185"/>
      <c r="NUM21" s="16"/>
      <c r="NUN21" s="2185"/>
      <c r="NUO21" s="16"/>
      <c r="NUP21" s="2185"/>
      <c r="NUQ21" s="16"/>
      <c r="NUR21" s="2185"/>
      <c r="NUS21" s="16"/>
      <c r="NUT21" s="2185"/>
      <c r="NUU21" s="16"/>
      <c r="NUV21" s="2185"/>
      <c r="NUW21" s="16"/>
      <c r="NUX21" s="2185"/>
      <c r="NUY21" s="16"/>
      <c r="NUZ21" s="2185"/>
      <c r="NVA21" s="16"/>
      <c r="NVB21" s="2185"/>
      <c r="NVC21" s="16"/>
      <c r="NVD21" s="2185"/>
      <c r="NVE21" s="16"/>
      <c r="NVF21" s="2185"/>
      <c r="NVG21" s="16"/>
      <c r="NVH21" s="2185"/>
      <c r="NVI21" s="16"/>
      <c r="NVJ21" s="2185"/>
      <c r="NVK21" s="16"/>
      <c r="NVL21" s="2185"/>
      <c r="NVM21" s="16"/>
      <c r="NVN21" s="2185"/>
      <c r="NVO21" s="16"/>
      <c r="NVP21" s="2185"/>
      <c r="NVQ21" s="16"/>
      <c r="NVR21" s="2185"/>
      <c r="NVS21" s="16"/>
      <c r="NVT21" s="2185"/>
      <c r="NVU21" s="16"/>
      <c r="NVV21" s="2185"/>
      <c r="NVW21" s="16"/>
      <c r="NVX21" s="2185"/>
      <c r="NVY21" s="16"/>
      <c r="NVZ21" s="2185"/>
      <c r="NWA21" s="16"/>
      <c r="NWB21" s="2185"/>
      <c r="NWC21" s="16"/>
      <c r="NWD21" s="2185"/>
      <c r="NWE21" s="16"/>
      <c r="NWF21" s="2185"/>
      <c r="NWG21" s="16"/>
      <c r="NWH21" s="2185"/>
      <c r="NWI21" s="16"/>
      <c r="NWJ21" s="2185"/>
      <c r="NWK21" s="16"/>
      <c r="NWL21" s="2185"/>
      <c r="NWM21" s="16"/>
      <c r="NWN21" s="2185"/>
      <c r="NWO21" s="16"/>
      <c r="NWP21" s="2185"/>
      <c r="NWQ21" s="16"/>
      <c r="NWR21" s="2185"/>
      <c r="NWS21" s="16"/>
      <c r="NWT21" s="2185"/>
      <c r="NWU21" s="16"/>
      <c r="NWV21" s="2185"/>
      <c r="NWW21" s="16"/>
      <c r="NWX21" s="2185"/>
      <c r="NWY21" s="16"/>
      <c r="NWZ21" s="2185"/>
      <c r="NXA21" s="16"/>
      <c r="NXB21" s="2185"/>
      <c r="NXC21" s="16"/>
      <c r="NXD21" s="2185"/>
      <c r="NXE21" s="16"/>
      <c r="NXF21" s="2185"/>
      <c r="NXG21" s="16"/>
      <c r="NXH21" s="2185"/>
      <c r="NXI21" s="16"/>
      <c r="NXJ21" s="2185"/>
      <c r="NXK21" s="16"/>
      <c r="NXL21" s="2185"/>
      <c r="NXM21" s="16"/>
      <c r="NXN21" s="2185"/>
      <c r="NXO21" s="16"/>
      <c r="NXP21" s="2185"/>
      <c r="NXQ21" s="16"/>
      <c r="NXR21" s="2185"/>
      <c r="NXS21" s="16"/>
      <c r="NXT21" s="2185"/>
      <c r="NXU21" s="16"/>
      <c r="NXV21" s="2185"/>
      <c r="NXW21" s="16"/>
      <c r="NXX21" s="2185"/>
      <c r="NXY21" s="16"/>
      <c r="NXZ21" s="2185"/>
      <c r="NYA21" s="16"/>
      <c r="NYB21" s="2185"/>
      <c r="NYC21" s="16"/>
      <c r="NYD21" s="2185"/>
      <c r="NYE21" s="16"/>
      <c r="NYF21" s="2185"/>
      <c r="NYG21" s="16"/>
      <c r="NYH21" s="2185"/>
      <c r="NYI21" s="16"/>
      <c r="NYJ21" s="2185"/>
      <c r="NYK21" s="16"/>
      <c r="NYL21" s="2185"/>
      <c r="NYM21" s="16"/>
      <c r="NYN21" s="2185"/>
      <c r="NYO21" s="16"/>
      <c r="NYP21" s="2185"/>
      <c r="NYQ21" s="16"/>
      <c r="NYR21" s="2185"/>
      <c r="NYS21" s="16"/>
      <c r="NYT21" s="2185"/>
      <c r="NYU21" s="16"/>
      <c r="NYV21" s="2185"/>
      <c r="NYW21" s="16"/>
      <c r="NYX21" s="2185"/>
      <c r="NYY21" s="16"/>
      <c r="NYZ21" s="2185"/>
      <c r="NZA21" s="16"/>
      <c r="NZB21" s="2185"/>
      <c r="NZC21" s="16"/>
      <c r="NZD21" s="2185"/>
      <c r="NZE21" s="16"/>
      <c r="NZF21" s="2185"/>
      <c r="NZG21" s="16"/>
      <c r="NZH21" s="2185"/>
      <c r="NZI21" s="16"/>
      <c r="NZJ21" s="2185"/>
      <c r="NZK21" s="16"/>
      <c r="NZL21" s="2185"/>
      <c r="NZM21" s="16"/>
      <c r="NZN21" s="2185"/>
      <c r="NZO21" s="16"/>
      <c r="NZP21" s="2185"/>
      <c r="NZQ21" s="16"/>
      <c r="NZR21" s="2185"/>
      <c r="NZS21" s="16"/>
      <c r="NZT21" s="2185"/>
      <c r="NZU21" s="16"/>
      <c r="NZV21" s="2185"/>
      <c r="NZW21" s="16"/>
      <c r="NZX21" s="2185"/>
      <c r="NZY21" s="16"/>
      <c r="NZZ21" s="2185"/>
      <c r="OAA21" s="16"/>
      <c r="OAB21" s="2185"/>
      <c r="OAC21" s="16"/>
      <c r="OAD21" s="2185"/>
      <c r="OAE21" s="16"/>
      <c r="OAF21" s="2185"/>
      <c r="OAG21" s="16"/>
      <c r="OAH21" s="2185"/>
      <c r="OAI21" s="16"/>
      <c r="OAJ21" s="2185"/>
      <c r="OAK21" s="16"/>
      <c r="OAL21" s="2185"/>
      <c r="OAM21" s="16"/>
      <c r="OAN21" s="2185"/>
      <c r="OAO21" s="16"/>
      <c r="OAP21" s="2185"/>
      <c r="OAQ21" s="16"/>
      <c r="OAR21" s="2185"/>
      <c r="OAS21" s="16"/>
      <c r="OAT21" s="2185"/>
      <c r="OAU21" s="16"/>
      <c r="OAV21" s="2185"/>
      <c r="OAW21" s="16"/>
      <c r="OAX21" s="2185"/>
      <c r="OAY21" s="16"/>
      <c r="OAZ21" s="2185"/>
      <c r="OBA21" s="16"/>
      <c r="OBB21" s="2185"/>
      <c r="OBC21" s="16"/>
      <c r="OBD21" s="2185"/>
      <c r="OBE21" s="16"/>
      <c r="OBF21" s="2185"/>
      <c r="OBG21" s="16"/>
      <c r="OBH21" s="2185"/>
      <c r="OBI21" s="16"/>
      <c r="OBJ21" s="2185"/>
      <c r="OBK21" s="16"/>
      <c r="OBL21" s="2185"/>
      <c r="OBM21" s="16"/>
      <c r="OBN21" s="2185"/>
      <c r="OBO21" s="16"/>
      <c r="OBP21" s="2185"/>
      <c r="OBQ21" s="16"/>
      <c r="OBR21" s="2185"/>
      <c r="OBS21" s="16"/>
      <c r="OBT21" s="2185"/>
      <c r="OBU21" s="16"/>
      <c r="OBV21" s="2185"/>
      <c r="OBW21" s="16"/>
      <c r="OBX21" s="2185"/>
      <c r="OBY21" s="16"/>
      <c r="OBZ21" s="2185"/>
      <c r="OCA21" s="16"/>
      <c r="OCB21" s="2185"/>
      <c r="OCC21" s="16"/>
      <c r="OCD21" s="2185"/>
      <c r="OCE21" s="16"/>
      <c r="OCF21" s="2185"/>
      <c r="OCG21" s="16"/>
      <c r="OCH21" s="2185"/>
      <c r="OCI21" s="16"/>
      <c r="OCJ21" s="2185"/>
      <c r="OCK21" s="16"/>
      <c r="OCL21" s="2185"/>
      <c r="OCM21" s="16"/>
      <c r="OCN21" s="2185"/>
      <c r="OCO21" s="16"/>
      <c r="OCP21" s="2185"/>
      <c r="OCQ21" s="16"/>
      <c r="OCR21" s="2185"/>
      <c r="OCS21" s="16"/>
      <c r="OCT21" s="2185"/>
      <c r="OCU21" s="16"/>
      <c r="OCV21" s="2185"/>
      <c r="OCW21" s="16"/>
      <c r="OCX21" s="2185"/>
      <c r="OCY21" s="16"/>
      <c r="OCZ21" s="2185"/>
      <c r="ODA21" s="16"/>
      <c r="ODB21" s="2185"/>
      <c r="ODC21" s="16"/>
      <c r="ODD21" s="2185"/>
      <c r="ODE21" s="16"/>
      <c r="ODF21" s="2185"/>
      <c r="ODG21" s="16"/>
      <c r="ODH21" s="2185"/>
      <c r="ODI21" s="16"/>
      <c r="ODJ21" s="2185"/>
      <c r="ODK21" s="16"/>
      <c r="ODL21" s="2185"/>
      <c r="ODM21" s="16"/>
      <c r="ODN21" s="2185"/>
      <c r="ODO21" s="16"/>
      <c r="ODP21" s="2185"/>
      <c r="ODQ21" s="16"/>
      <c r="ODR21" s="2185"/>
      <c r="ODS21" s="16"/>
      <c r="ODT21" s="2185"/>
      <c r="ODU21" s="16"/>
      <c r="ODV21" s="2185"/>
      <c r="ODW21" s="16"/>
      <c r="ODX21" s="2185"/>
      <c r="ODY21" s="16"/>
      <c r="ODZ21" s="2185"/>
      <c r="OEA21" s="16"/>
      <c r="OEB21" s="2185"/>
      <c r="OEC21" s="16"/>
      <c r="OED21" s="2185"/>
      <c r="OEE21" s="16"/>
      <c r="OEF21" s="2185"/>
      <c r="OEG21" s="16"/>
      <c r="OEH21" s="2185"/>
      <c r="OEI21" s="16"/>
      <c r="OEJ21" s="2185"/>
      <c r="OEK21" s="16"/>
      <c r="OEL21" s="2185"/>
      <c r="OEM21" s="16"/>
      <c r="OEN21" s="2185"/>
      <c r="OEO21" s="16"/>
      <c r="OEP21" s="2185"/>
      <c r="OEQ21" s="16"/>
      <c r="OER21" s="2185"/>
      <c r="OES21" s="16"/>
      <c r="OET21" s="2185"/>
      <c r="OEU21" s="16"/>
      <c r="OEV21" s="2185"/>
      <c r="OEW21" s="16"/>
      <c r="OEX21" s="2185"/>
      <c r="OEY21" s="16"/>
      <c r="OEZ21" s="2185"/>
      <c r="OFA21" s="16"/>
      <c r="OFB21" s="2185"/>
      <c r="OFC21" s="16"/>
      <c r="OFD21" s="2185"/>
      <c r="OFE21" s="16"/>
      <c r="OFF21" s="2185"/>
      <c r="OFG21" s="16"/>
      <c r="OFH21" s="2185"/>
      <c r="OFI21" s="16"/>
      <c r="OFJ21" s="2185"/>
      <c r="OFK21" s="16"/>
      <c r="OFL21" s="2185"/>
      <c r="OFM21" s="16"/>
      <c r="OFN21" s="2185"/>
      <c r="OFO21" s="16"/>
      <c r="OFP21" s="2185"/>
      <c r="OFQ21" s="16"/>
      <c r="OFR21" s="2185"/>
      <c r="OFS21" s="16"/>
      <c r="OFT21" s="2185"/>
      <c r="OFU21" s="16"/>
      <c r="OFV21" s="2185"/>
      <c r="OFW21" s="16"/>
      <c r="OFX21" s="2185"/>
      <c r="OFY21" s="16"/>
      <c r="OFZ21" s="2185"/>
      <c r="OGA21" s="16"/>
      <c r="OGB21" s="2185"/>
      <c r="OGC21" s="16"/>
      <c r="OGD21" s="2185"/>
      <c r="OGE21" s="16"/>
      <c r="OGF21" s="2185"/>
      <c r="OGG21" s="16"/>
      <c r="OGH21" s="2185"/>
      <c r="OGI21" s="16"/>
      <c r="OGJ21" s="2185"/>
      <c r="OGK21" s="16"/>
      <c r="OGL21" s="2185"/>
      <c r="OGM21" s="16"/>
      <c r="OGN21" s="2185"/>
      <c r="OGO21" s="16"/>
      <c r="OGP21" s="2185"/>
      <c r="OGQ21" s="16"/>
      <c r="OGR21" s="2185"/>
      <c r="OGS21" s="16"/>
      <c r="OGT21" s="2185"/>
      <c r="OGU21" s="16"/>
      <c r="OGV21" s="2185"/>
      <c r="OGW21" s="16"/>
      <c r="OGX21" s="2185"/>
      <c r="OGY21" s="16"/>
      <c r="OGZ21" s="2185"/>
      <c r="OHA21" s="16"/>
      <c r="OHB21" s="2185"/>
      <c r="OHC21" s="16"/>
      <c r="OHD21" s="2185"/>
      <c r="OHE21" s="16"/>
      <c r="OHF21" s="2185"/>
      <c r="OHG21" s="16"/>
      <c r="OHH21" s="2185"/>
      <c r="OHI21" s="16"/>
      <c r="OHJ21" s="2185"/>
      <c r="OHK21" s="16"/>
      <c r="OHL21" s="2185"/>
      <c r="OHM21" s="16"/>
      <c r="OHN21" s="2185"/>
      <c r="OHO21" s="16"/>
      <c r="OHP21" s="2185"/>
      <c r="OHQ21" s="16"/>
      <c r="OHR21" s="2185"/>
      <c r="OHS21" s="16"/>
      <c r="OHT21" s="2185"/>
      <c r="OHU21" s="16"/>
      <c r="OHV21" s="2185"/>
      <c r="OHW21" s="16"/>
      <c r="OHX21" s="2185"/>
      <c r="OHY21" s="16"/>
      <c r="OHZ21" s="2185"/>
      <c r="OIA21" s="16"/>
      <c r="OIB21" s="2185"/>
      <c r="OIC21" s="16"/>
      <c r="OID21" s="2185"/>
      <c r="OIE21" s="16"/>
      <c r="OIF21" s="2185"/>
      <c r="OIG21" s="16"/>
      <c r="OIH21" s="2185"/>
      <c r="OII21" s="16"/>
      <c r="OIJ21" s="2185"/>
      <c r="OIK21" s="16"/>
      <c r="OIL21" s="2185"/>
      <c r="OIM21" s="16"/>
      <c r="OIN21" s="2185"/>
      <c r="OIO21" s="16"/>
      <c r="OIP21" s="2185"/>
      <c r="OIQ21" s="16"/>
      <c r="OIR21" s="2185"/>
      <c r="OIS21" s="16"/>
      <c r="OIT21" s="2185"/>
      <c r="OIU21" s="16"/>
      <c r="OIV21" s="2185"/>
      <c r="OIW21" s="16"/>
      <c r="OIX21" s="2185"/>
      <c r="OIY21" s="16"/>
      <c r="OIZ21" s="2185"/>
      <c r="OJA21" s="16"/>
      <c r="OJB21" s="2185"/>
      <c r="OJC21" s="16"/>
      <c r="OJD21" s="2185"/>
      <c r="OJE21" s="16"/>
      <c r="OJF21" s="2185"/>
      <c r="OJG21" s="16"/>
      <c r="OJH21" s="2185"/>
      <c r="OJI21" s="16"/>
      <c r="OJJ21" s="2185"/>
      <c r="OJK21" s="16"/>
      <c r="OJL21" s="2185"/>
      <c r="OJM21" s="16"/>
      <c r="OJN21" s="2185"/>
      <c r="OJO21" s="16"/>
      <c r="OJP21" s="2185"/>
      <c r="OJQ21" s="16"/>
      <c r="OJR21" s="2185"/>
      <c r="OJS21" s="16"/>
      <c r="OJT21" s="2185"/>
      <c r="OJU21" s="16"/>
      <c r="OJV21" s="2185"/>
      <c r="OJW21" s="16"/>
      <c r="OJX21" s="2185"/>
      <c r="OJY21" s="16"/>
      <c r="OJZ21" s="2185"/>
      <c r="OKA21" s="16"/>
      <c r="OKB21" s="2185"/>
      <c r="OKC21" s="16"/>
      <c r="OKD21" s="2185"/>
      <c r="OKE21" s="16"/>
      <c r="OKF21" s="2185"/>
      <c r="OKG21" s="16"/>
      <c r="OKH21" s="2185"/>
      <c r="OKI21" s="16"/>
      <c r="OKJ21" s="2185"/>
      <c r="OKK21" s="16"/>
      <c r="OKL21" s="2185"/>
      <c r="OKM21" s="16"/>
      <c r="OKN21" s="2185"/>
      <c r="OKO21" s="16"/>
      <c r="OKP21" s="2185"/>
      <c r="OKQ21" s="16"/>
      <c r="OKR21" s="2185"/>
      <c r="OKS21" s="16"/>
      <c r="OKT21" s="2185"/>
      <c r="OKU21" s="16"/>
      <c r="OKV21" s="2185"/>
      <c r="OKW21" s="16"/>
      <c r="OKX21" s="2185"/>
      <c r="OKY21" s="16"/>
      <c r="OKZ21" s="2185"/>
      <c r="OLA21" s="16"/>
      <c r="OLB21" s="2185"/>
      <c r="OLC21" s="16"/>
      <c r="OLD21" s="2185"/>
      <c r="OLE21" s="16"/>
      <c r="OLF21" s="2185"/>
      <c r="OLG21" s="16"/>
      <c r="OLH21" s="2185"/>
      <c r="OLI21" s="16"/>
      <c r="OLJ21" s="2185"/>
      <c r="OLK21" s="16"/>
      <c r="OLL21" s="2185"/>
      <c r="OLM21" s="16"/>
      <c r="OLN21" s="2185"/>
      <c r="OLO21" s="16"/>
      <c r="OLP21" s="2185"/>
      <c r="OLQ21" s="16"/>
      <c r="OLR21" s="2185"/>
      <c r="OLS21" s="16"/>
      <c r="OLT21" s="2185"/>
      <c r="OLU21" s="16"/>
      <c r="OLV21" s="2185"/>
      <c r="OLW21" s="16"/>
      <c r="OLX21" s="2185"/>
      <c r="OLY21" s="16"/>
      <c r="OLZ21" s="2185"/>
      <c r="OMA21" s="16"/>
      <c r="OMB21" s="2185"/>
      <c r="OMC21" s="16"/>
      <c r="OMD21" s="2185"/>
      <c r="OME21" s="16"/>
      <c r="OMF21" s="2185"/>
      <c r="OMG21" s="16"/>
      <c r="OMH21" s="2185"/>
      <c r="OMI21" s="16"/>
      <c r="OMJ21" s="2185"/>
      <c r="OMK21" s="16"/>
      <c r="OML21" s="2185"/>
      <c r="OMM21" s="16"/>
      <c r="OMN21" s="2185"/>
      <c r="OMO21" s="16"/>
      <c r="OMP21" s="2185"/>
      <c r="OMQ21" s="16"/>
      <c r="OMR21" s="2185"/>
      <c r="OMS21" s="16"/>
      <c r="OMT21" s="2185"/>
      <c r="OMU21" s="16"/>
      <c r="OMV21" s="2185"/>
      <c r="OMW21" s="16"/>
      <c r="OMX21" s="2185"/>
      <c r="OMY21" s="16"/>
      <c r="OMZ21" s="2185"/>
      <c r="ONA21" s="16"/>
      <c r="ONB21" s="2185"/>
      <c r="ONC21" s="16"/>
      <c r="OND21" s="2185"/>
      <c r="ONE21" s="16"/>
      <c r="ONF21" s="2185"/>
      <c r="ONG21" s="16"/>
      <c r="ONH21" s="2185"/>
      <c r="ONI21" s="16"/>
      <c r="ONJ21" s="2185"/>
      <c r="ONK21" s="16"/>
      <c r="ONL21" s="2185"/>
      <c r="ONM21" s="16"/>
      <c r="ONN21" s="2185"/>
      <c r="ONO21" s="16"/>
      <c r="ONP21" s="2185"/>
      <c r="ONQ21" s="16"/>
      <c r="ONR21" s="2185"/>
      <c r="ONS21" s="16"/>
      <c r="ONT21" s="2185"/>
      <c r="ONU21" s="16"/>
      <c r="ONV21" s="2185"/>
      <c r="ONW21" s="16"/>
      <c r="ONX21" s="2185"/>
      <c r="ONY21" s="16"/>
      <c r="ONZ21" s="2185"/>
      <c r="OOA21" s="16"/>
      <c r="OOB21" s="2185"/>
      <c r="OOC21" s="16"/>
      <c r="OOD21" s="2185"/>
      <c r="OOE21" s="16"/>
      <c r="OOF21" s="2185"/>
      <c r="OOG21" s="16"/>
      <c r="OOH21" s="2185"/>
      <c r="OOI21" s="16"/>
      <c r="OOJ21" s="2185"/>
      <c r="OOK21" s="16"/>
      <c r="OOL21" s="2185"/>
      <c r="OOM21" s="16"/>
      <c r="OON21" s="2185"/>
      <c r="OOO21" s="16"/>
      <c r="OOP21" s="2185"/>
      <c r="OOQ21" s="16"/>
      <c r="OOR21" s="2185"/>
      <c r="OOS21" s="16"/>
      <c r="OOT21" s="2185"/>
      <c r="OOU21" s="16"/>
      <c r="OOV21" s="2185"/>
      <c r="OOW21" s="16"/>
      <c r="OOX21" s="2185"/>
      <c r="OOY21" s="16"/>
      <c r="OOZ21" s="2185"/>
      <c r="OPA21" s="16"/>
      <c r="OPB21" s="2185"/>
      <c r="OPC21" s="16"/>
      <c r="OPD21" s="2185"/>
      <c r="OPE21" s="16"/>
      <c r="OPF21" s="2185"/>
      <c r="OPG21" s="16"/>
      <c r="OPH21" s="2185"/>
      <c r="OPI21" s="16"/>
      <c r="OPJ21" s="2185"/>
      <c r="OPK21" s="16"/>
      <c r="OPL21" s="2185"/>
      <c r="OPM21" s="16"/>
      <c r="OPN21" s="2185"/>
      <c r="OPO21" s="16"/>
      <c r="OPP21" s="2185"/>
      <c r="OPQ21" s="16"/>
      <c r="OPR21" s="2185"/>
      <c r="OPS21" s="16"/>
      <c r="OPT21" s="2185"/>
      <c r="OPU21" s="16"/>
      <c r="OPV21" s="2185"/>
      <c r="OPW21" s="16"/>
      <c r="OPX21" s="2185"/>
      <c r="OPY21" s="16"/>
      <c r="OPZ21" s="2185"/>
      <c r="OQA21" s="16"/>
      <c r="OQB21" s="2185"/>
      <c r="OQC21" s="16"/>
      <c r="OQD21" s="2185"/>
      <c r="OQE21" s="16"/>
      <c r="OQF21" s="2185"/>
      <c r="OQG21" s="16"/>
      <c r="OQH21" s="2185"/>
      <c r="OQI21" s="16"/>
      <c r="OQJ21" s="2185"/>
      <c r="OQK21" s="16"/>
      <c r="OQL21" s="2185"/>
      <c r="OQM21" s="16"/>
      <c r="OQN21" s="2185"/>
      <c r="OQO21" s="16"/>
      <c r="OQP21" s="2185"/>
      <c r="OQQ21" s="16"/>
      <c r="OQR21" s="2185"/>
      <c r="OQS21" s="16"/>
      <c r="OQT21" s="2185"/>
      <c r="OQU21" s="16"/>
      <c r="OQV21" s="2185"/>
      <c r="OQW21" s="16"/>
      <c r="OQX21" s="2185"/>
      <c r="OQY21" s="16"/>
      <c r="OQZ21" s="2185"/>
      <c r="ORA21" s="16"/>
      <c r="ORB21" s="2185"/>
      <c r="ORC21" s="16"/>
      <c r="ORD21" s="2185"/>
      <c r="ORE21" s="16"/>
      <c r="ORF21" s="2185"/>
      <c r="ORG21" s="16"/>
      <c r="ORH21" s="2185"/>
      <c r="ORI21" s="16"/>
      <c r="ORJ21" s="2185"/>
      <c r="ORK21" s="16"/>
      <c r="ORL21" s="2185"/>
      <c r="ORM21" s="16"/>
      <c r="ORN21" s="2185"/>
      <c r="ORO21" s="16"/>
      <c r="ORP21" s="2185"/>
      <c r="ORQ21" s="16"/>
      <c r="ORR21" s="2185"/>
      <c r="ORS21" s="16"/>
      <c r="ORT21" s="2185"/>
      <c r="ORU21" s="16"/>
      <c r="ORV21" s="2185"/>
      <c r="ORW21" s="16"/>
      <c r="ORX21" s="2185"/>
      <c r="ORY21" s="16"/>
      <c r="ORZ21" s="2185"/>
      <c r="OSA21" s="16"/>
      <c r="OSB21" s="2185"/>
      <c r="OSC21" s="16"/>
      <c r="OSD21" s="2185"/>
      <c r="OSE21" s="16"/>
      <c r="OSF21" s="2185"/>
      <c r="OSG21" s="16"/>
      <c r="OSH21" s="2185"/>
      <c r="OSI21" s="16"/>
      <c r="OSJ21" s="2185"/>
      <c r="OSK21" s="16"/>
      <c r="OSL21" s="2185"/>
      <c r="OSM21" s="16"/>
      <c r="OSN21" s="2185"/>
      <c r="OSO21" s="16"/>
      <c r="OSP21" s="2185"/>
      <c r="OSQ21" s="16"/>
      <c r="OSR21" s="2185"/>
      <c r="OSS21" s="16"/>
      <c r="OST21" s="2185"/>
      <c r="OSU21" s="16"/>
      <c r="OSV21" s="2185"/>
      <c r="OSW21" s="16"/>
      <c r="OSX21" s="2185"/>
      <c r="OSY21" s="16"/>
      <c r="OSZ21" s="2185"/>
      <c r="OTA21" s="16"/>
      <c r="OTB21" s="2185"/>
      <c r="OTC21" s="16"/>
      <c r="OTD21" s="2185"/>
      <c r="OTE21" s="16"/>
      <c r="OTF21" s="2185"/>
      <c r="OTG21" s="16"/>
      <c r="OTH21" s="2185"/>
      <c r="OTI21" s="16"/>
      <c r="OTJ21" s="2185"/>
      <c r="OTK21" s="16"/>
      <c r="OTL21" s="2185"/>
      <c r="OTM21" s="16"/>
      <c r="OTN21" s="2185"/>
      <c r="OTO21" s="16"/>
      <c r="OTP21" s="2185"/>
      <c r="OTQ21" s="16"/>
      <c r="OTR21" s="2185"/>
      <c r="OTS21" s="16"/>
      <c r="OTT21" s="2185"/>
      <c r="OTU21" s="16"/>
      <c r="OTV21" s="2185"/>
      <c r="OTW21" s="16"/>
      <c r="OTX21" s="2185"/>
      <c r="OTY21" s="16"/>
      <c r="OTZ21" s="2185"/>
      <c r="OUA21" s="16"/>
      <c r="OUB21" s="2185"/>
      <c r="OUC21" s="16"/>
      <c r="OUD21" s="2185"/>
      <c r="OUE21" s="16"/>
      <c r="OUF21" s="2185"/>
      <c r="OUG21" s="16"/>
      <c r="OUH21" s="2185"/>
      <c r="OUI21" s="16"/>
      <c r="OUJ21" s="2185"/>
      <c r="OUK21" s="16"/>
      <c r="OUL21" s="2185"/>
      <c r="OUM21" s="16"/>
      <c r="OUN21" s="2185"/>
      <c r="OUO21" s="16"/>
      <c r="OUP21" s="2185"/>
      <c r="OUQ21" s="16"/>
      <c r="OUR21" s="2185"/>
      <c r="OUS21" s="16"/>
      <c r="OUT21" s="2185"/>
      <c r="OUU21" s="16"/>
      <c r="OUV21" s="2185"/>
      <c r="OUW21" s="16"/>
      <c r="OUX21" s="2185"/>
      <c r="OUY21" s="16"/>
      <c r="OUZ21" s="2185"/>
      <c r="OVA21" s="16"/>
      <c r="OVB21" s="2185"/>
      <c r="OVC21" s="16"/>
      <c r="OVD21" s="2185"/>
      <c r="OVE21" s="16"/>
      <c r="OVF21" s="2185"/>
      <c r="OVG21" s="16"/>
      <c r="OVH21" s="2185"/>
      <c r="OVI21" s="16"/>
      <c r="OVJ21" s="2185"/>
      <c r="OVK21" s="16"/>
      <c r="OVL21" s="2185"/>
      <c r="OVM21" s="16"/>
      <c r="OVN21" s="2185"/>
      <c r="OVO21" s="16"/>
      <c r="OVP21" s="2185"/>
      <c r="OVQ21" s="16"/>
      <c r="OVR21" s="2185"/>
      <c r="OVS21" s="16"/>
      <c r="OVT21" s="2185"/>
      <c r="OVU21" s="16"/>
      <c r="OVV21" s="2185"/>
      <c r="OVW21" s="16"/>
      <c r="OVX21" s="2185"/>
      <c r="OVY21" s="16"/>
      <c r="OVZ21" s="2185"/>
      <c r="OWA21" s="16"/>
      <c r="OWB21" s="2185"/>
      <c r="OWC21" s="16"/>
      <c r="OWD21" s="2185"/>
      <c r="OWE21" s="16"/>
      <c r="OWF21" s="2185"/>
      <c r="OWG21" s="16"/>
      <c r="OWH21" s="2185"/>
      <c r="OWI21" s="16"/>
      <c r="OWJ21" s="2185"/>
      <c r="OWK21" s="16"/>
      <c r="OWL21" s="2185"/>
      <c r="OWM21" s="16"/>
      <c r="OWN21" s="2185"/>
      <c r="OWO21" s="16"/>
      <c r="OWP21" s="2185"/>
      <c r="OWQ21" s="16"/>
      <c r="OWR21" s="2185"/>
      <c r="OWS21" s="16"/>
      <c r="OWT21" s="2185"/>
      <c r="OWU21" s="16"/>
      <c r="OWV21" s="2185"/>
      <c r="OWW21" s="16"/>
      <c r="OWX21" s="2185"/>
      <c r="OWY21" s="16"/>
      <c r="OWZ21" s="2185"/>
      <c r="OXA21" s="16"/>
      <c r="OXB21" s="2185"/>
      <c r="OXC21" s="16"/>
      <c r="OXD21" s="2185"/>
      <c r="OXE21" s="16"/>
      <c r="OXF21" s="2185"/>
      <c r="OXG21" s="16"/>
      <c r="OXH21" s="2185"/>
      <c r="OXI21" s="16"/>
      <c r="OXJ21" s="2185"/>
      <c r="OXK21" s="16"/>
      <c r="OXL21" s="2185"/>
      <c r="OXM21" s="16"/>
      <c r="OXN21" s="2185"/>
      <c r="OXO21" s="16"/>
      <c r="OXP21" s="2185"/>
      <c r="OXQ21" s="16"/>
      <c r="OXR21" s="2185"/>
      <c r="OXS21" s="16"/>
      <c r="OXT21" s="2185"/>
      <c r="OXU21" s="16"/>
      <c r="OXV21" s="2185"/>
      <c r="OXW21" s="16"/>
      <c r="OXX21" s="2185"/>
      <c r="OXY21" s="16"/>
      <c r="OXZ21" s="2185"/>
      <c r="OYA21" s="16"/>
      <c r="OYB21" s="2185"/>
      <c r="OYC21" s="16"/>
      <c r="OYD21" s="2185"/>
      <c r="OYE21" s="16"/>
      <c r="OYF21" s="2185"/>
      <c r="OYG21" s="16"/>
      <c r="OYH21" s="2185"/>
      <c r="OYI21" s="16"/>
      <c r="OYJ21" s="2185"/>
      <c r="OYK21" s="16"/>
      <c r="OYL21" s="2185"/>
      <c r="OYM21" s="16"/>
      <c r="OYN21" s="2185"/>
      <c r="OYO21" s="16"/>
      <c r="OYP21" s="2185"/>
      <c r="OYQ21" s="16"/>
      <c r="OYR21" s="2185"/>
      <c r="OYS21" s="16"/>
      <c r="OYT21" s="2185"/>
      <c r="OYU21" s="16"/>
      <c r="OYV21" s="2185"/>
      <c r="OYW21" s="16"/>
      <c r="OYX21" s="2185"/>
      <c r="OYY21" s="16"/>
      <c r="OYZ21" s="2185"/>
      <c r="OZA21" s="16"/>
      <c r="OZB21" s="2185"/>
      <c r="OZC21" s="16"/>
      <c r="OZD21" s="2185"/>
      <c r="OZE21" s="16"/>
      <c r="OZF21" s="2185"/>
      <c r="OZG21" s="16"/>
      <c r="OZH21" s="2185"/>
      <c r="OZI21" s="16"/>
      <c r="OZJ21" s="2185"/>
      <c r="OZK21" s="16"/>
      <c r="OZL21" s="2185"/>
      <c r="OZM21" s="16"/>
      <c r="OZN21" s="2185"/>
      <c r="OZO21" s="16"/>
      <c r="OZP21" s="2185"/>
      <c r="OZQ21" s="16"/>
      <c r="OZR21" s="2185"/>
      <c r="OZS21" s="16"/>
      <c r="OZT21" s="2185"/>
      <c r="OZU21" s="16"/>
      <c r="OZV21" s="2185"/>
      <c r="OZW21" s="16"/>
      <c r="OZX21" s="2185"/>
      <c r="OZY21" s="16"/>
      <c r="OZZ21" s="2185"/>
      <c r="PAA21" s="16"/>
      <c r="PAB21" s="2185"/>
      <c r="PAC21" s="16"/>
      <c r="PAD21" s="2185"/>
      <c r="PAE21" s="16"/>
      <c r="PAF21" s="2185"/>
      <c r="PAG21" s="16"/>
      <c r="PAH21" s="2185"/>
      <c r="PAI21" s="16"/>
      <c r="PAJ21" s="2185"/>
      <c r="PAK21" s="16"/>
      <c r="PAL21" s="2185"/>
      <c r="PAM21" s="16"/>
      <c r="PAN21" s="2185"/>
      <c r="PAO21" s="16"/>
      <c r="PAP21" s="2185"/>
      <c r="PAQ21" s="16"/>
      <c r="PAR21" s="2185"/>
      <c r="PAS21" s="16"/>
      <c r="PAT21" s="2185"/>
      <c r="PAU21" s="16"/>
      <c r="PAV21" s="2185"/>
      <c r="PAW21" s="16"/>
      <c r="PAX21" s="2185"/>
      <c r="PAY21" s="16"/>
      <c r="PAZ21" s="2185"/>
      <c r="PBA21" s="16"/>
      <c r="PBB21" s="2185"/>
      <c r="PBC21" s="16"/>
      <c r="PBD21" s="2185"/>
      <c r="PBE21" s="16"/>
      <c r="PBF21" s="2185"/>
      <c r="PBG21" s="16"/>
      <c r="PBH21" s="2185"/>
      <c r="PBI21" s="16"/>
      <c r="PBJ21" s="2185"/>
      <c r="PBK21" s="16"/>
      <c r="PBL21" s="2185"/>
      <c r="PBM21" s="16"/>
      <c r="PBN21" s="2185"/>
      <c r="PBO21" s="16"/>
      <c r="PBP21" s="2185"/>
      <c r="PBQ21" s="16"/>
      <c r="PBR21" s="2185"/>
      <c r="PBS21" s="16"/>
      <c r="PBT21" s="2185"/>
      <c r="PBU21" s="16"/>
      <c r="PBV21" s="2185"/>
      <c r="PBW21" s="16"/>
      <c r="PBX21" s="2185"/>
      <c r="PBY21" s="16"/>
      <c r="PBZ21" s="2185"/>
      <c r="PCA21" s="16"/>
      <c r="PCB21" s="2185"/>
      <c r="PCC21" s="16"/>
      <c r="PCD21" s="2185"/>
      <c r="PCE21" s="16"/>
      <c r="PCF21" s="2185"/>
      <c r="PCG21" s="16"/>
      <c r="PCH21" s="2185"/>
      <c r="PCI21" s="16"/>
      <c r="PCJ21" s="2185"/>
      <c r="PCK21" s="16"/>
      <c r="PCL21" s="2185"/>
      <c r="PCM21" s="16"/>
      <c r="PCN21" s="2185"/>
      <c r="PCO21" s="16"/>
      <c r="PCP21" s="2185"/>
      <c r="PCQ21" s="16"/>
      <c r="PCR21" s="2185"/>
      <c r="PCS21" s="16"/>
      <c r="PCT21" s="2185"/>
      <c r="PCU21" s="16"/>
      <c r="PCV21" s="2185"/>
      <c r="PCW21" s="16"/>
      <c r="PCX21" s="2185"/>
      <c r="PCY21" s="16"/>
      <c r="PCZ21" s="2185"/>
      <c r="PDA21" s="16"/>
      <c r="PDB21" s="2185"/>
      <c r="PDC21" s="16"/>
      <c r="PDD21" s="2185"/>
      <c r="PDE21" s="16"/>
      <c r="PDF21" s="2185"/>
      <c r="PDG21" s="16"/>
      <c r="PDH21" s="2185"/>
      <c r="PDI21" s="16"/>
      <c r="PDJ21" s="2185"/>
      <c r="PDK21" s="16"/>
      <c r="PDL21" s="2185"/>
      <c r="PDM21" s="16"/>
      <c r="PDN21" s="2185"/>
      <c r="PDO21" s="16"/>
      <c r="PDP21" s="2185"/>
      <c r="PDQ21" s="16"/>
      <c r="PDR21" s="2185"/>
      <c r="PDS21" s="16"/>
      <c r="PDT21" s="2185"/>
      <c r="PDU21" s="16"/>
      <c r="PDV21" s="2185"/>
      <c r="PDW21" s="16"/>
      <c r="PDX21" s="2185"/>
      <c r="PDY21" s="16"/>
      <c r="PDZ21" s="2185"/>
      <c r="PEA21" s="16"/>
      <c r="PEB21" s="2185"/>
      <c r="PEC21" s="16"/>
      <c r="PED21" s="2185"/>
      <c r="PEE21" s="16"/>
      <c r="PEF21" s="2185"/>
      <c r="PEG21" s="16"/>
      <c r="PEH21" s="2185"/>
      <c r="PEI21" s="16"/>
      <c r="PEJ21" s="2185"/>
      <c r="PEK21" s="16"/>
      <c r="PEL21" s="2185"/>
      <c r="PEM21" s="16"/>
      <c r="PEN21" s="2185"/>
      <c r="PEO21" s="16"/>
      <c r="PEP21" s="2185"/>
      <c r="PEQ21" s="16"/>
      <c r="PER21" s="2185"/>
      <c r="PES21" s="16"/>
      <c r="PET21" s="2185"/>
      <c r="PEU21" s="16"/>
      <c r="PEV21" s="2185"/>
      <c r="PEW21" s="16"/>
      <c r="PEX21" s="2185"/>
      <c r="PEY21" s="16"/>
      <c r="PEZ21" s="2185"/>
      <c r="PFA21" s="16"/>
      <c r="PFB21" s="2185"/>
      <c r="PFC21" s="16"/>
      <c r="PFD21" s="2185"/>
      <c r="PFE21" s="16"/>
      <c r="PFF21" s="2185"/>
      <c r="PFG21" s="16"/>
      <c r="PFH21" s="2185"/>
      <c r="PFI21" s="16"/>
      <c r="PFJ21" s="2185"/>
      <c r="PFK21" s="16"/>
      <c r="PFL21" s="2185"/>
      <c r="PFM21" s="16"/>
      <c r="PFN21" s="2185"/>
      <c r="PFO21" s="16"/>
      <c r="PFP21" s="2185"/>
      <c r="PFQ21" s="16"/>
      <c r="PFR21" s="2185"/>
      <c r="PFS21" s="16"/>
      <c r="PFT21" s="2185"/>
      <c r="PFU21" s="16"/>
      <c r="PFV21" s="2185"/>
      <c r="PFW21" s="16"/>
      <c r="PFX21" s="2185"/>
      <c r="PFY21" s="16"/>
      <c r="PFZ21" s="2185"/>
      <c r="PGA21" s="16"/>
      <c r="PGB21" s="2185"/>
      <c r="PGC21" s="16"/>
      <c r="PGD21" s="2185"/>
      <c r="PGE21" s="16"/>
      <c r="PGF21" s="2185"/>
      <c r="PGG21" s="16"/>
      <c r="PGH21" s="2185"/>
      <c r="PGI21" s="16"/>
      <c r="PGJ21" s="2185"/>
      <c r="PGK21" s="16"/>
      <c r="PGL21" s="2185"/>
      <c r="PGM21" s="16"/>
      <c r="PGN21" s="2185"/>
      <c r="PGO21" s="16"/>
      <c r="PGP21" s="2185"/>
      <c r="PGQ21" s="16"/>
      <c r="PGR21" s="2185"/>
      <c r="PGS21" s="16"/>
      <c r="PGT21" s="2185"/>
      <c r="PGU21" s="16"/>
      <c r="PGV21" s="2185"/>
      <c r="PGW21" s="16"/>
      <c r="PGX21" s="2185"/>
      <c r="PGY21" s="16"/>
      <c r="PGZ21" s="2185"/>
      <c r="PHA21" s="16"/>
      <c r="PHB21" s="2185"/>
      <c r="PHC21" s="16"/>
      <c r="PHD21" s="2185"/>
      <c r="PHE21" s="16"/>
      <c r="PHF21" s="2185"/>
      <c r="PHG21" s="16"/>
      <c r="PHH21" s="2185"/>
      <c r="PHI21" s="16"/>
      <c r="PHJ21" s="2185"/>
      <c r="PHK21" s="16"/>
      <c r="PHL21" s="2185"/>
      <c r="PHM21" s="16"/>
      <c r="PHN21" s="2185"/>
      <c r="PHO21" s="16"/>
      <c r="PHP21" s="2185"/>
      <c r="PHQ21" s="16"/>
      <c r="PHR21" s="2185"/>
      <c r="PHS21" s="16"/>
      <c r="PHT21" s="2185"/>
      <c r="PHU21" s="16"/>
      <c r="PHV21" s="2185"/>
      <c r="PHW21" s="16"/>
      <c r="PHX21" s="2185"/>
      <c r="PHY21" s="16"/>
      <c r="PHZ21" s="2185"/>
      <c r="PIA21" s="16"/>
      <c r="PIB21" s="2185"/>
      <c r="PIC21" s="16"/>
      <c r="PID21" s="2185"/>
      <c r="PIE21" s="16"/>
      <c r="PIF21" s="2185"/>
      <c r="PIG21" s="16"/>
      <c r="PIH21" s="2185"/>
      <c r="PII21" s="16"/>
      <c r="PIJ21" s="2185"/>
      <c r="PIK21" s="16"/>
      <c r="PIL21" s="2185"/>
      <c r="PIM21" s="16"/>
      <c r="PIN21" s="2185"/>
      <c r="PIO21" s="16"/>
      <c r="PIP21" s="2185"/>
      <c r="PIQ21" s="16"/>
      <c r="PIR21" s="2185"/>
      <c r="PIS21" s="16"/>
      <c r="PIT21" s="2185"/>
      <c r="PIU21" s="16"/>
      <c r="PIV21" s="2185"/>
      <c r="PIW21" s="16"/>
      <c r="PIX21" s="2185"/>
      <c r="PIY21" s="16"/>
      <c r="PIZ21" s="2185"/>
      <c r="PJA21" s="16"/>
      <c r="PJB21" s="2185"/>
      <c r="PJC21" s="16"/>
      <c r="PJD21" s="2185"/>
      <c r="PJE21" s="16"/>
      <c r="PJF21" s="2185"/>
      <c r="PJG21" s="16"/>
      <c r="PJH21" s="2185"/>
      <c r="PJI21" s="16"/>
      <c r="PJJ21" s="2185"/>
      <c r="PJK21" s="16"/>
      <c r="PJL21" s="2185"/>
      <c r="PJM21" s="16"/>
      <c r="PJN21" s="2185"/>
      <c r="PJO21" s="16"/>
      <c r="PJP21" s="2185"/>
      <c r="PJQ21" s="16"/>
      <c r="PJR21" s="2185"/>
      <c r="PJS21" s="16"/>
      <c r="PJT21" s="2185"/>
      <c r="PJU21" s="16"/>
      <c r="PJV21" s="2185"/>
      <c r="PJW21" s="16"/>
      <c r="PJX21" s="2185"/>
      <c r="PJY21" s="16"/>
      <c r="PJZ21" s="2185"/>
      <c r="PKA21" s="16"/>
      <c r="PKB21" s="2185"/>
      <c r="PKC21" s="16"/>
      <c r="PKD21" s="2185"/>
      <c r="PKE21" s="16"/>
      <c r="PKF21" s="2185"/>
      <c r="PKG21" s="16"/>
      <c r="PKH21" s="2185"/>
      <c r="PKI21" s="16"/>
      <c r="PKJ21" s="2185"/>
      <c r="PKK21" s="16"/>
      <c r="PKL21" s="2185"/>
      <c r="PKM21" s="16"/>
      <c r="PKN21" s="2185"/>
      <c r="PKO21" s="16"/>
      <c r="PKP21" s="2185"/>
      <c r="PKQ21" s="16"/>
      <c r="PKR21" s="2185"/>
      <c r="PKS21" s="16"/>
      <c r="PKT21" s="2185"/>
      <c r="PKU21" s="16"/>
      <c r="PKV21" s="2185"/>
      <c r="PKW21" s="16"/>
      <c r="PKX21" s="2185"/>
      <c r="PKY21" s="16"/>
      <c r="PKZ21" s="2185"/>
      <c r="PLA21" s="16"/>
      <c r="PLB21" s="2185"/>
      <c r="PLC21" s="16"/>
      <c r="PLD21" s="2185"/>
      <c r="PLE21" s="16"/>
      <c r="PLF21" s="2185"/>
      <c r="PLG21" s="16"/>
      <c r="PLH21" s="2185"/>
      <c r="PLI21" s="16"/>
      <c r="PLJ21" s="2185"/>
      <c r="PLK21" s="16"/>
      <c r="PLL21" s="2185"/>
      <c r="PLM21" s="16"/>
      <c r="PLN21" s="2185"/>
      <c r="PLO21" s="16"/>
      <c r="PLP21" s="2185"/>
      <c r="PLQ21" s="16"/>
      <c r="PLR21" s="2185"/>
      <c r="PLS21" s="16"/>
      <c r="PLT21" s="2185"/>
      <c r="PLU21" s="16"/>
      <c r="PLV21" s="2185"/>
      <c r="PLW21" s="16"/>
      <c r="PLX21" s="2185"/>
      <c r="PLY21" s="16"/>
      <c r="PLZ21" s="2185"/>
      <c r="PMA21" s="16"/>
      <c r="PMB21" s="2185"/>
      <c r="PMC21" s="16"/>
      <c r="PMD21" s="2185"/>
      <c r="PME21" s="16"/>
      <c r="PMF21" s="2185"/>
      <c r="PMG21" s="16"/>
      <c r="PMH21" s="2185"/>
      <c r="PMI21" s="16"/>
      <c r="PMJ21" s="2185"/>
      <c r="PMK21" s="16"/>
      <c r="PML21" s="2185"/>
      <c r="PMM21" s="16"/>
      <c r="PMN21" s="2185"/>
      <c r="PMO21" s="16"/>
      <c r="PMP21" s="2185"/>
      <c r="PMQ21" s="16"/>
      <c r="PMR21" s="2185"/>
      <c r="PMS21" s="16"/>
      <c r="PMT21" s="2185"/>
      <c r="PMU21" s="16"/>
      <c r="PMV21" s="2185"/>
      <c r="PMW21" s="16"/>
      <c r="PMX21" s="2185"/>
      <c r="PMY21" s="16"/>
      <c r="PMZ21" s="2185"/>
      <c r="PNA21" s="16"/>
      <c r="PNB21" s="2185"/>
      <c r="PNC21" s="16"/>
      <c r="PND21" s="2185"/>
      <c r="PNE21" s="16"/>
      <c r="PNF21" s="2185"/>
      <c r="PNG21" s="16"/>
      <c r="PNH21" s="2185"/>
      <c r="PNI21" s="16"/>
      <c r="PNJ21" s="2185"/>
      <c r="PNK21" s="16"/>
      <c r="PNL21" s="2185"/>
      <c r="PNM21" s="16"/>
      <c r="PNN21" s="2185"/>
      <c r="PNO21" s="16"/>
      <c r="PNP21" s="2185"/>
      <c r="PNQ21" s="16"/>
      <c r="PNR21" s="2185"/>
      <c r="PNS21" s="16"/>
      <c r="PNT21" s="2185"/>
      <c r="PNU21" s="16"/>
      <c r="PNV21" s="2185"/>
      <c r="PNW21" s="16"/>
      <c r="PNX21" s="2185"/>
      <c r="PNY21" s="16"/>
      <c r="PNZ21" s="2185"/>
      <c r="POA21" s="16"/>
      <c r="POB21" s="2185"/>
      <c r="POC21" s="16"/>
      <c r="POD21" s="2185"/>
      <c r="POE21" s="16"/>
      <c r="POF21" s="2185"/>
      <c r="POG21" s="16"/>
      <c r="POH21" s="2185"/>
      <c r="POI21" s="16"/>
      <c r="POJ21" s="2185"/>
      <c r="POK21" s="16"/>
      <c r="POL21" s="2185"/>
      <c r="POM21" s="16"/>
      <c r="PON21" s="2185"/>
      <c r="POO21" s="16"/>
      <c r="POP21" s="2185"/>
      <c r="POQ21" s="16"/>
      <c r="POR21" s="2185"/>
      <c r="POS21" s="16"/>
      <c r="POT21" s="2185"/>
      <c r="POU21" s="16"/>
      <c r="POV21" s="2185"/>
      <c r="POW21" s="16"/>
      <c r="POX21" s="2185"/>
      <c r="POY21" s="16"/>
      <c r="POZ21" s="2185"/>
      <c r="PPA21" s="16"/>
      <c r="PPB21" s="2185"/>
      <c r="PPC21" s="16"/>
      <c r="PPD21" s="2185"/>
      <c r="PPE21" s="16"/>
      <c r="PPF21" s="2185"/>
      <c r="PPG21" s="16"/>
      <c r="PPH21" s="2185"/>
      <c r="PPI21" s="16"/>
      <c r="PPJ21" s="2185"/>
      <c r="PPK21" s="16"/>
      <c r="PPL21" s="2185"/>
      <c r="PPM21" s="16"/>
      <c r="PPN21" s="2185"/>
      <c r="PPO21" s="16"/>
      <c r="PPP21" s="2185"/>
      <c r="PPQ21" s="16"/>
      <c r="PPR21" s="2185"/>
      <c r="PPS21" s="16"/>
      <c r="PPT21" s="2185"/>
      <c r="PPU21" s="16"/>
      <c r="PPV21" s="2185"/>
      <c r="PPW21" s="16"/>
      <c r="PPX21" s="2185"/>
      <c r="PPY21" s="16"/>
      <c r="PPZ21" s="2185"/>
      <c r="PQA21" s="16"/>
      <c r="PQB21" s="2185"/>
      <c r="PQC21" s="16"/>
      <c r="PQD21" s="2185"/>
      <c r="PQE21" s="16"/>
      <c r="PQF21" s="2185"/>
      <c r="PQG21" s="16"/>
      <c r="PQH21" s="2185"/>
      <c r="PQI21" s="16"/>
      <c r="PQJ21" s="2185"/>
      <c r="PQK21" s="16"/>
      <c r="PQL21" s="2185"/>
      <c r="PQM21" s="16"/>
      <c r="PQN21" s="2185"/>
      <c r="PQO21" s="16"/>
      <c r="PQP21" s="2185"/>
      <c r="PQQ21" s="16"/>
      <c r="PQR21" s="2185"/>
      <c r="PQS21" s="16"/>
      <c r="PQT21" s="2185"/>
      <c r="PQU21" s="16"/>
      <c r="PQV21" s="2185"/>
      <c r="PQW21" s="16"/>
      <c r="PQX21" s="2185"/>
      <c r="PQY21" s="16"/>
      <c r="PQZ21" s="2185"/>
      <c r="PRA21" s="16"/>
      <c r="PRB21" s="2185"/>
      <c r="PRC21" s="16"/>
      <c r="PRD21" s="2185"/>
      <c r="PRE21" s="16"/>
      <c r="PRF21" s="2185"/>
      <c r="PRG21" s="16"/>
      <c r="PRH21" s="2185"/>
      <c r="PRI21" s="16"/>
      <c r="PRJ21" s="2185"/>
      <c r="PRK21" s="16"/>
      <c r="PRL21" s="2185"/>
      <c r="PRM21" s="16"/>
      <c r="PRN21" s="2185"/>
      <c r="PRO21" s="16"/>
      <c r="PRP21" s="2185"/>
      <c r="PRQ21" s="16"/>
      <c r="PRR21" s="2185"/>
      <c r="PRS21" s="16"/>
      <c r="PRT21" s="2185"/>
      <c r="PRU21" s="16"/>
      <c r="PRV21" s="2185"/>
      <c r="PRW21" s="16"/>
      <c r="PRX21" s="2185"/>
      <c r="PRY21" s="16"/>
      <c r="PRZ21" s="2185"/>
      <c r="PSA21" s="16"/>
      <c r="PSB21" s="2185"/>
      <c r="PSC21" s="16"/>
      <c r="PSD21" s="2185"/>
      <c r="PSE21" s="16"/>
      <c r="PSF21" s="2185"/>
      <c r="PSG21" s="16"/>
      <c r="PSH21" s="2185"/>
      <c r="PSI21" s="16"/>
      <c r="PSJ21" s="2185"/>
      <c r="PSK21" s="16"/>
      <c r="PSL21" s="2185"/>
      <c r="PSM21" s="16"/>
      <c r="PSN21" s="2185"/>
      <c r="PSO21" s="16"/>
      <c r="PSP21" s="2185"/>
      <c r="PSQ21" s="16"/>
      <c r="PSR21" s="2185"/>
      <c r="PSS21" s="16"/>
      <c r="PST21" s="2185"/>
      <c r="PSU21" s="16"/>
      <c r="PSV21" s="2185"/>
      <c r="PSW21" s="16"/>
      <c r="PSX21" s="2185"/>
      <c r="PSY21" s="16"/>
      <c r="PSZ21" s="2185"/>
      <c r="PTA21" s="16"/>
      <c r="PTB21" s="2185"/>
      <c r="PTC21" s="16"/>
      <c r="PTD21" s="2185"/>
      <c r="PTE21" s="16"/>
      <c r="PTF21" s="2185"/>
      <c r="PTG21" s="16"/>
      <c r="PTH21" s="2185"/>
      <c r="PTI21" s="16"/>
      <c r="PTJ21" s="2185"/>
      <c r="PTK21" s="16"/>
      <c r="PTL21" s="2185"/>
      <c r="PTM21" s="16"/>
      <c r="PTN21" s="2185"/>
      <c r="PTO21" s="16"/>
      <c r="PTP21" s="2185"/>
      <c r="PTQ21" s="16"/>
      <c r="PTR21" s="2185"/>
      <c r="PTS21" s="16"/>
      <c r="PTT21" s="2185"/>
      <c r="PTU21" s="16"/>
      <c r="PTV21" s="2185"/>
      <c r="PTW21" s="16"/>
      <c r="PTX21" s="2185"/>
      <c r="PTY21" s="16"/>
      <c r="PTZ21" s="2185"/>
      <c r="PUA21" s="16"/>
      <c r="PUB21" s="2185"/>
      <c r="PUC21" s="16"/>
      <c r="PUD21" s="2185"/>
      <c r="PUE21" s="16"/>
      <c r="PUF21" s="2185"/>
      <c r="PUG21" s="16"/>
      <c r="PUH21" s="2185"/>
      <c r="PUI21" s="16"/>
      <c r="PUJ21" s="2185"/>
      <c r="PUK21" s="16"/>
      <c r="PUL21" s="2185"/>
      <c r="PUM21" s="16"/>
      <c r="PUN21" s="2185"/>
      <c r="PUO21" s="16"/>
      <c r="PUP21" s="2185"/>
      <c r="PUQ21" s="16"/>
      <c r="PUR21" s="2185"/>
      <c r="PUS21" s="16"/>
      <c r="PUT21" s="2185"/>
      <c r="PUU21" s="16"/>
      <c r="PUV21" s="2185"/>
      <c r="PUW21" s="16"/>
      <c r="PUX21" s="2185"/>
      <c r="PUY21" s="16"/>
      <c r="PUZ21" s="2185"/>
      <c r="PVA21" s="16"/>
      <c r="PVB21" s="2185"/>
      <c r="PVC21" s="16"/>
      <c r="PVD21" s="2185"/>
      <c r="PVE21" s="16"/>
      <c r="PVF21" s="2185"/>
      <c r="PVG21" s="16"/>
      <c r="PVH21" s="2185"/>
      <c r="PVI21" s="16"/>
      <c r="PVJ21" s="2185"/>
      <c r="PVK21" s="16"/>
      <c r="PVL21" s="2185"/>
      <c r="PVM21" s="16"/>
      <c r="PVN21" s="2185"/>
      <c r="PVO21" s="16"/>
      <c r="PVP21" s="2185"/>
      <c r="PVQ21" s="16"/>
      <c r="PVR21" s="2185"/>
      <c r="PVS21" s="16"/>
      <c r="PVT21" s="2185"/>
      <c r="PVU21" s="16"/>
      <c r="PVV21" s="2185"/>
      <c r="PVW21" s="16"/>
      <c r="PVX21" s="2185"/>
      <c r="PVY21" s="16"/>
      <c r="PVZ21" s="2185"/>
      <c r="PWA21" s="16"/>
      <c r="PWB21" s="2185"/>
      <c r="PWC21" s="16"/>
      <c r="PWD21" s="2185"/>
      <c r="PWE21" s="16"/>
      <c r="PWF21" s="2185"/>
      <c r="PWG21" s="16"/>
      <c r="PWH21" s="2185"/>
      <c r="PWI21" s="16"/>
      <c r="PWJ21" s="2185"/>
      <c r="PWK21" s="16"/>
      <c r="PWL21" s="2185"/>
      <c r="PWM21" s="16"/>
      <c r="PWN21" s="2185"/>
      <c r="PWO21" s="16"/>
      <c r="PWP21" s="2185"/>
      <c r="PWQ21" s="16"/>
      <c r="PWR21" s="2185"/>
      <c r="PWS21" s="16"/>
      <c r="PWT21" s="2185"/>
      <c r="PWU21" s="16"/>
      <c r="PWV21" s="2185"/>
      <c r="PWW21" s="16"/>
      <c r="PWX21" s="2185"/>
      <c r="PWY21" s="16"/>
      <c r="PWZ21" s="2185"/>
      <c r="PXA21" s="16"/>
      <c r="PXB21" s="2185"/>
      <c r="PXC21" s="16"/>
      <c r="PXD21" s="2185"/>
      <c r="PXE21" s="16"/>
      <c r="PXF21" s="2185"/>
      <c r="PXG21" s="16"/>
      <c r="PXH21" s="2185"/>
      <c r="PXI21" s="16"/>
      <c r="PXJ21" s="2185"/>
      <c r="PXK21" s="16"/>
      <c r="PXL21" s="2185"/>
      <c r="PXM21" s="16"/>
      <c r="PXN21" s="2185"/>
      <c r="PXO21" s="16"/>
      <c r="PXP21" s="2185"/>
      <c r="PXQ21" s="16"/>
      <c r="PXR21" s="2185"/>
      <c r="PXS21" s="16"/>
      <c r="PXT21" s="2185"/>
      <c r="PXU21" s="16"/>
      <c r="PXV21" s="2185"/>
      <c r="PXW21" s="16"/>
      <c r="PXX21" s="2185"/>
      <c r="PXY21" s="16"/>
      <c r="PXZ21" s="2185"/>
      <c r="PYA21" s="16"/>
      <c r="PYB21" s="2185"/>
      <c r="PYC21" s="16"/>
      <c r="PYD21" s="2185"/>
      <c r="PYE21" s="16"/>
      <c r="PYF21" s="2185"/>
      <c r="PYG21" s="16"/>
      <c r="PYH21" s="2185"/>
      <c r="PYI21" s="16"/>
      <c r="PYJ21" s="2185"/>
      <c r="PYK21" s="16"/>
      <c r="PYL21" s="2185"/>
      <c r="PYM21" s="16"/>
      <c r="PYN21" s="2185"/>
      <c r="PYO21" s="16"/>
      <c r="PYP21" s="2185"/>
      <c r="PYQ21" s="16"/>
      <c r="PYR21" s="2185"/>
      <c r="PYS21" s="16"/>
      <c r="PYT21" s="2185"/>
      <c r="PYU21" s="16"/>
      <c r="PYV21" s="2185"/>
      <c r="PYW21" s="16"/>
      <c r="PYX21" s="2185"/>
      <c r="PYY21" s="16"/>
      <c r="PYZ21" s="2185"/>
      <c r="PZA21" s="16"/>
      <c r="PZB21" s="2185"/>
      <c r="PZC21" s="16"/>
      <c r="PZD21" s="2185"/>
      <c r="PZE21" s="16"/>
      <c r="PZF21" s="2185"/>
      <c r="PZG21" s="16"/>
      <c r="PZH21" s="2185"/>
      <c r="PZI21" s="16"/>
      <c r="PZJ21" s="2185"/>
      <c r="PZK21" s="16"/>
      <c r="PZL21" s="2185"/>
      <c r="PZM21" s="16"/>
      <c r="PZN21" s="2185"/>
      <c r="PZO21" s="16"/>
      <c r="PZP21" s="2185"/>
      <c r="PZQ21" s="16"/>
      <c r="PZR21" s="2185"/>
      <c r="PZS21" s="16"/>
      <c r="PZT21" s="2185"/>
      <c r="PZU21" s="16"/>
      <c r="PZV21" s="2185"/>
      <c r="PZW21" s="16"/>
      <c r="PZX21" s="2185"/>
      <c r="PZY21" s="16"/>
      <c r="PZZ21" s="2185"/>
      <c r="QAA21" s="16"/>
      <c r="QAB21" s="2185"/>
      <c r="QAC21" s="16"/>
      <c r="QAD21" s="2185"/>
      <c r="QAE21" s="16"/>
      <c r="QAF21" s="2185"/>
      <c r="QAG21" s="16"/>
      <c r="QAH21" s="2185"/>
      <c r="QAI21" s="16"/>
      <c r="QAJ21" s="2185"/>
      <c r="QAK21" s="16"/>
      <c r="QAL21" s="2185"/>
      <c r="QAM21" s="16"/>
      <c r="QAN21" s="2185"/>
      <c r="QAO21" s="16"/>
      <c r="QAP21" s="2185"/>
      <c r="QAQ21" s="16"/>
      <c r="QAR21" s="2185"/>
      <c r="QAS21" s="16"/>
      <c r="QAT21" s="2185"/>
      <c r="QAU21" s="16"/>
      <c r="QAV21" s="2185"/>
      <c r="QAW21" s="16"/>
      <c r="QAX21" s="2185"/>
      <c r="QAY21" s="16"/>
      <c r="QAZ21" s="2185"/>
      <c r="QBA21" s="16"/>
      <c r="QBB21" s="2185"/>
      <c r="QBC21" s="16"/>
      <c r="QBD21" s="2185"/>
      <c r="QBE21" s="16"/>
      <c r="QBF21" s="2185"/>
      <c r="QBG21" s="16"/>
      <c r="QBH21" s="2185"/>
      <c r="QBI21" s="16"/>
      <c r="QBJ21" s="2185"/>
      <c r="QBK21" s="16"/>
      <c r="QBL21" s="2185"/>
      <c r="QBM21" s="16"/>
      <c r="QBN21" s="2185"/>
      <c r="QBO21" s="16"/>
      <c r="QBP21" s="2185"/>
      <c r="QBQ21" s="16"/>
      <c r="QBR21" s="2185"/>
      <c r="QBS21" s="16"/>
      <c r="QBT21" s="2185"/>
      <c r="QBU21" s="16"/>
      <c r="QBV21" s="2185"/>
      <c r="QBW21" s="16"/>
      <c r="QBX21" s="2185"/>
      <c r="QBY21" s="16"/>
      <c r="QBZ21" s="2185"/>
      <c r="QCA21" s="16"/>
      <c r="QCB21" s="2185"/>
      <c r="QCC21" s="16"/>
      <c r="QCD21" s="2185"/>
      <c r="QCE21" s="16"/>
      <c r="QCF21" s="2185"/>
      <c r="QCG21" s="16"/>
      <c r="QCH21" s="2185"/>
      <c r="QCI21" s="16"/>
      <c r="QCJ21" s="2185"/>
      <c r="QCK21" s="16"/>
      <c r="QCL21" s="2185"/>
      <c r="QCM21" s="16"/>
      <c r="QCN21" s="2185"/>
      <c r="QCO21" s="16"/>
      <c r="QCP21" s="2185"/>
      <c r="QCQ21" s="16"/>
      <c r="QCR21" s="2185"/>
      <c r="QCS21" s="16"/>
      <c r="QCT21" s="2185"/>
      <c r="QCU21" s="16"/>
      <c r="QCV21" s="2185"/>
      <c r="QCW21" s="16"/>
      <c r="QCX21" s="2185"/>
      <c r="QCY21" s="16"/>
      <c r="QCZ21" s="2185"/>
      <c r="QDA21" s="16"/>
      <c r="QDB21" s="2185"/>
      <c r="QDC21" s="16"/>
      <c r="QDD21" s="2185"/>
      <c r="QDE21" s="16"/>
      <c r="QDF21" s="2185"/>
      <c r="QDG21" s="16"/>
      <c r="QDH21" s="2185"/>
      <c r="QDI21" s="16"/>
      <c r="QDJ21" s="2185"/>
      <c r="QDK21" s="16"/>
      <c r="QDL21" s="2185"/>
      <c r="QDM21" s="16"/>
      <c r="QDN21" s="2185"/>
      <c r="QDO21" s="16"/>
      <c r="QDP21" s="2185"/>
      <c r="QDQ21" s="16"/>
      <c r="QDR21" s="2185"/>
      <c r="QDS21" s="16"/>
      <c r="QDT21" s="2185"/>
      <c r="QDU21" s="16"/>
      <c r="QDV21" s="2185"/>
      <c r="QDW21" s="16"/>
      <c r="QDX21" s="2185"/>
      <c r="QDY21" s="16"/>
      <c r="QDZ21" s="2185"/>
      <c r="QEA21" s="16"/>
      <c r="QEB21" s="2185"/>
      <c r="QEC21" s="16"/>
      <c r="QED21" s="2185"/>
      <c r="QEE21" s="16"/>
      <c r="QEF21" s="2185"/>
      <c r="QEG21" s="16"/>
      <c r="QEH21" s="2185"/>
      <c r="QEI21" s="16"/>
      <c r="QEJ21" s="2185"/>
      <c r="QEK21" s="16"/>
      <c r="QEL21" s="2185"/>
      <c r="QEM21" s="16"/>
      <c r="QEN21" s="2185"/>
      <c r="QEO21" s="16"/>
      <c r="QEP21" s="2185"/>
      <c r="QEQ21" s="16"/>
      <c r="QER21" s="2185"/>
      <c r="QES21" s="16"/>
      <c r="QET21" s="2185"/>
      <c r="QEU21" s="16"/>
      <c r="QEV21" s="2185"/>
      <c r="QEW21" s="16"/>
      <c r="QEX21" s="2185"/>
      <c r="QEY21" s="16"/>
      <c r="QEZ21" s="2185"/>
      <c r="QFA21" s="16"/>
      <c r="QFB21" s="2185"/>
      <c r="QFC21" s="16"/>
      <c r="QFD21" s="2185"/>
      <c r="QFE21" s="16"/>
      <c r="QFF21" s="2185"/>
      <c r="QFG21" s="16"/>
      <c r="QFH21" s="2185"/>
      <c r="QFI21" s="16"/>
      <c r="QFJ21" s="2185"/>
      <c r="QFK21" s="16"/>
      <c r="QFL21" s="2185"/>
      <c r="QFM21" s="16"/>
      <c r="QFN21" s="2185"/>
      <c r="QFO21" s="16"/>
      <c r="QFP21" s="2185"/>
      <c r="QFQ21" s="16"/>
      <c r="QFR21" s="2185"/>
      <c r="QFS21" s="16"/>
      <c r="QFT21" s="2185"/>
      <c r="QFU21" s="16"/>
      <c r="QFV21" s="2185"/>
      <c r="QFW21" s="16"/>
      <c r="QFX21" s="2185"/>
      <c r="QFY21" s="16"/>
      <c r="QFZ21" s="2185"/>
      <c r="QGA21" s="16"/>
      <c r="QGB21" s="2185"/>
      <c r="QGC21" s="16"/>
      <c r="QGD21" s="2185"/>
      <c r="QGE21" s="16"/>
      <c r="QGF21" s="2185"/>
      <c r="QGG21" s="16"/>
      <c r="QGH21" s="2185"/>
      <c r="QGI21" s="16"/>
      <c r="QGJ21" s="2185"/>
      <c r="QGK21" s="16"/>
      <c r="QGL21" s="2185"/>
      <c r="QGM21" s="16"/>
      <c r="QGN21" s="2185"/>
      <c r="QGO21" s="16"/>
      <c r="QGP21" s="2185"/>
      <c r="QGQ21" s="16"/>
      <c r="QGR21" s="2185"/>
      <c r="QGS21" s="16"/>
      <c r="QGT21" s="2185"/>
      <c r="QGU21" s="16"/>
      <c r="QGV21" s="2185"/>
      <c r="QGW21" s="16"/>
      <c r="QGX21" s="2185"/>
      <c r="QGY21" s="16"/>
      <c r="QGZ21" s="2185"/>
      <c r="QHA21" s="16"/>
      <c r="QHB21" s="2185"/>
      <c r="QHC21" s="16"/>
      <c r="QHD21" s="2185"/>
      <c r="QHE21" s="16"/>
      <c r="QHF21" s="2185"/>
      <c r="QHG21" s="16"/>
      <c r="QHH21" s="2185"/>
      <c r="QHI21" s="16"/>
      <c r="QHJ21" s="2185"/>
      <c r="QHK21" s="16"/>
      <c r="QHL21" s="2185"/>
      <c r="QHM21" s="16"/>
      <c r="QHN21" s="2185"/>
      <c r="QHO21" s="16"/>
      <c r="QHP21" s="2185"/>
      <c r="QHQ21" s="16"/>
      <c r="QHR21" s="2185"/>
      <c r="QHS21" s="16"/>
      <c r="QHT21" s="2185"/>
      <c r="QHU21" s="16"/>
      <c r="QHV21" s="2185"/>
      <c r="QHW21" s="16"/>
      <c r="QHX21" s="2185"/>
      <c r="QHY21" s="16"/>
      <c r="QHZ21" s="2185"/>
      <c r="QIA21" s="16"/>
      <c r="QIB21" s="2185"/>
      <c r="QIC21" s="16"/>
      <c r="QID21" s="2185"/>
      <c r="QIE21" s="16"/>
      <c r="QIF21" s="2185"/>
      <c r="QIG21" s="16"/>
      <c r="QIH21" s="2185"/>
      <c r="QII21" s="16"/>
      <c r="QIJ21" s="2185"/>
      <c r="QIK21" s="16"/>
      <c r="QIL21" s="2185"/>
      <c r="QIM21" s="16"/>
      <c r="QIN21" s="2185"/>
      <c r="QIO21" s="16"/>
      <c r="QIP21" s="2185"/>
      <c r="QIQ21" s="16"/>
      <c r="QIR21" s="2185"/>
      <c r="QIS21" s="16"/>
      <c r="QIT21" s="2185"/>
      <c r="QIU21" s="16"/>
      <c r="QIV21" s="2185"/>
      <c r="QIW21" s="16"/>
      <c r="QIX21" s="2185"/>
      <c r="QIY21" s="16"/>
      <c r="QIZ21" s="2185"/>
      <c r="QJA21" s="16"/>
      <c r="QJB21" s="2185"/>
      <c r="QJC21" s="16"/>
      <c r="QJD21" s="2185"/>
      <c r="QJE21" s="16"/>
      <c r="QJF21" s="2185"/>
      <c r="QJG21" s="16"/>
      <c r="QJH21" s="2185"/>
      <c r="QJI21" s="16"/>
      <c r="QJJ21" s="2185"/>
      <c r="QJK21" s="16"/>
      <c r="QJL21" s="2185"/>
      <c r="QJM21" s="16"/>
      <c r="QJN21" s="2185"/>
      <c r="QJO21" s="16"/>
      <c r="QJP21" s="2185"/>
      <c r="QJQ21" s="16"/>
      <c r="QJR21" s="2185"/>
      <c r="QJS21" s="16"/>
      <c r="QJT21" s="2185"/>
      <c r="QJU21" s="16"/>
      <c r="QJV21" s="2185"/>
      <c r="QJW21" s="16"/>
      <c r="QJX21" s="2185"/>
      <c r="QJY21" s="16"/>
      <c r="QJZ21" s="2185"/>
      <c r="QKA21" s="16"/>
      <c r="QKB21" s="2185"/>
      <c r="QKC21" s="16"/>
      <c r="QKD21" s="2185"/>
      <c r="QKE21" s="16"/>
      <c r="QKF21" s="2185"/>
      <c r="QKG21" s="16"/>
      <c r="QKH21" s="2185"/>
      <c r="QKI21" s="16"/>
      <c r="QKJ21" s="2185"/>
      <c r="QKK21" s="16"/>
      <c r="QKL21" s="2185"/>
      <c r="QKM21" s="16"/>
      <c r="QKN21" s="2185"/>
      <c r="QKO21" s="16"/>
      <c r="QKP21" s="2185"/>
      <c r="QKQ21" s="16"/>
      <c r="QKR21" s="2185"/>
      <c r="QKS21" s="16"/>
      <c r="QKT21" s="2185"/>
      <c r="QKU21" s="16"/>
      <c r="QKV21" s="2185"/>
      <c r="QKW21" s="16"/>
      <c r="QKX21" s="2185"/>
      <c r="QKY21" s="16"/>
      <c r="QKZ21" s="2185"/>
      <c r="QLA21" s="16"/>
      <c r="QLB21" s="2185"/>
      <c r="QLC21" s="16"/>
      <c r="QLD21" s="2185"/>
      <c r="QLE21" s="16"/>
      <c r="QLF21" s="2185"/>
      <c r="QLG21" s="16"/>
      <c r="QLH21" s="2185"/>
      <c r="QLI21" s="16"/>
      <c r="QLJ21" s="2185"/>
      <c r="QLK21" s="16"/>
      <c r="QLL21" s="2185"/>
      <c r="QLM21" s="16"/>
      <c r="QLN21" s="2185"/>
      <c r="QLO21" s="16"/>
      <c r="QLP21" s="2185"/>
      <c r="QLQ21" s="16"/>
      <c r="QLR21" s="2185"/>
      <c r="QLS21" s="16"/>
      <c r="QLT21" s="2185"/>
      <c r="QLU21" s="16"/>
      <c r="QLV21" s="2185"/>
      <c r="QLW21" s="16"/>
      <c r="QLX21" s="2185"/>
      <c r="QLY21" s="16"/>
      <c r="QLZ21" s="2185"/>
      <c r="QMA21" s="16"/>
      <c r="QMB21" s="2185"/>
      <c r="QMC21" s="16"/>
      <c r="QMD21" s="2185"/>
      <c r="QME21" s="16"/>
      <c r="QMF21" s="2185"/>
      <c r="QMG21" s="16"/>
      <c r="QMH21" s="2185"/>
      <c r="QMI21" s="16"/>
      <c r="QMJ21" s="2185"/>
      <c r="QMK21" s="16"/>
      <c r="QML21" s="2185"/>
      <c r="QMM21" s="16"/>
      <c r="QMN21" s="2185"/>
      <c r="QMO21" s="16"/>
      <c r="QMP21" s="2185"/>
      <c r="QMQ21" s="16"/>
      <c r="QMR21" s="2185"/>
      <c r="QMS21" s="16"/>
      <c r="QMT21" s="2185"/>
      <c r="QMU21" s="16"/>
      <c r="QMV21" s="2185"/>
      <c r="QMW21" s="16"/>
      <c r="QMX21" s="2185"/>
      <c r="QMY21" s="16"/>
      <c r="QMZ21" s="2185"/>
      <c r="QNA21" s="16"/>
      <c r="QNB21" s="2185"/>
      <c r="QNC21" s="16"/>
      <c r="QND21" s="2185"/>
      <c r="QNE21" s="16"/>
      <c r="QNF21" s="2185"/>
      <c r="QNG21" s="16"/>
      <c r="QNH21" s="2185"/>
      <c r="QNI21" s="16"/>
      <c r="QNJ21" s="2185"/>
      <c r="QNK21" s="16"/>
      <c r="QNL21" s="2185"/>
      <c r="QNM21" s="16"/>
      <c r="QNN21" s="2185"/>
      <c r="QNO21" s="16"/>
      <c r="QNP21" s="2185"/>
      <c r="QNQ21" s="16"/>
      <c r="QNR21" s="2185"/>
      <c r="QNS21" s="16"/>
      <c r="QNT21" s="2185"/>
      <c r="QNU21" s="16"/>
      <c r="QNV21" s="2185"/>
      <c r="QNW21" s="16"/>
      <c r="QNX21" s="2185"/>
      <c r="QNY21" s="16"/>
      <c r="QNZ21" s="2185"/>
      <c r="QOA21" s="16"/>
      <c r="QOB21" s="2185"/>
      <c r="QOC21" s="16"/>
      <c r="QOD21" s="2185"/>
      <c r="QOE21" s="16"/>
      <c r="QOF21" s="2185"/>
      <c r="QOG21" s="16"/>
      <c r="QOH21" s="2185"/>
      <c r="QOI21" s="16"/>
      <c r="QOJ21" s="2185"/>
      <c r="QOK21" s="16"/>
      <c r="QOL21" s="2185"/>
      <c r="QOM21" s="16"/>
      <c r="QON21" s="2185"/>
      <c r="QOO21" s="16"/>
      <c r="QOP21" s="2185"/>
      <c r="QOQ21" s="16"/>
      <c r="QOR21" s="2185"/>
      <c r="QOS21" s="16"/>
      <c r="QOT21" s="2185"/>
      <c r="QOU21" s="16"/>
      <c r="QOV21" s="2185"/>
      <c r="QOW21" s="16"/>
      <c r="QOX21" s="2185"/>
      <c r="QOY21" s="16"/>
      <c r="QOZ21" s="2185"/>
      <c r="QPA21" s="16"/>
      <c r="QPB21" s="2185"/>
      <c r="QPC21" s="16"/>
      <c r="QPD21" s="2185"/>
      <c r="QPE21" s="16"/>
      <c r="QPF21" s="2185"/>
      <c r="QPG21" s="16"/>
      <c r="QPH21" s="2185"/>
      <c r="QPI21" s="16"/>
      <c r="QPJ21" s="2185"/>
      <c r="QPK21" s="16"/>
      <c r="QPL21" s="2185"/>
      <c r="QPM21" s="16"/>
      <c r="QPN21" s="2185"/>
      <c r="QPO21" s="16"/>
      <c r="QPP21" s="2185"/>
      <c r="QPQ21" s="16"/>
      <c r="QPR21" s="2185"/>
      <c r="QPS21" s="16"/>
      <c r="QPT21" s="2185"/>
      <c r="QPU21" s="16"/>
      <c r="QPV21" s="2185"/>
      <c r="QPW21" s="16"/>
      <c r="QPX21" s="2185"/>
      <c r="QPY21" s="16"/>
      <c r="QPZ21" s="2185"/>
      <c r="QQA21" s="16"/>
      <c r="QQB21" s="2185"/>
      <c r="QQC21" s="16"/>
      <c r="QQD21" s="2185"/>
      <c r="QQE21" s="16"/>
      <c r="QQF21" s="2185"/>
      <c r="QQG21" s="16"/>
      <c r="QQH21" s="2185"/>
      <c r="QQI21" s="16"/>
      <c r="QQJ21" s="2185"/>
      <c r="QQK21" s="16"/>
      <c r="QQL21" s="2185"/>
      <c r="QQM21" s="16"/>
      <c r="QQN21" s="2185"/>
      <c r="QQO21" s="16"/>
      <c r="QQP21" s="2185"/>
      <c r="QQQ21" s="16"/>
      <c r="QQR21" s="2185"/>
      <c r="QQS21" s="16"/>
      <c r="QQT21" s="2185"/>
      <c r="QQU21" s="16"/>
      <c r="QQV21" s="2185"/>
      <c r="QQW21" s="16"/>
      <c r="QQX21" s="2185"/>
      <c r="QQY21" s="16"/>
      <c r="QQZ21" s="2185"/>
      <c r="QRA21" s="16"/>
      <c r="QRB21" s="2185"/>
      <c r="QRC21" s="16"/>
      <c r="QRD21" s="2185"/>
      <c r="QRE21" s="16"/>
      <c r="QRF21" s="2185"/>
      <c r="QRG21" s="16"/>
      <c r="QRH21" s="2185"/>
      <c r="QRI21" s="16"/>
      <c r="QRJ21" s="2185"/>
      <c r="QRK21" s="16"/>
      <c r="QRL21" s="2185"/>
      <c r="QRM21" s="16"/>
      <c r="QRN21" s="2185"/>
      <c r="QRO21" s="16"/>
      <c r="QRP21" s="2185"/>
      <c r="QRQ21" s="16"/>
      <c r="QRR21" s="2185"/>
      <c r="QRS21" s="16"/>
      <c r="QRT21" s="2185"/>
      <c r="QRU21" s="16"/>
      <c r="QRV21" s="2185"/>
      <c r="QRW21" s="16"/>
      <c r="QRX21" s="2185"/>
      <c r="QRY21" s="16"/>
      <c r="QRZ21" s="2185"/>
      <c r="QSA21" s="16"/>
      <c r="QSB21" s="2185"/>
      <c r="QSC21" s="16"/>
      <c r="QSD21" s="2185"/>
      <c r="QSE21" s="16"/>
      <c r="QSF21" s="2185"/>
      <c r="QSG21" s="16"/>
      <c r="QSH21" s="2185"/>
      <c r="QSI21" s="16"/>
      <c r="QSJ21" s="2185"/>
      <c r="QSK21" s="16"/>
      <c r="QSL21" s="2185"/>
      <c r="QSM21" s="16"/>
      <c r="QSN21" s="2185"/>
      <c r="QSO21" s="16"/>
      <c r="QSP21" s="2185"/>
      <c r="QSQ21" s="16"/>
      <c r="QSR21" s="2185"/>
      <c r="QSS21" s="16"/>
      <c r="QST21" s="2185"/>
      <c r="QSU21" s="16"/>
      <c r="QSV21" s="2185"/>
      <c r="QSW21" s="16"/>
      <c r="QSX21" s="2185"/>
      <c r="QSY21" s="16"/>
      <c r="QSZ21" s="2185"/>
      <c r="QTA21" s="16"/>
      <c r="QTB21" s="2185"/>
      <c r="QTC21" s="16"/>
      <c r="QTD21" s="2185"/>
      <c r="QTE21" s="16"/>
      <c r="QTF21" s="2185"/>
      <c r="QTG21" s="16"/>
      <c r="QTH21" s="2185"/>
      <c r="QTI21" s="16"/>
      <c r="QTJ21" s="2185"/>
      <c r="QTK21" s="16"/>
      <c r="QTL21" s="2185"/>
      <c r="QTM21" s="16"/>
      <c r="QTN21" s="2185"/>
      <c r="QTO21" s="16"/>
      <c r="QTP21" s="2185"/>
      <c r="QTQ21" s="16"/>
      <c r="QTR21" s="2185"/>
      <c r="QTS21" s="16"/>
      <c r="QTT21" s="2185"/>
      <c r="QTU21" s="16"/>
      <c r="QTV21" s="2185"/>
      <c r="QTW21" s="16"/>
      <c r="QTX21" s="2185"/>
      <c r="QTY21" s="16"/>
      <c r="QTZ21" s="2185"/>
      <c r="QUA21" s="16"/>
      <c r="QUB21" s="2185"/>
      <c r="QUC21" s="16"/>
      <c r="QUD21" s="2185"/>
      <c r="QUE21" s="16"/>
      <c r="QUF21" s="2185"/>
      <c r="QUG21" s="16"/>
      <c r="QUH21" s="2185"/>
      <c r="QUI21" s="16"/>
      <c r="QUJ21" s="2185"/>
      <c r="QUK21" s="16"/>
      <c r="QUL21" s="2185"/>
      <c r="QUM21" s="16"/>
      <c r="QUN21" s="2185"/>
      <c r="QUO21" s="16"/>
      <c r="QUP21" s="2185"/>
      <c r="QUQ21" s="16"/>
      <c r="QUR21" s="2185"/>
      <c r="QUS21" s="16"/>
      <c r="QUT21" s="2185"/>
      <c r="QUU21" s="16"/>
      <c r="QUV21" s="2185"/>
      <c r="QUW21" s="16"/>
      <c r="QUX21" s="2185"/>
      <c r="QUY21" s="16"/>
      <c r="QUZ21" s="2185"/>
      <c r="QVA21" s="16"/>
      <c r="QVB21" s="2185"/>
      <c r="QVC21" s="16"/>
      <c r="QVD21" s="2185"/>
      <c r="QVE21" s="16"/>
      <c r="QVF21" s="2185"/>
      <c r="QVG21" s="16"/>
      <c r="QVH21" s="2185"/>
      <c r="QVI21" s="16"/>
      <c r="QVJ21" s="2185"/>
      <c r="QVK21" s="16"/>
      <c r="QVL21" s="2185"/>
      <c r="QVM21" s="16"/>
      <c r="QVN21" s="2185"/>
      <c r="QVO21" s="16"/>
      <c r="QVP21" s="2185"/>
      <c r="QVQ21" s="16"/>
      <c r="QVR21" s="2185"/>
      <c r="QVS21" s="16"/>
      <c r="QVT21" s="2185"/>
      <c r="QVU21" s="16"/>
      <c r="QVV21" s="2185"/>
      <c r="QVW21" s="16"/>
      <c r="QVX21" s="2185"/>
      <c r="QVY21" s="16"/>
      <c r="QVZ21" s="2185"/>
      <c r="QWA21" s="16"/>
      <c r="QWB21" s="2185"/>
      <c r="QWC21" s="16"/>
      <c r="QWD21" s="2185"/>
      <c r="QWE21" s="16"/>
      <c r="QWF21" s="2185"/>
      <c r="QWG21" s="16"/>
      <c r="QWH21" s="2185"/>
      <c r="QWI21" s="16"/>
      <c r="QWJ21" s="2185"/>
      <c r="QWK21" s="16"/>
      <c r="QWL21" s="2185"/>
      <c r="QWM21" s="16"/>
      <c r="QWN21" s="2185"/>
      <c r="QWO21" s="16"/>
      <c r="QWP21" s="2185"/>
      <c r="QWQ21" s="16"/>
      <c r="QWR21" s="2185"/>
      <c r="QWS21" s="16"/>
      <c r="QWT21" s="2185"/>
      <c r="QWU21" s="16"/>
      <c r="QWV21" s="2185"/>
      <c r="QWW21" s="16"/>
      <c r="QWX21" s="2185"/>
      <c r="QWY21" s="16"/>
      <c r="QWZ21" s="2185"/>
      <c r="QXA21" s="16"/>
      <c r="QXB21" s="2185"/>
      <c r="QXC21" s="16"/>
      <c r="QXD21" s="2185"/>
      <c r="QXE21" s="16"/>
      <c r="QXF21" s="2185"/>
      <c r="QXG21" s="16"/>
      <c r="QXH21" s="2185"/>
      <c r="QXI21" s="16"/>
      <c r="QXJ21" s="2185"/>
      <c r="QXK21" s="16"/>
      <c r="QXL21" s="2185"/>
      <c r="QXM21" s="16"/>
      <c r="QXN21" s="2185"/>
      <c r="QXO21" s="16"/>
      <c r="QXP21" s="2185"/>
      <c r="QXQ21" s="16"/>
      <c r="QXR21" s="2185"/>
      <c r="QXS21" s="16"/>
      <c r="QXT21" s="2185"/>
      <c r="QXU21" s="16"/>
      <c r="QXV21" s="2185"/>
      <c r="QXW21" s="16"/>
      <c r="QXX21" s="2185"/>
      <c r="QXY21" s="16"/>
      <c r="QXZ21" s="2185"/>
      <c r="QYA21" s="16"/>
      <c r="QYB21" s="2185"/>
      <c r="QYC21" s="16"/>
      <c r="QYD21" s="2185"/>
      <c r="QYE21" s="16"/>
      <c r="QYF21" s="2185"/>
      <c r="QYG21" s="16"/>
      <c r="QYH21" s="2185"/>
      <c r="QYI21" s="16"/>
      <c r="QYJ21" s="2185"/>
      <c r="QYK21" s="16"/>
      <c r="QYL21" s="2185"/>
      <c r="QYM21" s="16"/>
      <c r="QYN21" s="2185"/>
      <c r="QYO21" s="16"/>
      <c r="QYP21" s="2185"/>
      <c r="QYQ21" s="16"/>
      <c r="QYR21" s="2185"/>
      <c r="QYS21" s="16"/>
      <c r="QYT21" s="2185"/>
      <c r="QYU21" s="16"/>
      <c r="QYV21" s="2185"/>
      <c r="QYW21" s="16"/>
      <c r="QYX21" s="2185"/>
      <c r="QYY21" s="16"/>
      <c r="QYZ21" s="2185"/>
      <c r="QZA21" s="16"/>
      <c r="QZB21" s="2185"/>
      <c r="QZC21" s="16"/>
      <c r="QZD21" s="2185"/>
      <c r="QZE21" s="16"/>
      <c r="QZF21" s="2185"/>
      <c r="QZG21" s="16"/>
      <c r="QZH21" s="2185"/>
      <c r="QZI21" s="16"/>
      <c r="QZJ21" s="2185"/>
      <c r="QZK21" s="16"/>
      <c r="QZL21" s="2185"/>
      <c r="QZM21" s="16"/>
      <c r="QZN21" s="2185"/>
      <c r="QZO21" s="16"/>
      <c r="QZP21" s="2185"/>
      <c r="QZQ21" s="16"/>
      <c r="QZR21" s="2185"/>
      <c r="QZS21" s="16"/>
      <c r="QZT21" s="2185"/>
      <c r="QZU21" s="16"/>
      <c r="QZV21" s="2185"/>
      <c r="QZW21" s="16"/>
      <c r="QZX21" s="2185"/>
      <c r="QZY21" s="16"/>
      <c r="QZZ21" s="2185"/>
      <c r="RAA21" s="16"/>
      <c r="RAB21" s="2185"/>
      <c r="RAC21" s="16"/>
      <c r="RAD21" s="2185"/>
      <c r="RAE21" s="16"/>
      <c r="RAF21" s="2185"/>
      <c r="RAG21" s="16"/>
      <c r="RAH21" s="2185"/>
      <c r="RAI21" s="16"/>
      <c r="RAJ21" s="2185"/>
      <c r="RAK21" s="16"/>
      <c r="RAL21" s="2185"/>
      <c r="RAM21" s="16"/>
      <c r="RAN21" s="2185"/>
      <c r="RAO21" s="16"/>
      <c r="RAP21" s="2185"/>
      <c r="RAQ21" s="16"/>
      <c r="RAR21" s="2185"/>
      <c r="RAS21" s="16"/>
      <c r="RAT21" s="2185"/>
      <c r="RAU21" s="16"/>
      <c r="RAV21" s="2185"/>
      <c r="RAW21" s="16"/>
      <c r="RAX21" s="2185"/>
      <c r="RAY21" s="16"/>
      <c r="RAZ21" s="2185"/>
      <c r="RBA21" s="16"/>
      <c r="RBB21" s="2185"/>
      <c r="RBC21" s="16"/>
      <c r="RBD21" s="2185"/>
      <c r="RBE21" s="16"/>
      <c r="RBF21" s="2185"/>
      <c r="RBG21" s="16"/>
      <c r="RBH21" s="2185"/>
      <c r="RBI21" s="16"/>
      <c r="RBJ21" s="2185"/>
      <c r="RBK21" s="16"/>
      <c r="RBL21" s="2185"/>
      <c r="RBM21" s="16"/>
      <c r="RBN21" s="2185"/>
      <c r="RBO21" s="16"/>
      <c r="RBP21" s="2185"/>
      <c r="RBQ21" s="16"/>
      <c r="RBR21" s="2185"/>
      <c r="RBS21" s="16"/>
      <c r="RBT21" s="2185"/>
      <c r="RBU21" s="16"/>
      <c r="RBV21" s="2185"/>
      <c r="RBW21" s="16"/>
      <c r="RBX21" s="2185"/>
      <c r="RBY21" s="16"/>
      <c r="RBZ21" s="2185"/>
      <c r="RCA21" s="16"/>
      <c r="RCB21" s="2185"/>
      <c r="RCC21" s="16"/>
      <c r="RCD21" s="2185"/>
      <c r="RCE21" s="16"/>
      <c r="RCF21" s="2185"/>
      <c r="RCG21" s="16"/>
      <c r="RCH21" s="2185"/>
      <c r="RCI21" s="16"/>
      <c r="RCJ21" s="2185"/>
      <c r="RCK21" s="16"/>
      <c r="RCL21" s="2185"/>
      <c r="RCM21" s="16"/>
      <c r="RCN21" s="2185"/>
      <c r="RCO21" s="16"/>
      <c r="RCP21" s="2185"/>
      <c r="RCQ21" s="16"/>
      <c r="RCR21" s="2185"/>
      <c r="RCS21" s="16"/>
      <c r="RCT21" s="2185"/>
      <c r="RCU21" s="16"/>
      <c r="RCV21" s="2185"/>
      <c r="RCW21" s="16"/>
      <c r="RCX21" s="2185"/>
      <c r="RCY21" s="16"/>
      <c r="RCZ21" s="2185"/>
      <c r="RDA21" s="16"/>
      <c r="RDB21" s="2185"/>
      <c r="RDC21" s="16"/>
      <c r="RDD21" s="2185"/>
      <c r="RDE21" s="16"/>
      <c r="RDF21" s="2185"/>
      <c r="RDG21" s="16"/>
      <c r="RDH21" s="2185"/>
      <c r="RDI21" s="16"/>
      <c r="RDJ21" s="2185"/>
      <c r="RDK21" s="16"/>
      <c r="RDL21" s="2185"/>
      <c r="RDM21" s="16"/>
      <c r="RDN21" s="2185"/>
      <c r="RDO21" s="16"/>
      <c r="RDP21" s="2185"/>
      <c r="RDQ21" s="16"/>
      <c r="RDR21" s="2185"/>
      <c r="RDS21" s="16"/>
      <c r="RDT21" s="2185"/>
      <c r="RDU21" s="16"/>
      <c r="RDV21" s="2185"/>
      <c r="RDW21" s="16"/>
      <c r="RDX21" s="2185"/>
      <c r="RDY21" s="16"/>
      <c r="RDZ21" s="2185"/>
      <c r="REA21" s="16"/>
      <c r="REB21" s="2185"/>
      <c r="REC21" s="16"/>
      <c r="RED21" s="2185"/>
      <c r="REE21" s="16"/>
      <c r="REF21" s="2185"/>
      <c r="REG21" s="16"/>
      <c r="REH21" s="2185"/>
      <c r="REI21" s="16"/>
      <c r="REJ21" s="2185"/>
      <c r="REK21" s="16"/>
      <c r="REL21" s="2185"/>
      <c r="REM21" s="16"/>
      <c r="REN21" s="2185"/>
      <c r="REO21" s="16"/>
      <c r="REP21" s="2185"/>
      <c r="REQ21" s="16"/>
      <c r="RER21" s="2185"/>
      <c r="RES21" s="16"/>
      <c r="RET21" s="2185"/>
      <c r="REU21" s="16"/>
      <c r="REV21" s="2185"/>
      <c r="REW21" s="16"/>
      <c r="REX21" s="2185"/>
      <c r="REY21" s="16"/>
      <c r="REZ21" s="2185"/>
      <c r="RFA21" s="16"/>
      <c r="RFB21" s="2185"/>
      <c r="RFC21" s="16"/>
      <c r="RFD21" s="2185"/>
      <c r="RFE21" s="16"/>
      <c r="RFF21" s="2185"/>
      <c r="RFG21" s="16"/>
      <c r="RFH21" s="2185"/>
      <c r="RFI21" s="16"/>
      <c r="RFJ21" s="2185"/>
      <c r="RFK21" s="16"/>
      <c r="RFL21" s="2185"/>
      <c r="RFM21" s="16"/>
      <c r="RFN21" s="2185"/>
      <c r="RFO21" s="16"/>
      <c r="RFP21" s="2185"/>
      <c r="RFQ21" s="16"/>
      <c r="RFR21" s="2185"/>
      <c r="RFS21" s="16"/>
      <c r="RFT21" s="2185"/>
      <c r="RFU21" s="16"/>
      <c r="RFV21" s="2185"/>
      <c r="RFW21" s="16"/>
      <c r="RFX21" s="2185"/>
      <c r="RFY21" s="16"/>
      <c r="RFZ21" s="2185"/>
      <c r="RGA21" s="16"/>
      <c r="RGB21" s="2185"/>
      <c r="RGC21" s="16"/>
      <c r="RGD21" s="2185"/>
      <c r="RGE21" s="16"/>
      <c r="RGF21" s="2185"/>
      <c r="RGG21" s="16"/>
      <c r="RGH21" s="2185"/>
      <c r="RGI21" s="16"/>
      <c r="RGJ21" s="2185"/>
      <c r="RGK21" s="16"/>
      <c r="RGL21" s="2185"/>
      <c r="RGM21" s="16"/>
      <c r="RGN21" s="2185"/>
      <c r="RGO21" s="16"/>
      <c r="RGP21" s="2185"/>
      <c r="RGQ21" s="16"/>
      <c r="RGR21" s="2185"/>
      <c r="RGS21" s="16"/>
      <c r="RGT21" s="2185"/>
      <c r="RGU21" s="16"/>
      <c r="RGV21" s="2185"/>
      <c r="RGW21" s="16"/>
      <c r="RGX21" s="2185"/>
      <c r="RGY21" s="16"/>
      <c r="RGZ21" s="2185"/>
      <c r="RHA21" s="16"/>
      <c r="RHB21" s="2185"/>
      <c r="RHC21" s="16"/>
      <c r="RHD21" s="2185"/>
      <c r="RHE21" s="16"/>
      <c r="RHF21" s="2185"/>
      <c r="RHG21" s="16"/>
      <c r="RHH21" s="2185"/>
      <c r="RHI21" s="16"/>
      <c r="RHJ21" s="2185"/>
      <c r="RHK21" s="16"/>
      <c r="RHL21" s="2185"/>
      <c r="RHM21" s="16"/>
      <c r="RHN21" s="2185"/>
      <c r="RHO21" s="16"/>
      <c r="RHP21" s="2185"/>
      <c r="RHQ21" s="16"/>
      <c r="RHR21" s="2185"/>
      <c r="RHS21" s="16"/>
      <c r="RHT21" s="2185"/>
      <c r="RHU21" s="16"/>
      <c r="RHV21" s="2185"/>
      <c r="RHW21" s="16"/>
      <c r="RHX21" s="2185"/>
      <c r="RHY21" s="16"/>
      <c r="RHZ21" s="2185"/>
      <c r="RIA21" s="16"/>
      <c r="RIB21" s="2185"/>
      <c r="RIC21" s="16"/>
      <c r="RID21" s="2185"/>
      <c r="RIE21" s="16"/>
      <c r="RIF21" s="2185"/>
      <c r="RIG21" s="16"/>
      <c r="RIH21" s="2185"/>
      <c r="RII21" s="16"/>
      <c r="RIJ21" s="2185"/>
      <c r="RIK21" s="16"/>
      <c r="RIL21" s="2185"/>
      <c r="RIM21" s="16"/>
      <c r="RIN21" s="2185"/>
      <c r="RIO21" s="16"/>
      <c r="RIP21" s="2185"/>
      <c r="RIQ21" s="16"/>
      <c r="RIR21" s="2185"/>
      <c r="RIS21" s="16"/>
      <c r="RIT21" s="2185"/>
      <c r="RIU21" s="16"/>
      <c r="RIV21" s="2185"/>
      <c r="RIW21" s="16"/>
      <c r="RIX21" s="2185"/>
      <c r="RIY21" s="16"/>
      <c r="RIZ21" s="2185"/>
      <c r="RJA21" s="16"/>
      <c r="RJB21" s="2185"/>
      <c r="RJC21" s="16"/>
      <c r="RJD21" s="2185"/>
      <c r="RJE21" s="16"/>
      <c r="RJF21" s="2185"/>
      <c r="RJG21" s="16"/>
      <c r="RJH21" s="2185"/>
      <c r="RJI21" s="16"/>
      <c r="RJJ21" s="2185"/>
      <c r="RJK21" s="16"/>
      <c r="RJL21" s="2185"/>
      <c r="RJM21" s="16"/>
      <c r="RJN21" s="2185"/>
      <c r="RJO21" s="16"/>
      <c r="RJP21" s="2185"/>
      <c r="RJQ21" s="16"/>
      <c r="RJR21" s="2185"/>
      <c r="RJS21" s="16"/>
      <c r="RJT21" s="2185"/>
      <c r="RJU21" s="16"/>
      <c r="RJV21" s="2185"/>
      <c r="RJW21" s="16"/>
      <c r="RJX21" s="2185"/>
      <c r="RJY21" s="16"/>
      <c r="RJZ21" s="2185"/>
      <c r="RKA21" s="16"/>
      <c r="RKB21" s="2185"/>
      <c r="RKC21" s="16"/>
      <c r="RKD21" s="2185"/>
      <c r="RKE21" s="16"/>
      <c r="RKF21" s="2185"/>
      <c r="RKG21" s="16"/>
      <c r="RKH21" s="2185"/>
      <c r="RKI21" s="16"/>
      <c r="RKJ21" s="2185"/>
      <c r="RKK21" s="16"/>
      <c r="RKL21" s="2185"/>
      <c r="RKM21" s="16"/>
      <c r="RKN21" s="2185"/>
      <c r="RKO21" s="16"/>
      <c r="RKP21" s="2185"/>
      <c r="RKQ21" s="16"/>
      <c r="RKR21" s="2185"/>
      <c r="RKS21" s="16"/>
      <c r="RKT21" s="2185"/>
      <c r="RKU21" s="16"/>
      <c r="RKV21" s="2185"/>
      <c r="RKW21" s="16"/>
      <c r="RKX21" s="2185"/>
      <c r="RKY21" s="16"/>
      <c r="RKZ21" s="2185"/>
      <c r="RLA21" s="16"/>
      <c r="RLB21" s="2185"/>
      <c r="RLC21" s="16"/>
      <c r="RLD21" s="2185"/>
      <c r="RLE21" s="16"/>
      <c r="RLF21" s="2185"/>
      <c r="RLG21" s="16"/>
      <c r="RLH21" s="2185"/>
      <c r="RLI21" s="16"/>
      <c r="RLJ21" s="2185"/>
      <c r="RLK21" s="16"/>
      <c r="RLL21" s="2185"/>
      <c r="RLM21" s="16"/>
      <c r="RLN21" s="2185"/>
      <c r="RLO21" s="16"/>
      <c r="RLP21" s="2185"/>
      <c r="RLQ21" s="16"/>
      <c r="RLR21" s="2185"/>
      <c r="RLS21" s="16"/>
      <c r="RLT21" s="2185"/>
      <c r="RLU21" s="16"/>
      <c r="RLV21" s="2185"/>
      <c r="RLW21" s="16"/>
      <c r="RLX21" s="2185"/>
      <c r="RLY21" s="16"/>
      <c r="RLZ21" s="2185"/>
      <c r="RMA21" s="16"/>
      <c r="RMB21" s="2185"/>
      <c r="RMC21" s="16"/>
      <c r="RMD21" s="2185"/>
      <c r="RME21" s="16"/>
      <c r="RMF21" s="2185"/>
      <c r="RMG21" s="16"/>
      <c r="RMH21" s="2185"/>
      <c r="RMI21" s="16"/>
      <c r="RMJ21" s="2185"/>
      <c r="RMK21" s="16"/>
      <c r="RML21" s="2185"/>
      <c r="RMM21" s="16"/>
      <c r="RMN21" s="2185"/>
      <c r="RMO21" s="16"/>
      <c r="RMP21" s="2185"/>
      <c r="RMQ21" s="16"/>
      <c r="RMR21" s="2185"/>
      <c r="RMS21" s="16"/>
      <c r="RMT21" s="2185"/>
      <c r="RMU21" s="16"/>
      <c r="RMV21" s="2185"/>
      <c r="RMW21" s="16"/>
      <c r="RMX21" s="2185"/>
      <c r="RMY21" s="16"/>
      <c r="RMZ21" s="2185"/>
      <c r="RNA21" s="16"/>
      <c r="RNB21" s="2185"/>
      <c r="RNC21" s="16"/>
      <c r="RND21" s="2185"/>
      <c r="RNE21" s="16"/>
      <c r="RNF21" s="2185"/>
      <c r="RNG21" s="16"/>
      <c r="RNH21" s="2185"/>
      <c r="RNI21" s="16"/>
      <c r="RNJ21" s="2185"/>
      <c r="RNK21" s="16"/>
      <c r="RNL21" s="2185"/>
      <c r="RNM21" s="16"/>
      <c r="RNN21" s="2185"/>
      <c r="RNO21" s="16"/>
      <c r="RNP21" s="2185"/>
      <c r="RNQ21" s="16"/>
      <c r="RNR21" s="2185"/>
      <c r="RNS21" s="16"/>
      <c r="RNT21" s="2185"/>
      <c r="RNU21" s="16"/>
      <c r="RNV21" s="2185"/>
      <c r="RNW21" s="16"/>
      <c r="RNX21" s="2185"/>
      <c r="RNY21" s="16"/>
      <c r="RNZ21" s="2185"/>
      <c r="ROA21" s="16"/>
      <c r="ROB21" s="2185"/>
      <c r="ROC21" s="16"/>
      <c r="ROD21" s="2185"/>
      <c r="ROE21" s="16"/>
      <c r="ROF21" s="2185"/>
      <c r="ROG21" s="16"/>
      <c r="ROH21" s="2185"/>
      <c r="ROI21" s="16"/>
      <c r="ROJ21" s="2185"/>
      <c r="ROK21" s="16"/>
      <c r="ROL21" s="2185"/>
      <c r="ROM21" s="16"/>
      <c r="RON21" s="2185"/>
      <c r="ROO21" s="16"/>
      <c r="ROP21" s="2185"/>
      <c r="ROQ21" s="16"/>
      <c r="ROR21" s="2185"/>
      <c r="ROS21" s="16"/>
      <c r="ROT21" s="2185"/>
      <c r="ROU21" s="16"/>
      <c r="ROV21" s="2185"/>
      <c r="ROW21" s="16"/>
      <c r="ROX21" s="2185"/>
      <c r="ROY21" s="16"/>
      <c r="ROZ21" s="2185"/>
      <c r="RPA21" s="16"/>
      <c r="RPB21" s="2185"/>
      <c r="RPC21" s="16"/>
      <c r="RPD21" s="2185"/>
      <c r="RPE21" s="16"/>
      <c r="RPF21" s="2185"/>
      <c r="RPG21" s="16"/>
      <c r="RPH21" s="2185"/>
      <c r="RPI21" s="16"/>
      <c r="RPJ21" s="2185"/>
      <c r="RPK21" s="16"/>
      <c r="RPL21" s="2185"/>
      <c r="RPM21" s="16"/>
      <c r="RPN21" s="2185"/>
      <c r="RPO21" s="16"/>
      <c r="RPP21" s="2185"/>
      <c r="RPQ21" s="16"/>
      <c r="RPR21" s="2185"/>
      <c r="RPS21" s="16"/>
      <c r="RPT21" s="2185"/>
      <c r="RPU21" s="16"/>
      <c r="RPV21" s="2185"/>
      <c r="RPW21" s="16"/>
      <c r="RPX21" s="2185"/>
      <c r="RPY21" s="16"/>
      <c r="RPZ21" s="2185"/>
      <c r="RQA21" s="16"/>
      <c r="RQB21" s="2185"/>
      <c r="RQC21" s="16"/>
      <c r="RQD21" s="2185"/>
      <c r="RQE21" s="16"/>
      <c r="RQF21" s="2185"/>
      <c r="RQG21" s="16"/>
      <c r="RQH21" s="2185"/>
      <c r="RQI21" s="16"/>
      <c r="RQJ21" s="2185"/>
      <c r="RQK21" s="16"/>
      <c r="RQL21" s="2185"/>
      <c r="RQM21" s="16"/>
      <c r="RQN21" s="2185"/>
      <c r="RQO21" s="16"/>
      <c r="RQP21" s="2185"/>
      <c r="RQQ21" s="16"/>
      <c r="RQR21" s="2185"/>
      <c r="RQS21" s="16"/>
      <c r="RQT21" s="2185"/>
      <c r="RQU21" s="16"/>
      <c r="RQV21" s="2185"/>
      <c r="RQW21" s="16"/>
      <c r="RQX21" s="2185"/>
      <c r="RQY21" s="16"/>
      <c r="RQZ21" s="2185"/>
      <c r="RRA21" s="16"/>
      <c r="RRB21" s="2185"/>
      <c r="RRC21" s="16"/>
      <c r="RRD21" s="2185"/>
      <c r="RRE21" s="16"/>
      <c r="RRF21" s="2185"/>
      <c r="RRG21" s="16"/>
      <c r="RRH21" s="2185"/>
      <c r="RRI21" s="16"/>
      <c r="RRJ21" s="2185"/>
      <c r="RRK21" s="16"/>
      <c r="RRL21" s="2185"/>
      <c r="RRM21" s="16"/>
      <c r="RRN21" s="2185"/>
      <c r="RRO21" s="16"/>
      <c r="RRP21" s="2185"/>
      <c r="RRQ21" s="16"/>
      <c r="RRR21" s="2185"/>
      <c r="RRS21" s="16"/>
      <c r="RRT21" s="2185"/>
      <c r="RRU21" s="16"/>
      <c r="RRV21" s="2185"/>
      <c r="RRW21" s="16"/>
      <c r="RRX21" s="2185"/>
      <c r="RRY21" s="16"/>
      <c r="RRZ21" s="2185"/>
      <c r="RSA21" s="16"/>
      <c r="RSB21" s="2185"/>
      <c r="RSC21" s="16"/>
      <c r="RSD21" s="2185"/>
      <c r="RSE21" s="16"/>
      <c r="RSF21" s="2185"/>
      <c r="RSG21" s="16"/>
      <c r="RSH21" s="2185"/>
      <c r="RSI21" s="16"/>
      <c r="RSJ21" s="2185"/>
      <c r="RSK21" s="16"/>
      <c r="RSL21" s="2185"/>
      <c r="RSM21" s="16"/>
      <c r="RSN21" s="2185"/>
      <c r="RSO21" s="16"/>
      <c r="RSP21" s="2185"/>
      <c r="RSQ21" s="16"/>
      <c r="RSR21" s="2185"/>
      <c r="RSS21" s="16"/>
      <c r="RST21" s="2185"/>
      <c r="RSU21" s="16"/>
      <c r="RSV21" s="2185"/>
      <c r="RSW21" s="16"/>
      <c r="RSX21" s="2185"/>
      <c r="RSY21" s="16"/>
      <c r="RSZ21" s="2185"/>
      <c r="RTA21" s="16"/>
      <c r="RTB21" s="2185"/>
      <c r="RTC21" s="16"/>
      <c r="RTD21" s="2185"/>
      <c r="RTE21" s="16"/>
      <c r="RTF21" s="2185"/>
      <c r="RTG21" s="16"/>
      <c r="RTH21" s="2185"/>
      <c r="RTI21" s="16"/>
      <c r="RTJ21" s="2185"/>
      <c r="RTK21" s="16"/>
      <c r="RTL21" s="2185"/>
      <c r="RTM21" s="16"/>
      <c r="RTN21" s="2185"/>
      <c r="RTO21" s="16"/>
      <c r="RTP21" s="2185"/>
      <c r="RTQ21" s="16"/>
      <c r="RTR21" s="2185"/>
      <c r="RTS21" s="16"/>
      <c r="RTT21" s="2185"/>
      <c r="RTU21" s="16"/>
      <c r="RTV21" s="2185"/>
      <c r="RTW21" s="16"/>
      <c r="RTX21" s="2185"/>
      <c r="RTY21" s="16"/>
      <c r="RTZ21" s="2185"/>
      <c r="RUA21" s="16"/>
      <c r="RUB21" s="2185"/>
      <c r="RUC21" s="16"/>
      <c r="RUD21" s="2185"/>
      <c r="RUE21" s="16"/>
      <c r="RUF21" s="2185"/>
      <c r="RUG21" s="16"/>
      <c r="RUH21" s="2185"/>
      <c r="RUI21" s="16"/>
      <c r="RUJ21" s="2185"/>
      <c r="RUK21" s="16"/>
      <c r="RUL21" s="2185"/>
      <c r="RUM21" s="16"/>
      <c r="RUN21" s="2185"/>
      <c r="RUO21" s="16"/>
      <c r="RUP21" s="2185"/>
      <c r="RUQ21" s="16"/>
      <c r="RUR21" s="2185"/>
      <c r="RUS21" s="16"/>
      <c r="RUT21" s="2185"/>
      <c r="RUU21" s="16"/>
      <c r="RUV21" s="2185"/>
      <c r="RUW21" s="16"/>
      <c r="RUX21" s="2185"/>
      <c r="RUY21" s="16"/>
      <c r="RUZ21" s="2185"/>
      <c r="RVA21" s="16"/>
      <c r="RVB21" s="2185"/>
      <c r="RVC21" s="16"/>
      <c r="RVD21" s="2185"/>
      <c r="RVE21" s="16"/>
      <c r="RVF21" s="2185"/>
      <c r="RVG21" s="16"/>
      <c r="RVH21" s="2185"/>
      <c r="RVI21" s="16"/>
      <c r="RVJ21" s="2185"/>
      <c r="RVK21" s="16"/>
      <c r="RVL21" s="2185"/>
      <c r="RVM21" s="16"/>
      <c r="RVN21" s="2185"/>
      <c r="RVO21" s="16"/>
      <c r="RVP21" s="2185"/>
      <c r="RVQ21" s="16"/>
      <c r="RVR21" s="2185"/>
      <c r="RVS21" s="16"/>
      <c r="RVT21" s="2185"/>
      <c r="RVU21" s="16"/>
      <c r="RVV21" s="2185"/>
      <c r="RVW21" s="16"/>
      <c r="RVX21" s="2185"/>
      <c r="RVY21" s="16"/>
      <c r="RVZ21" s="2185"/>
      <c r="RWA21" s="16"/>
      <c r="RWB21" s="2185"/>
      <c r="RWC21" s="16"/>
      <c r="RWD21" s="2185"/>
      <c r="RWE21" s="16"/>
      <c r="RWF21" s="2185"/>
      <c r="RWG21" s="16"/>
      <c r="RWH21" s="2185"/>
      <c r="RWI21" s="16"/>
      <c r="RWJ21" s="2185"/>
      <c r="RWK21" s="16"/>
      <c r="RWL21" s="2185"/>
      <c r="RWM21" s="16"/>
      <c r="RWN21" s="2185"/>
      <c r="RWO21" s="16"/>
      <c r="RWP21" s="2185"/>
      <c r="RWQ21" s="16"/>
      <c r="RWR21" s="2185"/>
      <c r="RWS21" s="16"/>
      <c r="RWT21" s="2185"/>
      <c r="RWU21" s="16"/>
      <c r="RWV21" s="2185"/>
      <c r="RWW21" s="16"/>
      <c r="RWX21" s="2185"/>
      <c r="RWY21" s="16"/>
      <c r="RWZ21" s="2185"/>
      <c r="RXA21" s="16"/>
      <c r="RXB21" s="2185"/>
      <c r="RXC21" s="16"/>
      <c r="RXD21" s="2185"/>
      <c r="RXE21" s="16"/>
      <c r="RXF21" s="2185"/>
      <c r="RXG21" s="16"/>
      <c r="RXH21" s="2185"/>
      <c r="RXI21" s="16"/>
      <c r="RXJ21" s="2185"/>
      <c r="RXK21" s="16"/>
      <c r="RXL21" s="2185"/>
      <c r="RXM21" s="16"/>
      <c r="RXN21" s="2185"/>
      <c r="RXO21" s="16"/>
      <c r="RXP21" s="2185"/>
      <c r="RXQ21" s="16"/>
      <c r="RXR21" s="2185"/>
      <c r="RXS21" s="16"/>
      <c r="RXT21" s="2185"/>
      <c r="RXU21" s="16"/>
      <c r="RXV21" s="2185"/>
      <c r="RXW21" s="16"/>
      <c r="RXX21" s="2185"/>
      <c r="RXY21" s="16"/>
      <c r="RXZ21" s="2185"/>
      <c r="RYA21" s="16"/>
      <c r="RYB21" s="2185"/>
      <c r="RYC21" s="16"/>
      <c r="RYD21" s="2185"/>
      <c r="RYE21" s="16"/>
      <c r="RYF21" s="2185"/>
      <c r="RYG21" s="16"/>
      <c r="RYH21" s="2185"/>
      <c r="RYI21" s="16"/>
      <c r="RYJ21" s="2185"/>
      <c r="RYK21" s="16"/>
      <c r="RYL21" s="2185"/>
      <c r="RYM21" s="16"/>
      <c r="RYN21" s="2185"/>
      <c r="RYO21" s="16"/>
      <c r="RYP21" s="2185"/>
      <c r="RYQ21" s="16"/>
      <c r="RYR21" s="2185"/>
      <c r="RYS21" s="16"/>
      <c r="RYT21" s="2185"/>
      <c r="RYU21" s="16"/>
      <c r="RYV21" s="2185"/>
      <c r="RYW21" s="16"/>
      <c r="RYX21" s="2185"/>
      <c r="RYY21" s="16"/>
      <c r="RYZ21" s="2185"/>
      <c r="RZA21" s="16"/>
      <c r="RZB21" s="2185"/>
      <c r="RZC21" s="16"/>
      <c r="RZD21" s="2185"/>
      <c r="RZE21" s="16"/>
      <c r="RZF21" s="2185"/>
      <c r="RZG21" s="16"/>
      <c r="RZH21" s="2185"/>
      <c r="RZI21" s="16"/>
      <c r="RZJ21" s="2185"/>
      <c r="RZK21" s="16"/>
      <c r="RZL21" s="2185"/>
      <c r="RZM21" s="16"/>
      <c r="RZN21" s="2185"/>
      <c r="RZO21" s="16"/>
      <c r="RZP21" s="2185"/>
      <c r="RZQ21" s="16"/>
      <c r="RZR21" s="2185"/>
      <c r="RZS21" s="16"/>
      <c r="RZT21" s="2185"/>
      <c r="RZU21" s="16"/>
      <c r="RZV21" s="2185"/>
      <c r="RZW21" s="16"/>
      <c r="RZX21" s="2185"/>
      <c r="RZY21" s="16"/>
      <c r="RZZ21" s="2185"/>
      <c r="SAA21" s="16"/>
      <c r="SAB21" s="2185"/>
      <c r="SAC21" s="16"/>
      <c r="SAD21" s="2185"/>
      <c r="SAE21" s="16"/>
      <c r="SAF21" s="2185"/>
      <c r="SAG21" s="16"/>
      <c r="SAH21" s="2185"/>
      <c r="SAI21" s="16"/>
      <c r="SAJ21" s="2185"/>
      <c r="SAK21" s="16"/>
      <c r="SAL21" s="2185"/>
      <c r="SAM21" s="16"/>
      <c r="SAN21" s="2185"/>
      <c r="SAO21" s="16"/>
      <c r="SAP21" s="2185"/>
      <c r="SAQ21" s="16"/>
      <c r="SAR21" s="2185"/>
      <c r="SAS21" s="16"/>
      <c r="SAT21" s="2185"/>
      <c r="SAU21" s="16"/>
      <c r="SAV21" s="2185"/>
      <c r="SAW21" s="16"/>
      <c r="SAX21" s="2185"/>
      <c r="SAY21" s="16"/>
      <c r="SAZ21" s="2185"/>
      <c r="SBA21" s="16"/>
      <c r="SBB21" s="2185"/>
      <c r="SBC21" s="16"/>
      <c r="SBD21" s="2185"/>
      <c r="SBE21" s="16"/>
      <c r="SBF21" s="2185"/>
      <c r="SBG21" s="16"/>
      <c r="SBH21" s="2185"/>
      <c r="SBI21" s="16"/>
      <c r="SBJ21" s="2185"/>
      <c r="SBK21" s="16"/>
      <c r="SBL21" s="2185"/>
      <c r="SBM21" s="16"/>
      <c r="SBN21" s="2185"/>
      <c r="SBO21" s="16"/>
      <c r="SBP21" s="2185"/>
      <c r="SBQ21" s="16"/>
      <c r="SBR21" s="2185"/>
      <c r="SBS21" s="16"/>
      <c r="SBT21" s="2185"/>
      <c r="SBU21" s="16"/>
      <c r="SBV21" s="2185"/>
      <c r="SBW21" s="16"/>
      <c r="SBX21" s="2185"/>
      <c r="SBY21" s="16"/>
      <c r="SBZ21" s="2185"/>
      <c r="SCA21" s="16"/>
      <c r="SCB21" s="2185"/>
      <c r="SCC21" s="16"/>
      <c r="SCD21" s="2185"/>
      <c r="SCE21" s="16"/>
      <c r="SCF21" s="2185"/>
      <c r="SCG21" s="16"/>
      <c r="SCH21" s="2185"/>
      <c r="SCI21" s="16"/>
      <c r="SCJ21" s="2185"/>
      <c r="SCK21" s="16"/>
      <c r="SCL21" s="2185"/>
      <c r="SCM21" s="16"/>
      <c r="SCN21" s="2185"/>
      <c r="SCO21" s="16"/>
      <c r="SCP21" s="2185"/>
      <c r="SCQ21" s="16"/>
      <c r="SCR21" s="2185"/>
      <c r="SCS21" s="16"/>
      <c r="SCT21" s="2185"/>
      <c r="SCU21" s="16"/>
      <c r="SCV21" s="2185"/>
      <c r="SCW21" s="16"/>
      <c r="SCX21" s="2185"/>
      <c r="SCY21" s="16"/>
      <c r="SCZ21" s="2185"/>
      <c r="SDA21" s="16"/>
      <c r="SDB21" s="2185"/>
      <c r="SDC21" s="16"/>
      <c r="SDD21" s="2185"/>
      <c r="SDE21" s="16"/>
      <c r="SDF21" s="2185"/>
      <c r="SDG21" s="16"/>
      <c r="SDH21" s="2185"/>
      <c r="SDI21" s="16"/>
      <c r="SDJ21" s="2185"/>
      <c r="SDK21" s="16"/>
      <c r="SDL21" s="2185"/>
      <c r="SDM21" s="16"/>
      <c r="SDN21" s="2185"/>
      <c r="SDO21" s="16"/>
      <c r="SDP21" s="2185"/>
      <c r="SDQ21" s="16"/>
      <c r="SDR21" s="2185"/>
      <c r="SDS21" s="16"/>
      <c r="SDT21" s="2185"/>
      <c r="SDU21" s="16"/>
      <c r="SDV21" s="2185"/>
      <c r="SDW21" s="16"/>
      <c r="SDX21" s="2185"/>
      <c r="SDY21" s="16"/>
      <c r="SDZ21" s="2185"/>
      <c r="SEA21" s="16"/>
      <c r="SEB21" s="2185"/>
      <c r="SEC21" s="16"/>
      <c r="SED21" s="2185"/>
      <c r="SEE21" s="16"/>
      <c r="SEF21" s="2185"/>
      <c r="SEG21" s="16"/>
      <c r="SEH21" s="2185"/>
      <c r="SEI21" s="16"/>
      <c r="SEJ21" s="2185"/>
      <c r="SEK21" s="16"/>
      <c r="SEL21" s="2185"/>
      <c r="SEM21" s="16"/>
      <c r="SEN21" s="2185"/>
      <c r="SEO21" s="16"/>
      <c r="SEP21" s="2185"/>
      <c r="SEQ21" s="16"/>
      <c r="SER21" s="2185"/>
      <c r="SES21" s="16"/>
      <c r="SET21" s="2185"/>
      <c r="SEU21" s="16"/>
      <c r="SEV21" s="2185"/>
      <c r="SEW21" s="16"/>
      <c r="SEX21" s="2185"/>
      <c r="SEY21" s="16"/>
      <c r="SEZ21" s="2185"/>
      <c r="SFA21" s="16"/>
      <c r="SFB21" s="2185"/>
      <c r="SFC21" s="16"/>
      <c r="SFD21" s="2185"/>
      <c r="SFE21" s="16"/>
      <c r="SFF21" s="2185"/>
      <c r="SFG21" s="16"/>
      <c r="SFH21" s="2185"/>
      <c r="SFI21" s="16"/>
      <c r="SFJ21" s="2185"/>
      <c r="SFK21" s="16"/>
      <c r="SFL21" s="2185"/>
      <c r="SFM21" s="16"/>
      <c r="SFN21" s="2185"/>
      <c r="SFO21" s="16"/>
      <c r="SFP21" s="2185"/>
      <c r="SFQ21" s="16"/>
      <c r="SFR21" s="2185"/>
      <c r="SFS21" s="16"/>
      <c r="SFT21" s="2185"/>
      <c r="SFU21" s="16"/>
      <c r="SFV21" s="2185"/>
      <c r="SFW21" s="16"/>
      <c r="SFX21" s="2185"/>
      <c r="SFY21" s="16"/>
      <c r="SFZ21" s="2185"/>
      <c r="SGA21" s="16"/>
      <c r="SGB21" s="2185"/>
      <c r="SGC21" s="16"/>
      <c r="SGD21" s="2185"/>
      <c r="SGE21" s="16"/>
      <c r="SGF21" s="2185"/>
      <c r="SGG21" s="16"/>
      <c r="SGH21" s="2185"/>
      <c r="SGI21" s="16"/>
      <c r="SGJ21" s="2185"/>
      <c r="SGK21" s="16"/>
      <c r="SGL21" s="2185"/>
      <c r="SGM21" s="16"/>
      <c r="SGN21" s="2185"/>
      <c r="SGO21" s="16"/>
      <c r="SGP21" s="2185"/>
      <c r="SGQ21" s="16"/>
      <c r="SGR21" s="2185"/>
      <c r="SGS21" s="16"/>
      <c r="SGT21" s="2185"/>
      <c r="SGU21" s="16"/>
      <c r="SGV21" s="2185"/>
      <c r="SGW21" s="16"/>
      <c r="SGX21" s="2185"/>
      <c r="SGY21" s="16"/>
      <c r="SGZ21" s="2185"/>
      <c r="SHA21" s="16"/>
      <c r="SHB21" s="2185"/>
      <c r="SHC21" s="16"/>
      <c r="SHD21" s="2185"/>
      <c r="SHE21" s="16"/>
      <c r="SHF21" s="2185"/>
      <c r="SHG21" s="16"/>
      <c r="SHH21" s="2185"/>
      <c r="SHI21" s="16"/>
      <c r="SHJ21" s="2185"/>
      <c r="SHK21" s="16"/>
      <c r="SHL21" s="2185"/>
      <c r="SHM21" s="16"/>
      <c r="SHN21" s="2185"/>
      <c r="SHO21" s="16"/>
      <c r="SHP21" s="2185"/>
      <c r="SHQ21" s="16"/>
      <c r="SHR21" s="2185"/>
      <c r="SHS21" s="16"/>
      <c r="SHT21" s="2185"/>
      <c r="SHU21" s="16"/>
      <c r="SHV21" s="2185"/>
      <c r="SHW21" s="16"/>
      <c r="SHX21" s="2185"/>
      <c r="SHY21" s="16"/>
      <c r="SHZ21" s="2185"/>
      <c r="SIA21" s="16"/>
      <c r="SIB21" s="2185"/>
      <c r="SIC21" s="16"/>
      <c r="SID21" s="2185"/>
      <c r="SIE21" s="16"/>
      <c r="SIF21" s="2185"/>
      <c r="SIG21" s="16"/>
      <c r="SIH21" s="2185"/>
      <c r="SII21" s="16"/>
      <c r="SIJ21" s="2185"/>
      <c r="SIK21" s="16"/>
      <c r="SIL21" s="2185"/>
      <c r="SIM21" s="16"/>
      <c r="SIN21" s="2185"/>
      <c r="SIO21" s="16"/>
      <c r="SIP21" s="2185"/>
      <c r="SIQ21" s="16"/>
      <c r="SIR21" s="2185"/>
      <c r="SIS21" s="16"/>
      <c r="SIT21" s="2185"/>
      <c r="SIU21" s="16"/>
      <c r="SIV21" s="2185"/>
      <c r="SIW21" s="16"/>
      <c r="SIX21" s="2185"/>
      <c r="SIY21" s="16"/>
      <c r="SIZ21" s="2185"/>
      <c r="SJA21" s="16"/>
      <c r="SJB21" s="2185"/>
      <c r="SJC21" s="16"/>
      <c r="SJD21" s="2185"/>
      <c r="SJE21" s="16"/>
      <c r="SJF21" s="2185"/>
      <c r="SJG21" s="16"/>
      <c r="SJH21" s="2185"/>
      <c r="SJI21" s="16"/>
      <c r="SJJ21" s="2185"/>
      <c r="SJK21" s="16"/>
      <c r="SJL21" s="2185"/>
      <c r="SJM21" s="16"/>
      <c r="SJN21" s="2185"/>
      <c r="SJO21" s="16"/>
      <c r="SJP21" s="2185"/>
      <c r="SJQ21" s="16"/>
      <c r="SJR21" s="2185"/>
      <c r="SJS21" s="16"/>
      <c r="SJT21" s="2185"/>
      <c r="SJU21" s="16"/>
      <c r="SJV21" s="2185"/>
      <c r="SJW21" s="16"/>
      <c r="SJX21" s="2185"/>
      <c r="SJY21" s="16"/>
      <c r="SJZ21" s="2185"/>
      <c r="SKA21" s="16"/>
      <c r="SKB21" s="2185"/>
      <c r="SKC21" s="16"/>
      <c r="SKD21" s="2185"/>
      <c r="SKE21" s="16"/>
      <c r="SKF21" s="2185"/>
      <c r="SKG21" s="16"/>
      <c r="SKH21" s="2185"/>
      <c r="SKI21" s="16"/>
      <c r="SKJ21" s="2185"/>
      <c r="SKK21" s="16"/>
      <c r="SKL21" s="2185"/>
      <c r="SKM21" s="16"/>
      <c r="SKN21" s="2185"/>
      <c r="SKO21" s="16"/>
      <c r="SKP21" s="2185"/>
      <c r="SKQ21" s="16"/>
      <c r="SKR21" s="2185"/>
      <c r="SKS21" s="16"/>
      <c r="SKT21" s="2185"/>
      <c r="SKU21" s="16"/>
      <c r="SKV21" s="2185"/>
      <c r="SKW21" s="16"/>
      <c r="SKX21" s="2185"/>
      <c r="SKY21" s="16"/>
      <c r="SKZ21" s="2185"/>
      <c r="SLA21" s="16"/>
      <c r="SLB21" s="2185"/>
      <c r="SLC21" s="16"/>
      <c r="SLD21" s="2185"/>
      <c r="SLE21" s="16"/>
      <c r="SLF21" s="2185"/>
      <c r="SLG21" s="16"/>
      <c r="SLH21" s="2185"/>
      <c r="SLI21" s="16"/>
      <c r="SLJ21" s="2185"/>
      <c r="SLK21" s="16"/>
      <c r="SLL21" s="2185"/>
      <c r="SLM21" s="16"/>
      <c r="SLN21" s="2185"/>
      <c r="SLO21" s="16"/>
      <c r="SLP21" s="2185"/>
      <c r="SLQ21" s="16"/>
      <c r="SLR21" s="2185"/>
      <c r="SLS21" s="16"/>
      <c r="SLT21" s="2185"/>
      <c r="SLU21" s="16"/>
      <c r="SLV21" s="2185"/>
      <c r="SLW21" s="16"/>
      <c r="SLX21" s="2185"/>
      <c r="SLY21" s="16"/>
      <c r="SLZ21" s="2185"/>
      <c r="SMA21" s="16"/>
      <c r="SMB21" s="2185"/>
      <c r="SMC21" s="16"/>
      <c r="SMD21" s="2185"/>
      <c r="SME21" s="16"/>
      <c r="SMF21" s="2185"/>
      <c r="SMG21" s="16"/>
      <c r="SMH21" s="2185"/>
      <c r="SMI21" s="16"/>
      <c r="SMJ21" s="2185"/>
      <c r="SMK21" s="16"/>
      <c r="SML21" s="2185"/>
      <c r="SMM21" s="16"/>
      <c r="SMN21" s="2185"/>
      <c r="SMO21" s="16"/>
      <c r="SMP21" s="2185"/>
      <c r="SMQ21" s="16"/>
      <c r="SMR21" s="2185"/>
      <c r="SMS21" s="16"/>
      <c r="SMT21" s="2185"/>
      <c r="SMU21" s="16"/>
      <c r="SMV21" s="2185"/>
      <c r="SMW21" s="16"/>
      <c r="SMX21" s="2185"/>
      <c r="SMY21" s="16"/>
      <c r="SMZ21" s="2185"/>
      <c r="SNA21" s="16"/>
      <c r="SNB21" s="2185"/>
      <c r="SNC21" s="16"/>
      <c r="SND21" s="2185"/>
      <c r="SNE21" s="16"/>
      <c r="SNF21" s="2185"/>
      <c r="SNG21" s="16"/>
      <c r="SNH21" s="2185"/>
      <c r="SNI21" s="16"/>
      <c r="SNJ21" s="2185"/>
      <c r="SNK21" s="16"/>
      <c r="SNL21" s="2185"/>
      <c r="SNM21" s="16"/>
      <c r="SNN21" s="2185"/>
      <c r="SNO21" s="16"/>
      <c r="SNP21" s="2185"/>
      <c r="SNQ21" s="16"/>
      <c r="SNR21" s="2185"/>
      <c r="SNS21" s="16"/>
      <c r="SNT21" s="2185"/>
      <c r="SNU21" s="16"/>
      <c r="SNV21" s="2185"/>
      <c r="SNW21" s="16"/>
      <c r="SNX21" s="2185"/>
      <c r="SNY21" s="16"/>
      <c r="SNZ21" s="2185"/>
      <c r="SOA21" s="16"/>
      <c r="SOB21" s="2185"/>
      <c r="SOC21" s="16"/>
      <c r="SOD21" s="2185"/>
      <c r="SOE21" s="16"/>
      <c r="SOF21" s="2185"/>
      <c r="SOG21" s="16"/>
      <c r="SOH21" s="2185"/>
      <c r="SOI21" s="16"/>
      <c r="SOJ21" s="2185"/>
      <c r="SOK21" s="16"/>
      <c r="SOL21" s="2185"/>
      <c r="SOM21" s="16"/>
      <c r="SON21" s="2185"/>
      <c r="SOO21" s="16"/>
      <c r="SOP21" s="2185"/>
      <c r="SOQ21" s="16"/>
      <c r="SOR21" s="2185"/>
      <c r="SOS21" s="16"/>
      <c r="SOT21" s="2185"/>
      <c r="SOU21" s="16"/>
      <c r="SOV21" s="2185"/>
      <c r="SOW21" s="16"/>
      <c r="SOX21" s="2185"/>
      <c r="SOY21" s="16"/>
      <c r="SOZ21" s="2185"/>
      <c r="SPA21" s="16"/>
      <c r="SPB21" s="2185"/>
      <c r="SPC21" s="16"/>
      <c r="SPD21" s="2185"/>
      <c r="SPE21" s="16"/>
      <c r="SPF21" s="2185"/>
      <c r="SPG21" s="16"/>
      <c r="SPH21" s="2185"/>
      <c r="SPI21" s="16"/>
      <c r="SPJ21" s="2185"/>
      <c r="SPK21" s="16"/>
      <c r="SPL21" s="2185"/>
      <c r="SPM21" s="16"/>
      <c r="SPN21" s="2185"/>
      <c r="SPO21" s="16"/>
      <c r="SPP21" s="2185"/>
      <c r="SPQ21" s="16"/>
      <c r="SPR21" s="2185"/>
      <c r="SPS21" s="16"/>
      <c r="SPT21" s="2185"/>
      <c r="SPU21" s="16"/>
      <c r="SPV21" s="2185"/>
      <c r="SPW21" s="16"/>
      <c r="SPX21" s="2185"/>
      <c r="SPY21" s="16"/>
      <c r="SPZ21" s="2185"/>
      <c r="SQA21" s="16"/>
      <c r="SQB21" s="2185"/>
      <c r="SQC21" s="16"/>
      <c r="SQD21" s="2185"/>
      <c r="SQE21" s="16"/>
      <c r="SQF21" s="2185"/>
      <c r="SQG21" s="16"/>
      <c r="SQH21" s="2185"/>
      <c r="SQI21" s="16"/>
      <c r="SQJ21" s="2185"/>
      <c r="SQK21" s="16"/>
      <c r="SQL21" s="2185"/>
      <c r="SQM21" s="16"/>
      <c r="SQN21" s="2185"/>
      <c r="SQO21" s="16"/>
      <c r="SQP21" s="2185"/>
      <c r="SQQ21" s="16"/>
      <c r="SQR21" s="2185"/>
      <c r="SQS21" s="16"/>
      <c r="SQT21" s="2185"/>
      <c r="SQU21" s="16"/>
      <c r="SQV21" s="2185"/>
      <c r="SQW21" s="16"/>
      <c r="SQX21" s="2185"/>
      <c r="SQY21" s="16"/>
      <c r="SQZ21" s="2185"/>
      <c r="SRA21" s="16"/>
      <c r="SRB21" s="2185"/>
      <c r="SRC21" s="16"/>
      <c r="SRD21" s="2185"/>
      <c r="SRE21" s="16"/>
      <c r="SRF21" s="2185"/>
      <c r="SRG21" s="16"/>
      <c r="SRH21" s="2185"/>
      <c r="SRI21" s="16"/>
      <c r="SRJ21" s="2185"/>
      <c r="SRK21" s="16"/>
      <c r="SRL21" s="2185"/>
      <c r="SRM21" s="16"/>
      <c r="SRN21" s="2185"/>
      <c r="SRO21" s="16"/>
      <c r="SRP21" s="2185"/>
      <c r="SRQ21" s="16"/>
      <c r="SRR21" s="2185"/>
      <c r="SRS21" s="16"/>
      <c r="SRT21" s="2185"/>
      <c r="SRU21" s="16"/>
      <c r="SRV21" s="2185"/>
      <c r="SRW21" s="16"/>
      <c r="SRX21" s="2185"/>
      <c r="SRY21" s="16"/>
      <c r="SRZ21" s="2185"/>
      <c r="SSA21" s="16"/>
      <c r="SSB21" s="2185"/>
      <c r="SSC21" s="16"/>
      <c r="SSD21" s="2185"/>
      <c r="SSE21" s="16"/>
      <c r="SSF21" s="2185"/>
      <c r="SSG21" s="16"/>
      <c r="SSH21" s="2185"/>
      <c r="SSI21" s="16"/>
      <c r="SSJ21" s="2185"/>
      <c r="SSK21" s="16"/>
      <c r="SSL21" s="2185"/>
      <c r="SSM21" s="16"/>
      <c r="SSN21" s="2185"/>
      <c r="SSO21" s="16"/>
      <c r="SSP21" s="2185"/>
      <c r="SSQ21" s="16"/>
      <c r="SSR21" s="2185"/>
      <c r="SSS21" s="16"/>
      <c r="SST21" s="2185"/>
      <c r="SSU21" s="16"/>
      <c r="SSV21" s="2185"/>
      <c r="SSW21" s="16"/>
      <c r="SSX21" s="2185"/>
      <c r="SSY21" s="16"/>
      <c r="SSZ21" s="2185"/>
      <c r="STA21" s="16"/>
      <c r="STB21" s="2185"/>
      <c r="STC21" s="16"/>
      <c r="STD21" s="2185"/>
      <c r="STE21" s="16"/>
      <c r="STF21" s="2185"/>
      <c r="STG21" s="16"/>
      <c r="STH21" s="2185"/>
      <c r="STI21" s="16"/>
      <c r="STJ21" s="2185"/>
      <c r="STK21" s="16"/>
      <c r="STL21" s="2185"/>
      <c r="STM21" s="16"/>
      <c r="STN21" s="2185"/>
      <c r="STO21" s="16"/>
      <c r="STP21" s="2185"/>
      <c r="STQ21" s="16"/>
      <c r="STR21" s="2185"/>
      <c r="STS21" s="16"/>
      <c r="STT21" s="2185"/>
      <c r="STU21" s="16"/>
      <c r="STV21" s="2185"/>
      <c r="STW21" s="16"/>
      <c r="STX21" s="2185"/>
      <c r="STY21" s="16"/>
      <c r="STZ21" s="2185"/>
      <c r="SUA21" s="16"/>
      <c r="SUB21" s="2185"/>
      <c r="SUC21" s="16"/>
      <c r="SUD21" s="2185"/>
      <c r="SUE21" s="16"/>
      <c r="SUF21" s="2185"/>
      <c r="SUG21" s="16"/>
      <c r="SUH21" s="2185"/>
      <c r="SUI21" s="16"/>
      <c r="SUJ21" s="2185"/>
      <c r="SUK21" s="16"/>
      <c r="SUL21" s="2185"/>
      <c r="SUM21" s="16"/>
      <c r="SUN21" s="2185"/>
      <c r="SUO21" s="16"/>
      <c r="SUP21" s="2185"/>
      <c r="SUQ21" s="16"/>
      <c r="SUR21" s="2185"/>
      <c r="SUS21" s="16"/>
      <c r="SUT21" s="2185"/>
      <c r="SUU21" s="16"/>
      <c r="SUV21" s="2185"/>
      <c r="SUW21" s="16"/>
      <c r="SUX21" s="2185"/>
      <c r="SUY21" s="16"/>
      <c r="SUZ21" s="2185"/>
      <c r="SVA21" s="16"/>
      <c r="SVB21" s="2185"/>
      <c r="SVC21" s="16"/>
      <c r="SVD21" s="2185"/>
      <c r="SVE21" s="16"/>
      <c r="SVF21" s="2185"/>
      <c r="SVG21" s="16"/>
      <c r="SVH21" s="2185"/>
      <c r="SVI21" s="16"/>
      <c r="SVJ21" s="2185"/>
      <c r="SVK21" s="16"/>
      <c r="SVL21" s="2185"/>
      <c r="SVM21" s="16"/>
      <c r="SVN21" s="2185"/>
      <c r="SVO21" s="16"/>
      <c r="SVP21" s="2185"/>
      <c r="SVQ21" s="16"/>
      <c r="SVR21" s="2185"/>
      <c r="SVS21" s="16"/>
      <c r="SVT21" s="2185"/>
      <c r="SVU21" s="16"/>
      <c r="SVV21" s="2185"/>
      <c r="SVW21" s="16"/>
      <c r="SVX21" s="2185"/>
      <c r="SVY21" s="16"/>
      <c r="SVZ21" s="2185"/>
      <c r="SWA21" s="16"/>
      <c r="SWB21" s="2185"/>
      <c r="SWC21" s="16"/>
      <c r="SWD21" s="2185"/>
      <c r="SWE21" s="16"/>
      <c r="SWF21" s="2185"/>
      <c r="SWG21" s="16"/>
      <c r="SWH21" s="2185"/>
      <c r="SWI21" s="16"/>
      <c r="SWJ21" s="2185"/>
      <c r="SWK21" s="16"/>
      <c r="SWL21" s="2185"/>
      <c r="SWM21" s="16"/>
      <c r="SWN21" s="2185"/>
      <c r="SWO21" s="16"/>
      <c r="SWP21" s="2185"/>
      <c r="SWQ21" s="16"/>
      <c r="SWR21" s="2185"/>
      <c r="SWS21" s="16"/>
      <c r="SWT21" s="2185"/>
      <c r="SWU21" s="16"/>
      <c r="SWV21" s="2185"/>
      <c r="SWW21" s="16"/>
      <c r="SWX21" s="2185"/>
      <c r="SWY21" s="16"/>
      <c r="SWZ21" s="2185"/>
      <c r="SXA21" s="16"/>
      <c r="SXB21" s="2185"/>
      <c r="SXC21" s="16"/>
      <c r="SXD21" s="2185"/>
      <c r="SXE21" s="16"/>
      <c r="SXF21" s="2185"/>
      <c r="SXG21" s="16"/>
      <c r="SXH21" s="2185"/>
      <c r="SXI21" s="16"/>
      <c r="SXJ21" s="2185"/>
      <c r="SXK21" s="16"/>
      <c r="SXL21" s="2185"/>
      <c r="SXM21" s="16"/>
      <c r="SXN21" s="2185"/>
      <c r="SXO21" s="16"/>
      <c r="SXP21" s="2185"/>
      <c r="SXQ21" s="16"/>
      <c r="SXR21" s="2185"/>
      <c r="SXS21" s="16"/>
      <c r="SXT21" s="2185"/>
      <c r="SXU21" s="16"/>
      <c r="SXV21" s="2185"/>
      <c r="SXW21" s="16"/>
      <c r="SXX21" s="2185"/>
      <c r="SXY21" s="16"/>
      <c r="SXZ21" s="2185"/>
      <c r="SYA21" s="16"/>
      <c r="SYB21" s="2185"/>
      <c r="SYC21" s="16"/>
      <c r="SYD21" s="2185"/>
      <c r="SYE21" s="16"/>
      <c r="SYF21" s="2185"/>
      <c r="SYG21" s="16"/>
      <c r="SYH21" s="2185"/>
      <c r="SYI21" s="16"/>
      <c r="SYJ21" s="2185"/>
      <c r="SYK21" s="16"/>
      <c r="SYL21" s="2185"/>
      <c r="SYM21" s="16"/>
      <c r="SYN21" s="2185"/>
      <c r="SYO21" s="16"/>
      <c r="SYP21" s="2185"/>
      <c r="SYQ21" s="16"/>
      <c r="SYR21" s="2185"/>
      <c r="SYS21" s="16"/>
      <c r="SYT21" s="2185"/>
      <c r="SYU21" s="16"/>
      <c r="SYV21" s="2185"/>
      <c r="SYW21" s="16"/>
      <c r="SYX21" s="2185"/>
      <c r="SYY21" s="16"/>
      <c r="SYZ21" s="2185"/>
      <c r="SZA21" s="16"/>
      <c r="SZB21" s="2185"/>
      <c r="SZC21" s="16"/>
      <c r="SZD21" s="2185"/>
      <c r="SZE21" s="16"/>
      <c r="SZF21" s="2185"/>
      <c r="SZG21" s="16"/>
      <c r="SZH21" s="2185"/>
      <c r="SZI21" s="16"/>
      <c r="SZJ21" s="2185"/>
      <c r="SZK21" s="16"/>
      <c r="SZL21" s="2185"/>
      <c r="SZM21" s="16"/>
      <c r="SZN21" s="2185"/>
      <c r="SZO21" s="16"/>
      <c r="SZP21" s="2185"/>
      <c r="SZQ21" s="16"/>
      <c r="SZR21" s="2185"/>
      <c r="SZS21" s="16"/>
      <c r="SZT21" s="2185"/>
      <c r="SZU21" s="16"/>
      <c r="SZV21" s="2185"/>
      <c r="SZW21" s="16"/>
      <c r="SZX21" s="2185"/>
      <c r="SZY21" s="16"/>
      <c r="SZZ21" s="2185"/>
      <c r="TAA21" s="16"/>
      <c r="TAB21" s="2185"/>
      <c r="TAC21" s="16"/>
      <c r="TAD21" s="2185"/>
      <c r="TAE21" s="16"/>
      <c r="TAF21" s="2185"/>
      <c r="TAG21" s="16"/>
      <c r="TAH21" s="2185"/>
      <c r="TAI21" s="16"/>
      <c r="TAJ21" s="2185"/>
      <c r="TAK21" s="16"/>
      <c r="TAL21" s="2185"/>
      <c r="TAM21" s="16"/>
      <c r="TAN21" s="2185"/>
      <c r="TAO21" s="16"/>
      <c r="TAP21" s="2185"/>
      <c r="TAQ21" s="16"/>
      <c r="TAR21" s="2185"/>
      <c r="TAS21" s="16"/>
      <c r="TAT21" s="2185"/>
      <c r="TAU21" s="16"/>
      <c r="TAV21" s="2185"/>
      <c r="TAW21" s="16"/>
      <c r="TAX21" s="2185"/>
      <c r="TAY21" s="16"/>
      <c r="TAZ21" s="2185"/>
      <c r="TBA21" s="16"/>
      <c r="TBB21" s="2185"/>
      <c r="TBC21" s="16"/>
      <c r="TBD21" s="2185"/>
      <c r="TBE21" s="16"/>
      <c r="TBF21" s="2185"/>
      <c r="TBG21" s="16"/>
      <c r="TBH21" s="2185"/>
      <c r="TBI21" s="16"/>
      <c r="TBJ21" s="2185"/>
      <c r="TBK21" s="16"/>
      <c r="TBL21" s="2185"/>
      <c r="TBM21" s="16"/>
      <c r="TBN21" s="2185"/>
      <c r="TBO21" s="16"/>
      <c r="TBP21" s="2185"/>
      <c r="TBQ21" s="16"/>
      <c r="TBR21" s="2185"/>
      <c r="TBS21" s="16"/>
      <c r="TBT21" s="2185"/>
      <c r="TBU21" s="16"/>
      <c r="TBV21" s="2185"/>
      <c r="TBW21" s="16"/>
      <c r="TBX21" s="2185"/>
      <c r="TBY21" s="16"/>
      <c r="TBZ21" s="2185"/>
      <c r="TCA21" s="16"/>
      <c r="TCB21" s="2185"/>
      <c r="TCC21" s="16"/>
      <c r="TCD21" s="2185"/>
      <c r="TCE21" s="16"/>
      <c r="TCF21" s="2185"/>
      <c r="TCG21" s="16"/>
      <c r="TCH21" s="2185"/>
      <c r="TCI21" s="16"/>
      <c r="TCJ21" s="2185"/>
      <c r="TCK21" s="16"/>
      <c r="TCL21" s="2185"/>
      <c r="TCM21" s="16"/>
      <c r="TCN21" s="2185"/>
      <c r="TCO21" s="16"/>
      <c r="TCP21" s="2185"/>
      <c r="TCQ21" s="16"/>
      <c r="TCR21" s="2185"/>
      <c r="TCS21" s="16"/>
      <c r="TCT21" s="2185"/>
      <c r="TCU21" s="16"/>
      <c r="TCV21" s="2185"/>
      <c r="TCW21" s="16"/>
      <c r="TCX21" s="2185"/>
      <c r="TCY21" s="16"/>
      <c r="TCZ21" s="2185"/>
      <c r="TDA21" s="16"/>
      <c r="TDB21" s="2185"/>
      <c r="TDC21" s="16"/>
      <c r="TDD21" s="2185"/>
      <c r="TDE21" s="16"/>
      <c r="TDF21" s="2185"/>
      <c r="TDG21" s="16"/>
      <c r="TDH21" s="2185"/>
      <c r="TDI21" s="16"/>
      <c r="TDJ21" s="2185"/>
      <c r="TDK21" s="16"/>
      <c r="TDL21" s="2185"/>
      <c r="TDM21" s="16"/>
      <c r="TDN21" s="2185"/>
      <c r="TDO21" s="16"/>
      <c r="TDP21" s="2185"/>
      <c r="TDQ21" s="16"/>
      <c r="TDR21" s="2185"/>
      <c r="TDS21" s="16"/>
      <c r="TDT21" s="2185"/>
      <c r="TDU21" s="16"/>
      <c r="TDV21" s="2185"/>
      <c r="TDW21" s="16"/>
      <c r="TDX21" s="2185"/>
      <c r="TDY21" s="16"/>
      <c r="TDZ21" s="2185"/>
      <c r="TEA21" s="16"/>
      <c r="TEB21" s="2185"/>
      <c r="TEC21" s="16"/>
      <c r="TED21" s="2185"/>
      <c r="TEE21" s="16"/>
      <c r="TEF21" s="2185"/>
      <c r="TEG21" s="16"/>
      <c r="TEH21" s="2185"/>
      <c r="TEI21" s="16"/>
      <c r="TEJ21" s="2185"/>
      <c r="TEK21" s="16"/>
      <c r="TEL21" s="2185"/>
      <c r="TEM21" s="16"/>
      <c r="TEN21" s="2185"/>
      <c r="TEO21" s="16"/>
      <c r="TEP21" s="2185"/>
      <c r="TEQ21" s="16"/>
      <c r="TER21" s="2185"/>
      <c r="TES21" s="16"/>
      <c r="TET21" s="2185"/>
      <c r="TEU21" s="16"/>
      <c r="TEV21" s="2185"/>
      <c r="TEW21" s="16"/>
      <c r="TEX21" s="2185"/>
      <c r="TEY21" s="16"/>
      <c r="TEZ21" s="2185"/>
      <c r="TFA21" s="16"/>
      <c r="TFB21" s="2185"/>
      <c r="TFC21" s="16"/>
      <c r="TFD21" s="2185"/>
      <c r="TFE21" s="16"/>
      <c r="TFF21" s="2185"/>
      <c r="TFG21" s="16"/>
      <c r="TFH21" s="2185"/>
      <c r="TFI21" s="16"/>
      <c r="TFJ21" s="2185"/>
      <c r="TFK21" s="16"/>
      <c r="TFL21" s="2185"/>
      <c r="TFM21" s="16"/>
      <c r="TFN21" s="2185"/>
      <c r="TFO21" s="16"/>
      <c r="TFP21" s="2185"/>
      <c r="TFQ21" s="16"/>
      <c r="TFR21" s="2185"/>
      <c r="TFS21" s="16"/>
      <c r="TFT21" s="2185"/>
      <c r="TFU21" s="16"/>
      <c r="TFV21" s="2185"/>
      <c r="TFW21" s="16"/>
      <c r="TFX21" s="2185"/>
      <c r="TFY21" s="16"/>
      <c r="TFZ21" s="2185"/>
      <c r="TGA21" s="16"/>
      <c r="TGB21" s="2185"/>
      <c r="TGC21" s="16"/>
      <c r="TGD21" s="2185"/>
      <c r="TGE21" s="16"/>
      <c r="TGF21" s="2185"/>
      <c r="TGG21" s="16"/>
      <c r="TGH21" s="2185"/>
      <c r="TGI21" s="16"/>
      <c r="TGJ21" s="2185"/>
      <c r="TGK21" s="16"/>
      <c r="TGL21" s="2185"/>
      <c r="TGM21" s="16"/>
      <c r="TGN21" s="2185"/>
      <c r="TGO21" s="16"/>
      <c r="TGP21" s="2185"/>
      <c r="TGQ21" s="16"/>
      <c r="TGR21" s="2185"/>
      <c r="TGS21" s="16"/>
      <c r="TGT21" s="2185"/>
      <c r="TGU21" s="16"/>
      <c r="TGV21" s="2185"/>
      <c r="TGW21" s="16"/>
      <c r="TGX21" s="2185"/>
      <c r="TGY21" s="16"/>
      <c r="TGZ21" s="2185"/>
      <c r="THA21" s="16"/>
      <c r="THB21" s="2185"/>
      <c r="THC21" s="16"/>
      <c r="THD21" s="2185"/>
      <c r="THE21" s="16"/>
      <c r="THF21" s="2185"/>
      <c r="THG21" s="16"/>
      <c r="THH21" s="2185"/>
      <c r="THI21" s="16"/>
      <c r="THJ21" s="2185"/>
      <c r="THK21" s="16"/>
      <c r="THL21" s="2185"/>
      <c r="THM21" s="16"/>
      <c r="THN21" s="2185"/>
      <c r="THO21" s="16"/>
      <c r="THP21" s="2185"/>
      <c r="THQ21" s="16"/>
      <c r="THR21" s="2185"/>
      <c r="THS21" s="16"/>
      <c r="THT21" s="2185"/>
      <c r="THU21" s="16"/>
      <c r="THV21" s="2185"/>
      <c r="THW21" s="16"/>
      <c r="THX21" s="2185"/>
      <c r="THY21" s="16"/>
      <c r="THZ21" s="2185"/>
      <c r="TIA21" s="16"/>
      <c r="TIB21" s="2185"/>
      <c r="TIC21" s="16"/>
      <c r="TID21" s="2185"/>
      <c r="TIE21" s="16"/>
      <c r="TIF21" s="2185"/>
      <c r="TIG21" s="16"/>
      <c r="TIH21" s="2185"/>
      <c r="TII21" s="16"/>
      <c r="TIJ21" s="2185"/>
      <c r="TIK21" s="16"/>
      <c r="TIL21" s="2185"/>
      <c r="TIM21" s="16"/>
      <c r="TIN21" s="2185"/>
      <c r="TIO21" s="16"/>
      <c r="TIP21" s="2185"/>
      <c r="TIQ21" s="16"/>
      <c r="TIR21" s="2185"/>
      <c r="TIS21" s="16"/>
      <c r="TIT21" s="2185"/>
      <c r="TIU21" s="16"/>
      <c r="TIV21" s="2185"/>
      <c r="TIW21" s="16"/>
      <c r="TIX21" s="2185"/>
      <c r="TIY21" s="16"/>
      <c r="TIZ21" s="2185"/>
      <c r="TJA21" s="16"/>
      <c r="TJB21" s="2185"/>
      <c r="TJC21" s="16"/>
      <c r="TJD21" s="2185"/>
      <c r="TJE21" s="16"/>
      <c r="TJF21" s="2185"/>
      <c r="TJG21" s="16"/>
      <c r="TJH21" s="2185"/>
      <c r="TJI21" s="16"/>
      <c r="TJJ21" s="2185"/>
      <c r="TJK21" s="16"/>
      <c r="TJL21" s="2185"/>
      <c r="TJM21" s="16"/>
      <c r="TJN21" s="2185"/>
      <c r="TJO21" s="16"/>
      <c r="TJP21" s="2185"/>
      <c r="TJQ21" s="16"/>
      <c r="TJR21" s="2185"/>
      <c r="TJS21" s="16"/>
      <c r="TJT21" s="2185"/>
      <c r="TJU21" s="16"/>
      <c r="TJV21" s="2185"/>
      <c r="TJW21" s="16"/>
      <c r="TJX21" s="2185"/>
      <c r="TJY21" s="16"/>
      <c r="TJZ21" s="2185"/>
      <c r="TKA21" s="16"/>
      <c r="TKB21" s="2185"/>
      <c r="TKC21" s="16"/>
      <c r="TKD21" s="2185"/>
      <c r="TKE21" s="16"/>
      <c r="TKF21" s="2185"/>
      <c r="TKG21" s="16"/>
      <c r="TKH21" s="2185"/>
      <c r="TKI21" s="16"/>
      <c r="TKJ21" s="2185"/>
      <c r="TKK21" s="16"/>
      <c r="TKL21" s="2185"/>
      <c r="TKM21" s="16"/>
      <c r="TKN21" s="2185"/>
      <c r="TKO21" s="16"/>
      <c r="TKP21" s="2185"/>
      <c r="TKQ21" s="16"/>
      <c r="TKR21" s="2185"/>
      <c r="TKS21" s="16"/>
      <c r="TKT21" s="2185"/>
      <c r="TKU21" s="16"/>
      <c r="TKV21" s="2185"/>
      <c r="TKW21" s="16"/>
      <c r="TKX21" s="2185"/>
      <c r="TKY21" s="16"/>
      <c r="TKZ21" s="2185"/>
      <c r="TLA21" s="16"/>
      <c r="TLB21" s="2185"/>
      <c r="TLC21" s="16"/>
      <c r="TLD21" s="2185"/>
      <c r="TLE21" s="16"/>
      <c r="TLF21" s="2185"/>
      <c r="TLG21" s="16"/>
      <c r="TLH21" s="2185"/>
      <c r="TLI21" s="16"/>
      <c r="TLJ21" s="2185"/>
      <c r="TLK21" s="16"/>
      <c r="TLL21" s="2185"/>
      <c r="TLM21" s="16"/>
      <c r="TLN21" s="2185"/>
      <c r="TLO21" s="16"/>
      <c r="TLP21" s="2185"/>
      <c r="TLQ21" s="16"/>
      <c r="TLR21" s="2185"/>
      <c r="TLS21" s="16"/>
      <c r="TLT21" s="2185"/>
      <c r="TLU21" s="16"/>
      <c r="TLV21" s="2185"/>
      <c r="TLW21" s="16"/>
      <c r="TLX21" s="2185"/>
      <c r="TLY21" s="16"/>
      <c r="TLZ21" s="2185"/>
      <c r="TMA21" s="16"/>
      <c r="TMB21" s="2185"/>
      <c r="TMC21" s="16"/>
      <c r="TMD21" s="2185"/>
      <c r="TME21" s="16"/>
      <c r="TMF21" s="2185"/>
      <c r="TMG21" s="16"/>
      <c r="TMH21" s="2185"/>
      <c r="TMI21" s="16"/>
      <c r="TMJ21" s="2185"/>
      <c r="TMK21" s="16"/>
      <c r="TML21" s="2185"/>
      <c r="TMM21" s="16"/>
      <c r="TMN21" s="2185"/>
      <c r="TMO21" s="16"/>
      <c r="TMP21" s="2185"/>
      <c r="TMQ21" s="16"/>
      <c r="TMR21" s="2185"/>
      <c r="TMS21" s="16"/>
      <c r="TMT21" s="2185"/>
      <c r="TMU21" s="16"/>
      <c r="TMV21" s="2185"/>
      <c r="TMW21" s="16"/>
      <c r="TMX21" s="2185"/>
      <c r="TMY21" s="16"/>
      <c r="TMZ21" s="2185"/>
      <c r="TNA21" s="16"/>
      <c r="TNB21" s="2185"/>
      <c r="TNC21" s="16"/>
      <c r="TND21" s="2185"/>
      <c r="TNE21" s="16"/>
      <c r="TNF21" s="2185"/>
      <c r="TNG21" s="16"/>
      <c r="TNH21" s="2185"/>
      <c r="TNI21" s="16"/>
      <c r="TNJ21" s="2185"/>
      <c r="TNK21" s="16"/>
      <c r="TNL21" s="2185"/>
      <c r="TNM21" s="16"/>
      <c r="TNN21" s="2185"/>
      <c r="TNO21" s="16"/>
      <c r="TNP21" s="2185"/>
      <c r="TNQ21" s="16"/>
      <c r="TNR21" s="2185"/>
      <c r="TNS21" s="16"/>
      <c r="TNT21" s="2185"/>
      <c r="TNU21" s="16"/>
      <c r="TNV21" s="2185"/>
      <c r="TNW21" s="16"/>
      <c r="TNX21" s="2185"/>
      <c r="TNY21" s="16"/>
      <c r="TNZ21" s="2185"/>
      <c r="TOA21" s="16"/>
      <c r="TOB21" s="2185"/>
      <c r="TOC21" s="16"/>
      <c r="TOD21" s="2185"/>
      <c r="TOE21" s="16"/>
      <c r="TOF21" s="2185"/>
      <c r="TOG21" s="16"/>
      <c r="TOH21" s="2185"/>
      <c r="TOI21" s="16"/>
      <c r="TOJ21" s="2185"/>
      <c r="TOK21" s="16"/>
      <c r="TOL21" s="2185"/>
      <c r="TOM21" s="16"/>
      <c r="TON21" s="2185"/>
      <c r="TOO21" s="16"/>
      <c r="TOP21" s="2185"/>
      <c r="TOQ21" s="16"/>
      <c r="TOR21" s="2185"/>
      <c r="TOS21" s="16"/>
      <c r="TOT21" s="2185"/>
      <c r="TOU21" s="16"/>
      <c r="TOV21" s="2185"/>
      <c r="TOW21" s="16"/>
      <c r="TOX21" s="2185"/>
      <c r="TOY21" s="16"/>
      <c r="TOZ21" s="2185"/>
      <c r="TPA21" s="16"/>
      <c r="TPB21" s="2185"/>
      <c r="TPC21" s="16"/>
      <c r="TPD21" s="2185"/>
      <c r="TPE21" s="16"/>
      <c r="TPF21" s="2185"/>
      <c r="TPG21" s="16"/>
      <c r="TPH21" s="2185"/>
      <c r="TPI21" s="16"/>
      <c r="TPJ21" s="2185"/>
      <c r="TPK21" s="16"/>
      <c r="TPL21" s="2185"/>
      <c r="TPM21" s="16"/>
      <c r="TPN21" s="2185"/>
      <c r="TPO21" s="16"/>
      <c r="TPP21" s="2185"/>
      <c r="TPQ21" s="16"/>
      <c r="TPR21" s="2185"/>
      <c r="TPS21" s="16"/>
      <c r="TPT21" s="2185"/>
      <c r="TPU21" s="16"/>
      <c r="TPV21" s="2185"/>
      <c r="TPW21" s="16"/>
      <c r="TPX21" s="2185"/>
      <c r="TPY21" s="16"/>
      <c r="TPZ21" s="2185"/>
      <c r="TQA21" s="16"/>
      <c r="TQB21" s="2185"/>
      <c r="TQC21" s="16"/>
      <c r="TQD21" s="2185"/>
      <c r="TQE21" s="16"/>
      <c r="TQF21" s="2185"/>
      <c r="TQG21" s="16"/>
      <c r="TQH21" s="2185"/>
      <c r="TQI21" s="16"/>
      <c r="TQJ21" s="2185"/>
      <c r="TQK21" s="16"/>
      <c r="TQL21" s="2185"/>
      <c r="TQM21" s="16"/>
      <c r="TQN21" s="2185"/>
      <c r="TQO21" s="16"/>
      <c r="TQP21" s="2185"/>
      <c r="TQQ21" s="16"/>
      <c r="TQR21" s="2185"/>
      <c r="TQS21" s="16"/>
      <c r="TQT21" s="2185"/>
      <c r="TQU21" s="16"/>
      <c r="TQV21" s="2185"/>
      <c r="TQW21" s="16"/>
      <c r="TQX21" s="2185"/>
      <c r="TQY21" s="16"/>
      <c r="TQZ21" s="2185"/>
      <c r="TRA21" s="16"/>
      <c r="TRB21" s="2185"/>
      <c r="TRC21" s="16"/>
      <c r="TRD21" s="2185"/>
      <c r="TRE21" s="16"/>
      <c r="TRF21" s="2185"/>
      <c r="TRG21" s="16"/>
      <c r="TRH21" s="2185"/>
      <c r="TRI21" s="16"/>
      <c r="TRJ21" s="2185"/>
      <c r="TRK21" s="16"/>
      <c r="TRL21" s="2185"/>
      <c r="TRM21" s="16"/>
      <c r="TRN21" s="2185"/>
      <c r="TRO21" s="16"/>
      <c r="TRP21" s="2185"/>
      <c r="TRQ21" s="16"/>
      <c r="TRR21" s="2185"/>
      <c r="TRS21" s="16"/>
      <c r="TRT21" s="2185"/>
      <c r="TRU21" s="16"/>
      <c r="TRV21" s="2185"/>
      <c r="TRW21" s="16"/>
      <c r="TRX21" s="2185"/>
      <c r="TRY21" s="16"/>
      <c r="TRZ21" s="2185"/>
      <c r="TSA21" s="16"/>
      <c r="TSB21" s="2185"/>
      <c r="TSC21" s="16"/>
      <c r="TSD21" s="2185"/>
      <c r="TSE21" s="16"/>
      <c r="TSF21" s="2185"/>
      <c r="TSG21" s="16"/>
      <c r="TSH21" s="2185"/>
      <c r="TSI21" s="16"/>
      <c r="TSJ21" s="2185"/>
      <c r="TSK21" s="16"/>
      <c r="TSL21" s="2185"/>
      <c r="TSM21" s="16"/>
      <c r="TSN21" s="2185"/>
      <c r="TSO21" s="16"/>
      <c r="TSP21" s="2185"/>
      <c r="TSQ21" s="16"/>
      <c r="TSR21" s="2185"/>
      <c r="TSS21" s="16"/>
      <c r="TST21" s="2185"/>
      <c r="TSU21" s="16"/>
      <c r="TSV21" s="2185"/>
      <c r="TSW21" s="16"/>
      <c r="TSX21" s="2185"/>
      <c r="TSY21" s="16"/>
      <c r="TSZ21" s="2185"/>
      <c r="TTA21" s="16"/>
      <c r="TTB21" s="2185"/>
      <c r="TTC21" s="16"/>
      <c r="TTD21" s="2185"/>
      <c r="TTE21" s="16"/>
      <c r="TTF21" s="2185"/>
      <c r="TTG21" s="16"/>
      <c r="TTH21" s="2185"/>
      <c r="TTI21" s="16"/>
      <c r="TTJ21" s="2185"/>
      <c r="TTK21" s="16"/>
      <c r="TTL21" s="2185"/>
      <c r="TTM21" s="16"/>
      <c r="TTN21" s="2185"/>
      <c r="TTO21" s="16"/>
      <c r="TTP21" s="2185"/>
      <c r="TTQ21" s="16"/>
      <c r="TTR21" s="2185"/>
      <c r="TTS21" s="16"/>
      <c r="TTT21" s="2185"/>
      <c r="TTU21" s="16"/>
      <c r="TTV21" s="2185"/>
      <c r="TTW21" s="16"/>
      <c r="TTX21" s="2185"/>
      <c r="TTY21" s="16"/>
      <c r="TTZ21" s="2185"/>
      <c r="TUA21" s="16"/>
      <c r="TUB21" s="2185"/>
      <c r="TUC21" s="16"/>
      <c r="TUD21" s="2185"/>
      <c r="TUE21" s="16"/>
      <c r="TUF21" s="2185"/>
      <c r="TUG21" s="16"/>
      <c r="TUH21" s="2185"/>
      <c r="TUI21" s="16"/>
      <c r="TUJ21" s="2185"/>
      <c r="TUK21" s="16"/>
      <c r="TUL21" s="2185"/>
      <c r="TUM21" s="16"/>
      <c r="TUN21" s="2185"/>
      <c r="TUO21" s="16"/>
      <c r="TUP21" s="2185"/>
      <c r="TUQ21" s="16"/>
      <c r="TUR21" s="2185"/>
      <c r="TUS21" s="16"/>
      <c r="TUT21" s="2185"/>
      <c r="TUU21" s="16"/>
      <c r="TUV21" s="2185"/>
      <c r="TUW21" s="16"/>
      <c r="TUX21" s="2185"/>
      <c r="TUY21" s="16"/>
      <c r="TUZ21" s="2185"/>
      <c r="TVA21" s="16"/>
      <c r="TVB21" s="2185"/>
      <c r="TVC21" s="16"/>
      <c r="TVD21" s="2185"/>
      <c r="TVE21" s="16"/>
      <c r="TVF21" s="2185"/>
      <c r="TVG21" s="16"/>
      <c r="TVH21" s="2185"/>
      <c r="TVI21" s="16"/>
      <c r="TVJ21" s="2185"/>
      <c r="TVK21" s="16"/>
      <c r="TVL21" s="2185"/>
      <c r="TVM21" s="16"/>
      <c r="TVN21" s="2185"/>
      <c r="TVO21" s="16"/>
      <c r="TVP21" s="2185"/>
      <c r="TVQ21" s="16"/>
      <c r="TVR21" s="2185"/>
      <c r="TVS21" s="16"/>
      <c r="TVT21" s="2185"/>
      <c r="TVU21" s="16"/>
      <c r="TVV21" s="2185"/>
      <c r="TVW21" s="16"/>
      <c r="TVX21" s="2185"/>
      <c r="TVY21" s="16"/>
      <c r="TVZ21" s="2185"/>
      <c r="TWA21" s="16"/>
      <c r="TWB21" s="2185"/>
      <c r="TWC21" s="16"/>
      <c r="TWD21" s="2185"/>
      <c r="TWE21" s="16"/>
      <c r="TWF21" s="2185"/>
      <c r="TWG21" s="16"/>
      <c r="TWH21" s="2185"/>
      <c r="TWI21" s="16"/>
      <c r="TWJ21" s="2185"/>
      <c r="TWK21" s="16"/>
      <c r="TWL21" s="2185"/>
      <c r="TWM21" s="16"/>
      <c r="TWN21" s="2185"/>
      <c r="TWO21" s="16"/>
      <c r="TWP21" s="2185"/>
      <c r="TWQ21" s="16"/>
      <c r="TWR21" s="2185"/>
      <c r="TWS21" s="16"/>
      <c r="TWT21" s="2185"/>
      <c r="TWU21" s="16"/>
      <c r="TWV21" s="2185"/>
      <c r="TWW21" s="16"/>
      <c r="TWX21" s="2185"/>
      <c r="TWY21" s="16"/>
      <c r="TWZ21" s="2185"/>
      <c r="TXA21" s="16"/>
      <c r="TXB21" s="2185"/>
      <c r="TXC21" s="16"/>
      <c r="TXD21" s="2185"/>
      <c r="TXE21" s="16"/>
      <c r="TXF21" s="2185"/>
      <c r="TXG21" s="16"/>
      <c r="TXH21" s="2185"/>
      <c r="TXI21" s="16"/>
      <c r="TXJ21" s="2185"/>
      <c r="TXK21" s="16"/>
      <c r="TXL21" s="2185"/>
      <c r="TXM21" s="16"/>
      <c r="TXN21" s="2185"/>
      <c r="TXO21" s="16"/>
      <c r="TXP21" s="2185"/>
      <c r="TXQ21" s="16"/>
      <c r="TXR21" s="2185"/>
      <c r="TXS21" s="16"/>
      <c r="TXT21" s="2185"/>
      <c r="TXU21" s="16"/>
      <c r="TXV21" s="2185"/>
      <c r="TXW21" s="16"/>
      <c r="TXX21" s="2185"/>
      <c r="TXY21" s="16"/>
      <c r="TXZ21" s="2185"/>
      <c r="TYA21" s="16"/>
      <c r="TYB21" s="2185"/>
      <c r="TYC21" s="16"/>
      <c r="TYD21" s="2185"/>
      <c r="TYE21" s="16"/>
      <c r="TYF21" s="2185"/>
      <c r="TYG21" s="16"/>
      <c r="TYH21" s="2185"/>
      <c r="TYI21" s="16"/>
      <c r="TYJ21" s="2185"/>
      <c r="TYK21" s="16"/>
      <c r="TYL21" s="2185"/>
      <c r="TYM21" s="16"/>
      <c r="TYN21" s="2185"/>
      <c r="TYO21" s="16"/>
      <c r="TYP21" s="2185"/>
      <c r="TYQ21" s="16"/>
      <c r="TYR21" s="2185"/>
      <c r="TYS21" s="16"/>
      <c r="TYT21" s="2185"/>
      <c r="TYU21" s="16"/>
      <c r="TYV21" s="2185"/>
      <c r="TYW21" s="16"/>
      <c r="TYX21" s="2185"/>
      <c r="TYY21" s="16"/>
      <c r="TYZ21" s="2185"/>
      <c r="TZA21" s="16"/>
      <c r="TZB21" s="2185"/>
      <c r="TZC21" s="16"/>
      <c r="TZD21" s="2185"/>
      <c r="TZE21" s="16"/>
      <c r="TZF21" s="2185"/>
      <c r="TZG21" s="16"/>
      <c r="TZH21" s="2185"/>
      <c r="TZI21" s="16"/>
      <c r="TZJ21" s="2185"/>
      <c r="TZK21" s="16"/>
      <c r="TZL21" s="2185"/>
      <c r="TZM21" s="16"/>
      <c r="TZN21" s="2185"/>
      <c r="TZO21" s="16"/>
      <c r="TZP21" s="2185"/>
      <c r="TZQ21" s="16"/>
      <c r="TZR21" s="2185"/>
      <c r="TZS21" s="16"/>
      <c r="TZT21" s="2185"/>
      <c r="TZU21" s="16"/>
      <c r="TZV21" s="2185"/>
      <c r="TZW21" s="16"/>
      <c r="TZX21" s="2185"/>
      <c r="TZY21" s="16"/>
      <c r="TZZ21" s="2185"/>
      <c r="UAA21" s="16"/>
      <c r="UAB21" s="2185"/>
      <c r="UAC21" s="16"/>
      <c r="UAD21" s="2185"/>
      <c r="UAE21" s="16"/>
      <c r="UAF21" s="2185"/>
      <c r="UAG21" s="16"/>
      <c r="UAH21" s="2185"/>
      <c r="UAI21" s="16"/>
      <c r="UAJ21" s="2185"/>
      <c r="UAK21" s="16"/>
      <c r="UAL21" s="2185"/>
      <c r="UAM21" s="16"/>
      <c r="UAN21" s="2185"/>
      <c r="UAO21" s="16"/>
      <c r="UAP21" s="2185"/>
      <c r="UAQ21" s="16"/>
      <c r="UAR21" s="2185"/>
      <c r="UAS21" s="16"/>
      <c r="UAT21" s="2185"/>
      <c r="UAU21" s="16"/>
      <c r="UAV21" s="2185"/>
      <c r="UAW21" s="16"/>
      <c r="UAX21" s="2185"/>
      <c r="UAY21" s="16"/>
      <c r="UAZ21" s="2185"/>
      <c r="UBA21" s="16"/>
      <c r="UBB21" s="2185"/>
      <c r="UBC21" s="16"/>
      <c r="UBD21" s="2185"/>
      <c r="UBE21" s="16"/>
      <c r="UBF21" s="2185"/>
      <c r="UBG21" s="16"/>
      <c r="UBH21" s="2185"/>
      <c r="UBI21" s="16"/>
      <c r="UBJ21" s="2185"/>
      <c r="UBK21" s="16"/>
      <c r="UBL21" s="2185"/>
      <c r="UBM21" s="16"/>
      <c r="UBN21" s="2185"/>
      <c r="UBO21" s="16"/>
      <c r="UBP21" s="2185"/>
      <c r="UBQ21" s="16"/>
      <c r="UBR21" s="2185"/>
      <c r="UBS21" s="16"/>
      <c r="UBT21" s="2185"/>
      <c r="UBU21" s="16"/>
      <c r="UBV21" s="2185"/>
      <c r="UBW21" s="16"/>
      <c r="UBX21" s="2185"/>
      <c r="UBY21" s="16"/>
      <c r="UBZ21" s="2185"/>
      <c r="UCA21" s="16"/>
      <c r="UCB21" s="2185"/>
      <c r="UCC21" s="16"/>
      <c r="UCD21" s="2185"/>
      <c r="UCE21" s="16"/>
      <c r="UCF21" s="2185"/>
      <c r="UCG21" s="16"/>
      <c r="UCH21" s="2185"/>
      <c r="UCI21" s="16"/>
      <c r="UCJ21" s="2185"/>
      <c r="UCK21" s="16"/>
      <c r="UCL21" s="2185"/>
      <c r="UCM21" s="16"/>
      <c r="UCN21" s="2185"/>
      <c r="UCO21" s="16"/>
      <c r="UCP21" s="2185"/>
      <c r="UCQ21" s="16"/>
      <c r="UCR21" s="2185"/>
      <c r="UCS21" s="16"/>
      <c r="UCT21" s="2185"/>
      <c r="UCU21" s="16"/>
      <c r="UCV21" s="2185"/>
      <c r="UCW21" s="16"/>
      <c r="UCX21" s="2185"/>
      <c r="UCY21" s="16"/>
      <c r="UCZ21" s="2185"/>
      <c r="UDA21" s="16"/>
      <c r="UDB21" s="2185"/>
      <c r="UDC21" s="16"/>
      <c r="UDD21" s="2185"/>
      <c r="UDE21" s="16"/>
      <c r="UDF21" s="2185"/>
      <c r="UDG21" s="16"/>
      <c r="UDH21" s="2185"/>
      <c r="UDI21" s="16"/>
      <c r="UDJ21" s="2185"/>
      <c r="UDK21" s="16"/>
      <c r="UDL21" s="2185"/>
      <c r="UDM21" s="16"/>
      <c r="UDN21" s="2185"/>
      <c r="UDO21" s="16"/>
      <c r="UDP21" s="2185"/>
      <c r="UDQ21" s="16"/>
      <c r="UDR21" s="2185"/>
      <c r="UDS21" s="16"/>
      <c r="UDT21" s="2185"/>
      <c r="UDU21" s="16"/>
      <c r="UDV21" s="2185"/>
      <c r="UDW21" s="16"/>
      <c r="UDX21" s="2185"/>
      <c r="UDY21" s="16"/>
      <c r="UDZ21" s="2185"/>
      <c r="UEA21" s="16"/>
      <c r="UEB21" s="2185"/>
      <c r="UEC21" s="16"/>
      <c r="UED21" s="2185"/>
      <c r="UEE21" s="16"/>
      <c r="UEF21" s="2185"/>
      <c r="UEG21" s="16"/>
      <c r="UEH21" s="2185"/>
      <c r="UEI21" s="16"/>
      <c r="UEJ21" s="2185"/>
      <c r="UEK21" s="16"/>
      <c r="UEL21" s="2185"/>
      <c r="UEM21" s="16"/>
      <c r="UEN21" s="2185"/>
      <c r="UEO21" s="16"/>
      <c r="UEP21" s="2185"/>
      <c r="UEQ21" s="16"/>
      <c r="UER21" s="2185"/>
      <c r="UES21" s="16"/>
      <c r="UET21" s="2185"/>
      <c r="UEU21" s="16"/>
      <c r="UEV21" s="2185"/>
      <c r="UEW21" s="16"/>
      <c r="UEX21" s="2185"/>
      <c r="UEY21" s="16"/>
      <c r="UEZ21" s="2185"/>
      <c r="UFA21" s="16"/>
      <c r="UFB21" s="2185"/>
      <c r="UFC21" s="16"/>
      <c r="UFD21" s="2185"/>
      <c r="UFE21" s="16"/>
      <c r="UFF21" s="2185"/>
      <c r="UFG21" s="16"/>
      <c r="UFH21" s="2185"/>
      <c r="UFI21" s="16"/>
      <c r="UFJ21" s="2185"/>
      <c r="UFK21" s="16"/>
      <c r="UFL21" s="2185"/>
      <c r="UFM21" s="16"/>
      <c r="UFN21" s="2185"/>
      <c r="UFO21" s="16"/>
      <c r="UFP21" s="2185"/>
      <c r="UFQ21" s="16"/>
      <c r="UFR21" s="2185"/>
      <c r="UFS21" s="16"/>
      <c r="UFT21" s="2185"/>
      <c r="UFU21" s="16"/>
      <c r="UFV21" s="2185"/>
      <c r="UFW21" s="16"/>
      <c r="UFX21" s="2185"/>
      <c r="UFY21" s="16"/>
      <c r="UFZ21" s="2185"/>
      <c r="UGA21" s="16"/>
      <c r="UGB21" s="2185"/>
      <c r="UGC21" s="16"/>
      <c r="UGD21" s="2185"/>
      <c r="UGE21" s="16"/>
      <c r="UGF21" s="2185"/>
      <c r="UGG21" s="16"/>
      <c r="UGH21" s="2185"/>
      <c r="UGI21" s="16"/>
      <c r="UGJ21" s="2185"/>
      <c r="UGK21" s="16"/>
      <c r="UGL21" s="2185"/>
      <c r="UGM21" s="16"/>
      <c r="UGN21" s="2185"/>
      <c r="UGO21" s="16"/>
      <c r="UGP21" s="2185"/>
      <c r="UGQ21" s="16"/>
      <c r="UGR21" s="2185"/>
      <c r="UGS21" s="16"/>
      <c r="UGT21" s="2185"/>
      <c r="UGU21" s="16"/>
      <c r="UGV21" s="2185"/>
      <c r="UGW21" s="16"/>
      <c r="UGX21" s="2185"/>
      <c r="UGY21" s="16"/>
      <c r="UGZ21" s="2185"/>
      <c r="UHA21" s="16"/>
      <c r="UHB21" s="2185"/>
      <c r="UHC21" s="16"/>
      <c r="UHD21" s="2185"/>
      <c r="UHE21" s="16"/>
      <c r="UHF21" s="2185"/>
      <c r="UHG21" s="16"/>
      <c r="UHH21" s="2185"/>
      <c r="UHI21" s="16"/>
      <c r="UHJ21" s="2185"/>
      <c r="UHK21" s="16"/>
      <c r="UHL21" s="2185"/>
      <c r="UHM21" s="16"/>
      <c r="UHN21" s="2185"/>
      <c r="UHO21" s="16"/>
      <c r="UHP21" s="2185"/>
      <c r="UHQ21" s="16"/>
      <c r="UHR21" s="2185"/>
      <c r="UHS21" s="16"/>
      <c r="UHT21" s="2185"/>
      <c r="UHU21" s="16"/>
      <c r="UHV21" s="2185"/>
      <c r="UHW21" s="16"/>
      <c r="UHX21" s="2185"/>
      <c r="UHY21" s="16"/>
      <c r="UHZ21" s="2185"/>
      <c r="UIA21" s="16"/>
      <c r="UIB21" s="2185"/>
      <c r="UIC21" s="16"/>
      <c r="UID21" s="2185"/>
      <c r="UIE21" s="16"/>
      <c r="UIF21" s="2185"/>
      <c r="UIG21" s="16"/>
      <c r="UIH21" s="2185"/>
      <c r="UII21" s="16"/>
      <c r="UIJ21" s="2185"/>
      <c r="UIK21" s="16"/>
      <c r="UIL21" s="2185"/>
      <c r="UIM21" s="16"/>
      <c r="UIN21" s="2185"/>
      <c r="UIO21" s="16"/>
      <c r="UIP21" s="2185"/>
      <c r="UIQ21" s="16"/>
      <c r="UIR21" s="2185"/>
      <c r="UIS21" s="16"/>
      <c r="UIT21" s="2185"/>
      <c r="UIU21" s="16"/>
      <c r="UIV21" s="2185"/>
      <c r="UIW21" s="16"/>
      <c r="UIX21" s="2185"/>
      <c r="UIY21" s="16"/>
      <c r="UIZ21" s="2185"/>
      <c r="UJA21" s="16"/>
      <c r="UJB21" s="2185"/>
      <c r="UJC21" s="16"/>
      <c r="UJD21" s="2185"/>
      <c r="UJE21" s="16"/>
      <c r="UJF21" s="2185"/>
      <c r="UJG21" s="16"/>
      <c r="UJH21" s="2185"/>
      <c r="UJI21" s="16"/>
      <c r="UJJ21" s="2185"/>
      <c r="UJK21" s="16"/>
      <c r="UJL21" s="2185"/>
      <c r="UJM21" s="16"/>
      <c r="UJN21" s="2185"/>
      <c r="UJO21" s="16"/>
      <c r="UJP21" s="2185"/>
      <c r="UJQ21" s="16"/>
      <c r="UJR21" s="2185"/>
      <c r="UJS21" s="16"/>
      <c r="UJT21" s="2185"/>
      <c r="UJU21" s="16"/>
      <c r="UJV21" s="2185"/>
      <c r="UJW21" s="16"/>
      <c r="UJX21" s="2185"/>
      <c r="UJY21" s="16"/>
      <c r="UJZ21" s="2185"/>
      <c r="UKA21" s="16"/>
      <c r="UKB21" s="2185"/>
      <c r="UKC21" s="16"/>
      <c r="UKD21" s="2185"/>
      <c r="UKE21" s="16"/>
      <c r="UKF21" s="2185"/>
      <c r="UKG21" s="16"/>
      <c r="UKH21" s="2185"/>
      <c r="UKI21" s="16"/>
      <c r="UKJ21" s="2185"/>
      <c r="UKK21" s="16"/>
      <c r="UKL21" s="2185"/>
      <c r="UKM21" s="16"/>
      <c r="UKN21" s="2185"/>
      <c r="UKO21" s="16"/>
      <c r="UKP21" s="2185"/>
      <c r="UKQ21" s="16"/>
      <c r="UKR21" s="2185"/>
      <c r="UKS21" s="16"/>
      <c r="UKT21" s="2185"/>
      <c r="UKU21" s="16"/>
      <c r="UKV21" s="2185"/>
      <c r="UKW21" s="16"/>
      <c r="UKX21" s="2185"/>
      <c r="UKY21" s="16"/>
      <c r="UKZ21" s="2185"/>
      <c r="ULA21" s="16"/>
      <c r="ULB21" s="2185"/>
      <c r="ULC21" s="16"/>
      <c r="ULD21" s="2185"/>
      <c r="ULE21" s="16"/>
      <c r="ULF21" s="2185"/>
      <c r="ULG21" s="16"/>
      <c r="ULH21" s="2185"/>
      <c r="ULI21" s="16"/>
      <c r="ULJ21" s="2185"/>
      <c r="ULK21" s="16"/>
      <c r="ULL21" s="2185"/>
      <c r="ULM21" s="16"/>
      <c r="ULN21" s="2185"/>
      <c r="ULO21" s="16"/>
      <c r="ULP21" s="2185"/>
      <c r="ULQ21" s="16"/>
      <c r="ULR21" s="2185"/>
      <c r="ULS21" s="16"/>
      <c r="ULT21" s="2185"/>
      <c r="ULU21" s="16"/>
      <c r="ULV21" s="2185"/>
      <c r="ULW21" s="16"/>
      <c r="ULX21" s="2185"/>
      <c r="ULY21" s="16"/>
      <c r="ULZ21" s="2185"/>
      <c r="UMA21" s="16"/>
      <c r="UMB21" s="2185"/>
      <c r="UMC21" s="16"/>
      <c r="UMD21" s="2185"/>
      <c r="UME21" s="16"/>
      <c r="UMF21" s="2185"/>
      <c r="UMG21" s="16"/>
      <c r="UMH21" s="2185"/>
      <c r="UMI21" s="16"/>
      <c r="UMJ21" s="2185"/>
      <c r="UMK21" s="16"/>
      <c r="UML21" s="2185"/>
      <c r="UMM21" s="16"/>
      <c r="UMN21" s="2185"/>
      <c r="UMO21" s="16"/>
      <c r="UMP21" s="2185"/>
      <c r="UMQ21" s="16"/>
      <c r="UMR21" s="2185"/>
      <c r="UMS21" s="16"/>
      <c r="UMT21" s="2185"/>
      <c r="UMU21" s="16"/>
      <c r="UMV21" s="2185"/>
      <c r="UMW21" s="16"/>
      <c r="UMX21" s="2185"/>
      <c r="UMY21" s="16"/>
      <c r="UMZ21" s="2185"/>
      <c r="UNA21" s="16"/>
      <c r="UNB21" s="2185"/>
      <c r="UNC21" s="16"/>
      <c r="UND21" s="2185"/>
      <c r="UNE21" s="16"/>
      <c r="UNF21" s="2185"/>
      <c r="UNG21" s="16"/>
      <c r="UNH21" s="2185"/>
      <c r="UNI21" s="16"/>
      <c r="UNJ21" s="2185"/>
      <c r="UNK21" s="16"/>
      <c r="UNL21" s="2185"/>
      <c r="UNM21" s="16"/>
      <c r="UNN21" s="2185"/>
      <c r="UNO21" s="16"/>
      <c r="UNP21" s="2185"/>
      <c r="UNQ21" s="16"/>
      <c r="UNR21" s="2185"/>
      <c r="UNS21" s="16"/>
      <c r="UNT21" s="2185"/>
      <c r="UNU21" s="16"/>
      <c r="UNV21" s="2185"/>
      <c r="UNW21" s="16"/>
      <c r="UNX21" s="2185"/>
      <c r="UNY21" s="16"/>
      <c r="UNZ21" s="2185"/>
      <c r="UOA21" s="16"/>
      <c r="UOB21" s="2185"/>
      <c r="UOC21" s="16"/>
      <c r="UOD21" s="2185"/>
      <c r="UOE21" s="16"/>
      <c r="UOF21" s="2185"/>
      <c r="UOG21" s="16"/>
      <c r="UOH21" s="2185"/>
      <c r="UOI21" s="16"/>
      <c r="UOJ21" s="2185"/>
      <c r="UOK21" s="16"/>
      <c r="UOL21" s="2185"/>
      <c r="UOM21" s="16"/>
      <c r="UON21" s="2185"/>
      <c r="UOO21" s="16"/>
      <c r="UOP21" s="2185"/>
      <c r="UOQ21" s="16"/>
      <c r="UOR21" s="2185"/>
      <c r="UOS21" s="16"/>
      <c r="UOT21" s="2185"/>
      <c r="UOU21" s="16"/>
      <c r="UOV21" s="2185"/>
      <c r="UOW21" s="16"/>
      <c r="UOX21" s="2185"/>
      <c r="UOY21" s="16"/>
      <c r="UOZ21" s="2185"/>
      <c r="UPA21" s="16"/>
      <c r="UPB21" s="2185"/>
      <c r="UPC21" s="16"/>
      <c r="UPD21" s="2185"/>
      <c r="UPE21" s="16"/>
      <c r="UPF21" s="2185"/>
      <c r="UPG21" s="16"/>
      <c r="UPH21" s="2185"/>
      <c r="UPI21" s="16"/>
      <c r="UPJ21" s="2185"/>
      <c r="UPK21" s="16"/>
      <c r="UPL21" s="2185"/>
      <c r="UPM21" s="16"/>
      <c r="UPN21" s="2185"/>
      <c r="UPO21" s="16"/>
      <c r="UPP21" s="2185"/>
      <c r="UPQ21" s="16"/>
      <c r="UPR21" s="2185"/>
      <c r="UPS21" s="16"/>
      <c r="UPT21" s="2185"/>
      <c r="UPU21" s="16"/>
      <c r="UPV21" s="2185"/>
      <c r="UPW21" s="16"/>
      <c r="UPX21" s="2185"/>
      <c r="UPY21" s="16"/>
      <c r="UPZ21" s="2185"/>
      <c r="UQA21" s="16"/>
      <c r="UQB21" s="2185"/>
      <c r="UQC21" s="16"/>
      <c r="UQD21" s="2185"/>
      <c r="UQE21" s="16"/>
      <c r="UQF21" s="2185"/>
      <c r="UQG21" s="16"/>
      <c r="UQH21" s="2185"/>
      <c r="UQI21" s="16"/>
      <c r="UQJ21" s="2185"/>
      <c r="UQK21" s="16"/>
      <c r="UQL21" s="2185"/>
      <c r="UQM21" s="16"/>
      <c r="UQN21" s="2185"/>
      <c r="UQO21" s="16"/>
      <c r="UQP21" s="2185"/>
      <c r="UQQ21" s="16"/>
      <c r="UQR21" s="2185"/>
      <c r="UQS21" s="16"/>
      <c r="UQT21" s="2185"/>
      <c r="UQU21" s="16"/>
      <c r="UQV21" s="2185"/>
      <c r="UQW21" s="16"/>
      <c r="UQX21" s="2185"/>
      <c r="UQY21" s="16"/>
      <c r="UQZ21" s="2185"/>
      <c r="URA21" s="16"/>
      <c r="URB21" s="2185"/>
      <c r="URC21" s="16"/>
      <c r="URD21" s="2185"/>
      <c r="URE21" s="16"/>
      <c r="URF21" s="2185"/>
      <c r="URG21" s="16"/>
      <c r="URH21" s="2185"/>
      <c r="URI21" s="16"/>
      <c r="URJ21" s="2185"/>
      <c r="URK21" s="16"/>
      <c r="URL21" s="2185"/>
      <c r="URM21" s="16"/>
      <c r="URN21" s="2185"/>
      <c r="URO21" s="16"/>
      <c r="URP21" s="2185"/>
      <c r="URQ21" s="16"/>
      <c r="URR21" s="2185"/>
      <c r="URS21" s="16"/>
      <c r="URT21" s="2185"/>
      <c r="URU21" s="16"/>
      <c r="URV21" s="2185"/>
      <c r="URW21" s="16"/>
      <c r="URX21" s="2185"/>
      <c r="URY21" s="16"/>
      <c r="URZ21" s="2185"/>
      <c r="USA21" s="16"/>
      <c r="USB21" s="2185"/>
      <c r="USC21" s="16"/>
      <c r="USD21" s="2185"/>
      <c r="USE21" s="16"/>
      <c r="USF21" s="2185"/>
      <c r="USG21" s="16"/>
      <c r="USH21" s="2185"/>
      <c r="USI21" s="16"/>
      <c r="USJ21" s="2185"/>
      <c r="USK21" s="16"/>
      <c r="USL21" s="2185"/>
      <c r="USM21" s="16"/>
      <c r="USN21" s="2185"/>
      <c r="USO21" s="16"/>
      <c r="USP21" s="2185"/>
      <c r="USQ21" s="16"/>
      <c r="USR21" s="2185"/>
      <c r="USS21" s="16"/>
      <c r="UST21" s="2185"/>
      <c r="USU21" s="16"/>
      <c r="USV21" s="2185"/>
      <c r="USW21" s="16"/>
      <c r="USX21" s="2185"/>
      <c r="USY21" s="16"/>
      <c r="USZ21" s="2185"/>
      <c r="UTA21" s="16"/>
      <c r="UTB21" s="2185"/>
      <c r="UTC21" s="16"/>
      <c r="UTD21" s="2185"/>
      <c r="UTE21" s="16"/>
      <c r="UTF21" s="2185"/>
      <c r="UTG21" s="16"/>
      <c r="UTH21" s="2185"/>
      <c r="UTI21" s="16"/>
      <c r="UTJ21" s="2185"/>
      <c r="UTK21" s="16"/>
      <c r="UTL21" s="2185"/>
      <c r="UTM21" s="16"/>
      <c r="UTN21" s="2185"/>
      <c r="UTO21" s="16"/>
      <c r="UTP21" s="2185"/>
      <c r="UTQ21" s="16"/>
      <c r="UTR21" s="2185"/>
      <c r="UTS21" s="16"/>
      <c r="UTT21" s="2185"/>
      <c r="UTU21" s="16"/>
      <c r="UTV21" s="2185"/>
      <c r="UTW21" s="16"/>
      <c r="UTX21" s="2185"/>
      <c r="UTY21" s="16"/>
      <c r="UTZ21" s="2185"/>
      <c r="UUA21" s="16"/>
      <c r="UUB21" s="2185"/>
      <c r="UUC21" s="16"/>
      <c r="UUD21" s="2185"/>
      <c r="UUE21" s="16"/>
      <c r="UUF21" s="2185"/>
      <c r="UUG21" s="16"/>
      <c r="UUH21" s="2185"/>
      <c r="UUI21" s="16"/>
      <c r="UUJ21" s="2185"/>
      <c r="UUK21" s="16"/>
      <c r="UUL21" s="2185"/>
      <c r="UUM21" s="16"/>
      <c r="UUN21" s="2185"/>
      <c r="UUO21" s="16"/>
      <c r="UUP21" s="2185"/>
      <c r="UUQ21" s="16"/>
      <c r="UUR21" s="2185"/>
      <c r="UUS21" s="16"/>
      <c r="UUT21" s="2185"/>
      <c r="UUU21" s="16"/>
      <c r="UUV21" s="2185"/>
      <c r="UUW21" s="16"/>
      <c r="UUX21" s="2185"/>
      <c r="UUY21" s="16"/>
      <c r="UUZ21" s="2185"/>
      <c r="UVA21" s="16"/>
      <c r="UVB21" s="2185"/>
      <c r="UVC21" s="16"/>
      <c r="UVD21" s="2185"/>
      <c r="UVE21" s="16"/>
      <c r="UVF21" s="2185"/>
      <c r="UVG21" s="16"/>
      <c r="UVH21" s="2185"/>
      <c r="UVI21" s="16"/>
      <c r="UVJ21" s="2185"/>
      <c r="UVK21" s="16"/>
      <c r="UVL21" s="2185"/>
      <c r="UVM21" s="16"/>
      <c r="UVN21" s="2185"/>
      <c r="UVO21" s="16"/>
      <c r="UVP21" s="2185"/>
      <c r="UVQ21" s="16"/>
      <c r="UVR21" s="2185"/>
      <c r="UVS21" s="16"/>
      <c r="UVT21" s="2185"/>
      <c r="UVU21" s="16"/>
      <c r="UVV21" s="2185"/>
      <c r="UVW21" s="16"/>
      <c r="UVX21" s="2185"/>
      <c r="UVY21" s="16"/>
      <c r="UVZ21" s="2185"/>
      <c r="UWA21" s="16"/>
      <c r="UWB21" s="2185"/>
      <c r="UWC21" s="16"/>
      <c r="UWD21" s="2185"/>
      <c r="UWE21" s="16"/>
      <c r="UWF21" s="2185"/>
      <c r="UWG21" s="16"/>
      <c r="UWH21" s="2185"/>
      <c r="UWI21" s="16"/>
      <c r="UWJ21" s="2185"/>
      <c r="UWK21" s="16"/>
      <c r="UWL21" s="2185"/>
      <c r="UWM21" s="16"/>
      <c r="UWN21" s="2185"/>
      <c r="UWO21" s="16"/>
      <c r="UWP21" s="2185"/>
      <c r="UWQ21" s="16"/>
      <c r="UWR21" s="2185"/>
      <c r="UWS21" s="16"/>
      <c r="UWT21" s="2185"/>
      <c r="UWU21" s="16"/>
      <c r="UWV21" s="2185"/>
      <c r="UWW21" s="16"/>
      <c r="UWX21" s="2185"/>
      <c r="UWY21" s="16"/>
      <c r="UWZ21" s="2185"/>
      <c r="UXA21" s="16"/>
      <c r="UXB21" s="2185"/>
      <c r="UXC21" s="16"/>
      <c r="UXD21" s="2185"/>
      <c r="UXE21" s="16"/>
      <c r="UXF21" s="2185"/>
      <c r="UXG21" s="16"/>
      <c r="UXH21" s="2185"/>
      <c r="UXI21" s="16"/>
      <c r="UXJ21" s="2185"/>
      <c r="UXK21" s="16"/>
      <c r="UXL21" s="2185"/>
      <c r="UXM21" s="16"/>
      <c r="UXN21" s="2185"/>
      <c r="UXO21" s="16"/>
      <c r="UXP21" s="2185"/>
      <c r="UXQ21" s="16"/>
      <c r="UXR21" s="2185"/>
      <c r="UXS21" s="16"/>
      <c r="UXT21" s="2185"/>
      <c r="UXU21" s="16"/>
      <c r="UXV21" s="2185"/>
      <c r="UXW21" s="16"/>
      <c r="UXX21" s="2185"/>
      <c r="UXY21" s="16"/>
      <c r="UXZ21" s="2185"/>
      <c r="UYA21" s="16"/>
      <c r="UYB21" s="2185"/>
      <c r="UYC21" s="16"/>
      <c r="UYD21" s="2185"/>
      <c r="UYE21" s="16"/>
      <c r="UYF21" s="2185"/>
      <c r="UYG21" s="16"/>
      <c r="UYH21" s="2185"/>
      <c r="UYI21" s="16"/>
      <c r="UYJ21" s="2185"/>
      <c r="UYK21" s="16"/>
      <c r="UYL21" s="2185"/>
      <c r="UYM21" s="16"/>
      <c r="UYN21" s="2185"/>
      <c r="UYO21" s="16"/>
      <c r="UYP21" s="2185"/>
      <c r="UYQ21" s="16"/>
      <c r="UYR21" s="2185"/>
      <c r="UYS21" s="16"/>
      <c r="UYT21" s="2185"/>
      <c r="UYU21" s="16"/>
      <c r="UYV21" s="2185"/>
      <c r="UYW21" s="16"/>
      <c r="UYX21" s="2185"/>
      <c r="UYY21" s="16"/>
      <c r="UYZ21" s="2185"/>
      <c r="UZA21" s="16"/>
      <c r="UZB21" s="2185"/>
      <c r="UZC21" s="16"/>
      <c r="UZD21" s="2185"/>
      <c r="UZE21" s="16"/>
      <c r="UZF21" s="2185"/>
      <c r="UZG21" s="16"/>
      <c r="UZH21" s="2185"/>
      <c r="UZI21" s="16"/>
      <c r="UZJ21" s="2185"/>
      <c r="UZK21" s="16"/>
      <c r="UZL21" s="2185"/>
      <c r="UZM21" s="16"/>
      <c r="UZN21" s="2185"/>
      <c r="UZO21" s="16"/>
      <c r="UZP21" s="2185"/>
      <c r="UZQ21" s="16"/>
      <c r="UZR21" s="2185"/>
      <c r="UZS21" s="16"/>
      <c r="UZT21" s="2185"/>
      <c r="UZU21" s="16"/>
      <c r="UZV21" s="2185"/>
      <c r="UZW21" s="16"/>
      <c r="UZX21" s="2185"/>
      <c r="UZY21" s="16"/>
      <c r="UZZ21" s="2185"/>
      <c r="VAA21" s="16"/>
      <c r="VAB21" s="2185"/>
      <c r="VAC21" s="16"/>
      <c r="VAD21" s="2185"/>
      <c r="VAE21" s="16"/>
      <c r="VAF21" s="2185"/>
      <c r="VAG21" s="16"/>
      <c r="VAH21" s="2185"/>
      <c r="VAI21" s="16"/>
      <c r="VAJ21" s="2185"/>
      <c r="VAK21" s="16"/>
      <c r="VAL21" s="2185"/>
      <c r="VAM21" s="16"/>
      <c r="VAN21" s="2185"/>
      <c r="VAO21" s="16"/>
      <c r="VAP21" s="2185"/>
      <c r="VAQ21" s="16"/>
      <c r="VAR21" s="2185"/>
      <c r="VAS21" s="16"/>
      <c r="VAT21" s="2185"/>
      <c r="VAU21" s="16"/>
      <c r="VAV21" s="2185"/>
      <c r="VAW21" s="16"/>
      <c r="VAX21" s="2185"/>
      <c r="VAY21" s="16"/>
      <c r="VAZ21" s="2185"/>
      <c r="VBA21" s="16"/>
      <c r="VBB21" s="2185"/>
      <c r="VBC21" s="16"/>
      <c r="VBD21" s="2185"/>
      <c r="VBE21" s="16"/>
      <c r="VBF21" s="2185"/>
      <c r="VBG21" s="16"/>
      <c r="VBH21" s="2185"/>
      <c r="VBI21" s="16"/>
      <c r="VBJ21" s="2185"/>
      <c r="VBK21" s="16"/>
      <c r="VBL21" s="2185"/>
      <c r="VBM21" s="16"/>
      <c r="VBN21" s="2185"/>
      <c r="VBO21" s="16"/>
      <c r="VBP21" s="2185"/>
      <c r="VBQ21" s="16"/>
      <c r="VBR21" s="2185"/>
      <c r="VBS21" s="16"/>
      <c r="VBT21" s="2185"/>
      <c r="VBU21" s="16"/>
      <c r="VBV21" s="2185"/>
      <c r="VBW21" s="16"/>
      <c r="VBX21" s="2185"/>
      <c r="VBY21" s="16"/>
      <c r="VBZ21" s="2185"/>
      <c r="VCA21" s="16"/>
      <c r="VCB21" s="2185"/>
      <c r="VCC21" s="16"/>
      <c r="VCD21" s="2185"/>
      <c r="VCE21" s="16"/>
      <c r="VCF21" s="2185"/>
      <c r="VCG21" s="16"/>
      <c r="VCH21" s="2185"/>
      <c r="VCI21" s="16"/>
      <c r="VCJ21" s="2185"/>
      <c r="VCK21" s="16"/>
      <c r="VCL21" s="2185"/>
      <c r="VCM21" s="16"/>
      <c r="VCN21" s="2185"/>
      <c r="VCO21" s="16"/>
      <c r="VCP21" s="2185"/>
      <c r="VCQ21" s="16"/>
      <c r="VCR21" s="2185"/>
      <c r="VCS21" s="16"/>
      <c r="VCT21" s="2185"/>
      <c r="VCU21" s="16"/>
      <c r="VCV21" s="2185"/>
      <c r="VCW21" s="16"/>
      <c r="VCX21" s="2185"/>
      <c r="VCY21" s="16"/>
      <c r="VCZ21" s="2185"/>
      <c r="VDA21" s="16"/>
      <c r="VDB21" s="2185"/>
      <c r="VDC21" s="16"/>
      <c r="VDD21" s="2185"/>
      <c r="VDE21" s="16"/>
      <c r="VDF21" s="2185"/>
      <c r="VDG21" s="16"/>
      <c r="VDH21" s="2185"/>
      <c r="VDI21" s="16"/>
      <c r="VDJ21" s="2185"/>
      <c r="VDK21" s="16"/>
      <c r="VDL21" s="2185"/>
      <c r="VDM21" s="16"/>
      <c r="VDN21" s="2185"/>
      <c r="VDO21" s="16"/>
      <c r="VDP21" s="2185"/>
      <c r="VDQ21" s="16"/>
      <c r="VDR21" s="2185"/>
      <c r="VDS21" s="16"/>
      <c r="VDT21" s="2185"/>
      <c r="VDU21" s="16"/>
      <c r="VDV21" s="2185"/>
      <c r="VDW21" s="16"/>
      <c r="VDX21" s="2185"/>
      <c r="VDY21" s="16"/>
      <c r="VDZ21" s="2185"/>
      <c r="VEA21" s="16"/>
      <c r="VEB21" s="2185"/>
      <c r="VEC21" s="16"/>
      <c r="VED21" s="2185"/>
      <c r="VEE21" s="16"/>
      <c r="VEF21" s="2185"/>
      <c r="VEG21" s="16"/>
      <c r="VEH21" s="2185"/>
      <c r="VEI21" s="16"/>
      <c r="VEJ21" s="2185"/>
      <c r="VEK21" s="16"/>
      <c r="VEL21" s="2185"/>
      <c r="VEM21" s="16"/>
      <c r="VEN21" s="2185"/>
      <c r="VEO21" s="16"/>
      <c r="VEP21" s="2185"/>
      <c r="VEQ21" s="16"/>
      <c r="VER21" s="2185"/>
      <c r="VES21" s="16"/>
      <c r="VET21" s="2185"/>
      <c r="VEU21" s="16"/>
      <c r="VEV21" s="2185"/>
      <c r="VEW21" s="16"/>
      <c r="VEX21" s="2185"/>
      <c r="VEY21" s="16"/>
      <c r="VEZ21" s="2185"/>
      <c r="VFA21" s="16"/>
      <c r="VFB21" s="2185"/>
      <c r="VFC21" s="16"/>
      <c r="VFD21" s="2185"/>
      <c r="VFE21" s="16"/>
      <c r="VFF21" s="2185"/>
      <c r="VFG21" s="16"/>
      <c r="VFH21" s="2185"/>
      <c r="VFI21" s="16"/>
      <c r="VFJ21" s="2185"/>
      <c r="VFK21" s="16"/>
      <c r="VFL21" s="2185"/>
      <c r="VFM21" s="16"/>
      <c r="VFN21" s="2185"/>
      <c r="VFO21" s="16"/>
      <c r="VFP21" s="2185"/>
      <c r="VFQ21" s="16"/>
      <c r="VFR21" s="2185"/>
      <c r="VFS21" s="16"/>
      <c r="VFT21" s="2185"/>
      <c r="VFU21" s="16"/>
      <c r="VFV21" s="2185"/>
      <c r="VFW21" s="16"/>
      <c r="VFX21" s="2185"/>
      <c r="VFY21" s="16"/>
      <c r="VFZ21" s="2185"/>
      <c r="VGA21" s="16"/>
      <c r="VGB21" s="2185"/>
      <c r="VGC21" s="16"/>
      <c r="VGD21" s="2185"/>
      <c r="VGE21" s="16"/>
      <c r="VGF21" s="2185"/>
      <c r="VGG21" s="16"/>
      <c r="VGH21" s="2185"/>
      <c r="VGI21" s="16"/>
      <c r="VGJ21" s="2185"/>
      <c r="VGK21" s="16"/>
      <c r="VGL21" s="2185"/>
      <c r="VGM21" s="16"/>
      <c r="VGN21" s="2185"/>
      <c r="VGO21" s="16"/>
      <c r="VGP21" s="2185"/>
      <c r="VGQ21" s="16"/>
      <c r="VGR21" s="2185"/>
      <c r="VGS21" s="16"/>
      <c r="VGT21" s="2185"/>
      <c r="VGU21" s="16"/>
      <c r="VGV21" s="2185"/>
      <c r="VGW21" s="16"/>
      <c r="VGX21" s="2185"/>
      <c r="VGY21" s="16"/>
      <c r="VGZ21" s="2185"/>
      <c r="VHA21" s="16"/>
      <c r="VHB21" s="2185"/>
      <c r="VHC21" s="16"/>
      <c r="VHD21" s="2185"/>
      <c r="VHE21" s="16"/>
      <c r="VHF21" s="2185"/>
      <c r="VHG21" s="16"/>
      <c r="VHH21" s="2185"/>
      <c r="VHI21" s="16"/>
      <c r="VHJ21" s="2185"/>
      <c r="VHK21" s="16"/>
      <c r="VHL21" s="2185"/>
      <c r="VHM21" s="16"/>
      <c r="VHN21" s="2185"/>
      <c r="VHO21" s="16"/>
      <c r="VHP21" s="2185"/>
      <c r="VHQ21" s="16"/>
      <c r="VHR21" s="2185"/>
      <c r="VHS21" s="16"/>
      <c r="VHT21" s="2185"/>
      <c r="VHU21" s="16"/>
      <c r="VHV21" s="2185"/>
      <c r="VHW21" s="16"/>
      <c r="VHX21" s="2185"/>
      <c r="VHY21" s="16"/>
      <c r="VHZ21" s="2185"/>
      <c r="VIA21" s="16"/>
      <c r="VIB21" s="2185"/>
      <c r="VIC21" s="16"/>
      <c r="VID21" s="2185"/>
      <c r="VIE21" s="16"/>
      <c r="VIF21" s="2185"/>
      <c r="VIG21" s="16"/>
      <c r="VIH21" s="2185"/>
      <c r="VII21" s="16"/>
      <c r="VIJ21" s="2185"/>
      <c r="VIK21" s="16"/>
      <c r="VIL21" s="2185"/>
      <c r="VIM21" s="16"/>
      <c r="VIN21" s="2185"/>
      <c r="VIO21" s="16"/>
      <c r="VIP21" s="2185"/>
      <c r="VIQ21" s="16"/>
      <c r="VIR21" s="2185"/>
      <c r="VIS21" s="16"/>
      <c r="VIT21" s="2185"/>
      <c r="VIU21" s="16"/>
      <c r="VIV21" s="2185"/>
      <c r="VIW21" s="16"/>
      <c r="VIX21" s="2185"/>
      <c r="VIY21" s="16"/>
      <c r="VIZ21" s="2185"/>
      <c r="VJA21" s="16"/>
      <c r="VJB21" s="2185"/>
      <c r="VJC21" s="16"/>
      <c r="VJD21" s="2185"/>
      <c r="VJE21" s="16"/>
      <c r="VJF21" s="2185"/>
      <c r="VJG21" s="16"/>
      <c r="VJH21" s="2185"/>
      <c r="VJI21" s="16"/>
      <c r="VJJ21" s="2185"/>
      <c r="VJK21" s="16"/>
      <c r="VJL21" s="2185"/>
      <c r="VJM21" s="16"/>
      <c r="VJN21" s="2185"/>
      <c r="VJO21" s="16"/>
      <c r="VJP21" s="2185"/>
      <c r="VJQ21" s="16"/>
      <c r="VJR21" s="2185"/>
      <c r="VJS21" s="16"/>
      <c r="VJT21" s="2185"/>
      <c r="VJU21" s="16"/>
      <c r="VJV21" s="2185"/>
      <c r="VJW21" s="16"/>
      <c r="VJX21" s="2185"/>
      <c r="VJY21" s="16"/>
      <c r="VJZ21" s="2185"/>
      <c r="VKA21" s="16"/>
      <c r="VKB21" s="2185"/>
      <c r="VKC21" s="16"/>
      <c r="VKD21" s="2185"/>
      <c r="VKE21" s="16"/>
      <c r="VKF21" s="2185"/>
      <c r="VKG21" s="16"/>
      <c r="VKH21" s="2185"/>
      <c r="VKI21" s="16"/>
      <c r="VKJ21" s="2185"/>
      <c r="VKK21" s="16"/>
      <c r="VKL21" s="2185"/>
      <c r="VKM21" s="16"/>
      <c r="VKN21" s="2185"/>
      <c r="VKO21" s="16"/>
      <c r="VKP21" s="2185"/>
      <c r="VKQ21" s="16"/>
      <c r="VKR21" s="2185"/>
      <c r="VKS21" s="16"/>
      <c r="VKT21" s="2185"/>
      <c r="VKU21" s="16"/>
      <c r="VKV21" s="2185"/>
      <c r="VKW21" s="16"/>
      <c r="VKX21" s="2185"/>
      <c r="VKY21" s="16"/>
      <c r="VKZ21" s="2185"/>
      <c r="VLA21" s="16"/>
      <c r="VLB21" s="2185"/>
      <c r="VLC21" s="16"/>
      <c r="VLD21" s="2185"/>
      <c r="VLE21" s="16"/>
      <c r="VLF21" s="2185"/>
      <c r="VLG21" s="16"/>
      <c r="VLH21" s="2185"/>
      <c r="VLI21" s="16"/>
      <c r="VLJ21" s="2185"/>
      <c r="VLK21" s="16"/>
      <c r="VLL21" s="2185"/>
      <c r="VLM21" s="16"/>
      <c r="VLN21" s="2185"/>
      <c r="VLO21" s="16"/>
      <c r="VLP21" s="2185"/>
      <c r="VLQ21" s="16"/>
      <c r="VLR21" s="2185"/>
      <c r="VLS21" s="16"/>
      <c r="VLT21" s="2185"/>
      <c r="VLU21" s="16"/>
      <c r="VLV21" s="2185"/>
      <c r="VLW21" s="16"/>
      <c r="VLX21" s="2185"/>
      <c r="VLY21" s="16"/>
      <c r="VLZ21" s="2185"/>
      <c r="VMA21" s="16"/>
      <c r="VMB21" s="2185"/>
      <c r="VMC21" s="16"/>
      <c r="VMD21" s="2185"/>
      <c r="VME21" s="16"/>
      <c r="VMF21" s="2185"/>
      <c r="VMG21" s="16"/>
      <c r="VMH21" s="2185"/>
      <c r="VMI21" s="16"/>
      <c r="VMJ21" s="2185"/>
      <c r="VMK21" s="16"/>
      <c r="VML21" s="2185"/>
      <c r="VMM21" s="16"/>
      <c r="VMN21" s="2185"/>
      <c r="VMO21" s="16"/>
      <c r="VMP21" s="2185"/>
      <c r="VMQ21" s="16"/>
      <c r="VMR21" s="2185"/>
      <c r="VMS21" s="16"/>
      <c r="VMT21" s="2185"/>
      <c r="VMU21" s="16"/>
      <c r="VMV21" s="2185"/>
      <c r="VMW21" s="16"/>
      <c r="VMX21" s="2185"/>
      <c r="VMY21" s="16"/>
      <c r="VMZ21" s="2185"/>
      <c r="VNA21" s="16"/>
      <c r="VNB21" s="2185"/>
      <c r="VNC21" s="16"/>
      <c r="VND21" s="2185"/>
      <c r="VNE21" s="16"/>
      <c r="VNF21" s="2185"/>
      <c r="VNG21" s="16"/>
      <c r="VNH21" s="2185"/>
      <c r="VNI21" s="16"/>
      <c r="VNJ21" s="2185"/>
      <c r="VNK21" s="16"/>
      <c r="VNL21" s="2185"/>
      <c r="VNM21" s="16"/>
      <c r="VNN21" s="2185"/>
      <c r="VNO21" s="16"/>
      <c r="VNP21" s="2185"/>
      <c r="VNQ21" s="16"/>
      <c r="VNR21" s="2185"/>
      <c r="VNS21" s="16"/>
      <c r="VNT21" s="2185"/>
      <c r="VNU21" s="16"/>
      <c r="VNV21" s="2185"/>
      <c r="VNW21" s="16"/>
      <c r="VNX21" s="2185"/>
      <c r="VNY21" s="16"/>
      <c r="VNZ21" s="2185"/>
      <c r="VOA21" s="16"/>
      <c r="VOB21" s="2185"/>
      <c r="VOC21" s="16"/>
      <c r="VOD21" s="2185"/>
      <c r="VOE21" s="16"/>
      <c r="VOF21" s="2185"/>
      <c r="VOG21" s="16"/>
      <c r="VOH21" s="2185"/>
      <c r="VOI21" s="16"/>
      <c r="VOJ21" s="2185"/>
      <c r="VOK21" s="16"/>
      <c r="VOL21" s="2185"/>
      <c r="VOM21" s="16"/>
      <c r="VON21" s="2185"/>
      <c r="VOO21" s="16"/>
      <c r="VOP21" s="2185"/>
      <c r="VOQ21" s="16"/>
      <c r="VOR21" s="2185"/>
      <c r="VOS21" s="16"/>
      <c r="VOT21" s="2185"/>
      <c r="VOU21" s="16"/>
      <c r="VOV21" s="2185"/>
      <c r="VOW21" s="16"/>
      <c r="VOX21" s="2185"/>
      <c r="VOY21" s="16"/>
      <c r="VOZ21" s="2185"/>
      <c r="VPA21" s="16"/>
      <c r="VPB21" s="2185"/>
      <c r="VPC21" s="16"/>
      <c r="VPD21" s="2185"/>
      <c r="VPE21" s="16"/>
      <c r="VPF21" s="2185"/>
      <c r="VPG21" s="16"/>
      <c r="VPH21" s="2185"/>
      <c r="VPI21" s="16"/>
      <c r="VPJ21" s="2185"/>
      <c r="VPK21" s="16"/>
      <c r="VPL21" s="2185"/>
      <c r="VPM21" s="16"/>
      <c r="VPN21" s="2185"/>
      <c r="VPO21" s="16"/>
      <c r="VPP21" s="2185"/>
      <c r="VPQ21" s="16"/>
      <c r="VPR21" s="2185"/>
      <c r="VPS21" s="16"/>
      <c r="VPT21" s="2185"/>
      <c r="VPU21" s="16"/>
      <c r="VPV21" s="2185"/>
      <c r="VPW21" s="16"/>
      <c r="VPX21" s="2185"/>
      <c r="VPY21" s="16"/>
      <c r="VPZ21" s="2185"/>
      <c r="VQA21" s="16"/>
      <c r="VQB21" s="2185"/>
      <c r="VQC21" s="16"/>
      <c r="VQD21" s="2185"/>
      <c r="VQE21" s="16"/>
      <c r="VQF21" s="2185"/>
      <c r="VQG21" s="16"/>
      <c r="VQH21" s="2185"/>
      <c r="VQI21" s="16"/>
      <c r="VQJ21" s="2185"/>
      <c r="VQK21" s="16"/>
      <c r="VQL21" s="2185"/>
      <c r="VQM21" s="16"/>
      <c r="VQN21" s="2185"/>
      <c r="VQO21" s="16"/>
      <c r="VQP21" s="2185"/>
      <c r="VQQ21" s="16"/>
      <c r="VQR21" s="2185"/>
      <c r="VQS21" s="16"/>
      <c r="VQT21" s="2185"/>
      <c r="VQU21" s="16"/>
      <c r="VQV21" s="2185"/>
      <c r="VQW21" s="16"/>
      <c r="VQX21" s="2185"/>
      <c r="VQY21" s="16"/>
      <c r="VQZ21" s="2185"/>
      <c r="VRA21" s="16"/>
      <c r="VRB21" s="2185"/>
      <c r="VRC21" s="16"/>
      <c r="VRD21" s="2185"/>
      <c r="VRE21" s="16"/>
      <c r="VRF21" s="2185"/>
      <c r="VRG21" s="16"/>
      <c r="VRH21" s="2185"/>
      <c r="VRI21" s="16"/>
      <c r="VRJ21" s="2185"/>
      <c r="VRK21" s="16"/>
      <c r="VRL21" s="2185"/>
      <c r="VRM21" s="16"/>
      <c r="VRN21" s="2185"/>
      <c r="VRO21" s="16"/>
      <c r="VRP21" s="2185"/>
      <c r="VRQ21" s="16"/>
      <c r="VRR21" s="2185"/>
      <c r="VRS21" s="16"/>
      <c r="VRT21" s="2185"/>
      <c r="VRU21" s="16"/>
      <c r="VRV21" s="2185"/>
      <c r="VRW21" s="16"/>
      <c r="VRX21" s="2185"/>
      <c r="VRY21" s="16"/>
      <c r="VRZ21" s="2185"/>
      <c r="VSA21" s="16"/>
      <c r="VSB21" s="2185"/>
      <c r="VSC21" s="16"/>
      <c r="VSD21" s="2185"/>
      <c r="VSE21" s="16"/>
      <c r="VSF21" s="2185"/>
      <c r="VSG21" s="16"/>
      <c r="VSH21" s="2185"/>
      <c r="VSI21" s="16"/>
      <c r="VSJ21" s="2185"/>
      <c r="VSK21" s="16"/>
      <c r="VSL21" s="2185"/>
      <c r="VSM21" s="16"/>
      <c r="VSN21" s="2185"/>
      <c r="VSO21" s="16"/>
      <c r="VSP21" s="2185"/>
      <c r="VSQ21" s="16"/>
      <c r="VSR21" s="2185"/>
      <c r="VSS21" s="16"/>
      <c r="VST21" s="2185"/>
      <c r="VSU21" s="16"/>
      <c r="VSV21" s="2185"/>
      <c r="VSW21" s="16"/>
      <c r="VSX21" s="2185"/>
      <c r="VSY21" s="16"/>
      <c r="VSZ21" s="2185"/>
      <c r="VTA21" s="16"/>
      <c r="VTB21" s="2185"/>
      <c r="VTC21" s="16"/>
      <c r="VTD21" s="2185"/>
      <c r="VTE21" s="16"/>
      <c r="VTF21" s="2185"/>
      <c r="VTG21" s="16"/>
      <c r="VTH21" s="2185"/>
      <c r="VTI21" s="16"/>
      <c r="VTJ21" s="2185"/>
      <c r="VTK21" s="16"/>
      <c r="VTL21" s="2185"/>
      <c r="VTM21" s="16"/>
      <c r="VTN21" s="2185"/>
      <c r="VTO21" s="16"/>
      <c r="VTP21" s="2185"/>
      <c r="VTQ21" s="16"/>
      <c r="VTR21" s="2185"/>
      <c r="VTS21" s="16"/>
      <c r="VTT21" s="2185"/>
      <c r="VTU21" s="16"/>
      <c r="VTV21" s="2185"/>
      <c r="VTW21" s="16"/>
      <c r="VTX21" s="2185"/>
      <c r="VTY21" s="16"/>
      <c r="VTZ21" s="2185"/>
      <c r="VUA21" s="16"/>
      <c r="VUB21" s="2185"/>
      <c r="VUC21" s="16"/>
      <c r="VUD21" s="2185"/>
      <c r="VUE21" s="16"/>
      <c r="VUF21" s="2185"/>
      <c r="VUG21" s="16"/>
      <c r="VUH21" s="2185"/>
      <c r="VUI21" s="16"/>
      <c r="VUJ21" s="2185"/>
      <c r="VUK21" s="16"/>
      <c r="VUL21" s="2185"/>
      <c r="VUM21" s="16"/>
      <c r="VUN21" s="2185"/>
      <c r="VUO21" s="16"/>
      <c r="VUP21" s="2185"/>
      <c r="VUQ21" s="16"/>
      <c r="VUR21" s="2185"/>
      <c r="VUS21" s="16"/>
      <c r="VUT21" s="2185"/>
      <c r="VUU21" s="16"/>
      <c r="VUV21" s="2185"/>
      <c r="VUW21" s="16"/>
      <c r="VUX21" s="2185"/>
      <c r="VUY21" s="16"/>
      <c r="VUZ21" s="2185"/>
      <c r="VVA21" s="16"/>
      <c r="VVB21" s="2185"/>
      <c r="VVC21" s="16"/>
      <c r="VVD21" s="2185"/>
      <c r="VVE21" s="16"/>
      <c r="VVF21" s="2185"/>
      <c r="VVG21" s="16"/>
      <c r="VVH21" s="2185"/>
      <c r="VVI21" s="16"/>
      <c r="VVJ21" s="2185"/>
      <c r="VVK21" s="16"/>
      <c r="VVL21" s="2185"/>
      <c r="VVM21" s="16"/>
      <c r="VVN21" s="2185"/>
      <c r="VVO21" s="16"/>
      <c r="VVP21" s="2185"/>
      <c r="VVQ21" s="16"/>
      <c r="VVR21" s="2185"/>
      <c r="VVS21" s="16"/>
      <c r="VVT21" s="2185"/>
      <c r="VVU21" s="16"/>
      <c r="VVV21" s="2185"/>
      <c r="VVW21" s="16"/>
      <c r="VVX21" s="2185"/>
      <c r="VVY21" s="16"/>
      <c r="VVZ21" s="2185"/>
      <c r="VWA21" s="16"/>
      <c r="VWB21" s="2185"/>
      <c r="VWC21" s="16"/>
      <c r="VWD21" s="2185"/>
      <c r="VWE21" s="16"/>
      <c r="VWF21" s="2185"/>
      <c r="VWG21" s="16"/>
      <c r="VWH21" s="2185"/>
      <c r="VWI21" s="16"/>
      <c r="VWJ21" s="2185"/>
      <c r="VWK21" s="16"/>
      <c r="VWL21" s="2185"/>
      <c r="VWM21" s="16"/>
      <c r="VWN21" s="2185"/>
      <c r="VWO21" s="16"/>
      <c r="VWP21" s="2185"/>
      <c r="VWQ21" s="16"/>
      <c r="VWR21" s="2185"/>
      <c r="VWS21" s="16"/>
      <c r="VWT21" s="2185"/>
      <c r="VWU21" s="16"/>
      <c r="VWV21" s="2185"/>
      <c r="VWW21" s="16"/>
      <c r="VWX21" s="2185"/>
      <c r="VWY21" s="16"/>
      <c r="VWZ21" s="2185"/>
      <c r="VXA21" s="16"/>
      <c r="VXB21" s="2185"/>
      <c r="VXC21" s="16"/>
      <c r="VXD21" s="2185"/>
      <c r="VXE21" s="16"/>
      <c r="VXF21" s="2185"/>
      <c r="VXG21" s="16"/>
      <c r="VXH21" s="2185"/>
      <c r="VXI21" s="16"/>
      <c r="VXJ21" s="2185"/>
      <c r="VXK21" s="16"/>
      <c r="VXL21" s="2185"/>
      <c r="VXM21" s="16"/>
      <c r="VXN21" s="2185"/>
      <c r="VXO21" s="16"/>
      <c r="VXP21" s="2185"/>
      <c r="VXQ21" s="16"/>
      <c r="VXR21" s="2185"/>
      <c r="VXS21" s="16"/>
      <c r="VXT21" s="2185"/>
      <c r="VXU21" s="16"/>
      <c r="VXV21" s="2185"/>
      <c r="VXW21" s="16"/>
      <c r="VXX21" s="2185"/>
      <c r="VXY21" s="16"/>
      <c r="VXZ21" s="2185"/>
      <c r="VYA21" s="16"/>
      <c r="VYB21" s="2185"/>
      <c r="VYC21" s="16"/>
      <c r="VYD21" s="2185"/>
      <c r="VYE21" s="16"/>
      <c r="VYF21" s="2185"/>
      <c r="VYG21" s="16"/>
      <c r="VYH21" s="2185"/>
      <c r="VYI21" s="16"/>
      <c r="VYJ21" s="2185"/>
      <c r="VYK21" s="16"/>
      <c r="VYL21" s="2185"/>
      <c r="VYM21" s="16"/>
      <c r="VYN21" s="2185"/>
      <c r="VYO21" s="16"/>
      <c r="VYP21" s="2185"/>
      <c r="VYQ21" s="16"/>
      <c r="VYR21" s="2185"/>
      <c r="VYS21" s="16"/>
      <c r="VYT21" s="2185"/>
      <c r="VYU21" s="16"/>
      <c r="VYV21" s="2185"/>
      <c r="VYW21" s="16"/>
      <c r="VYX21" s="2185"/>
      <c r="VYY21" s="16"/>
      <c r="VYZ21" s="2185"/>
      <c r="VZA21" s="16"/>
      <c r="VZB21" s="2185"/>
      <c r="VZC21" s="16"/>
      <c r="VZD21" s="2185"/>
      <c r="VZE21" s="16"/>
      <c r="VZF21" s="2185"/>
      <c r="VZG21" s="16"/>
      <c r="VZH21" s="2185"/>
      <c r="VZI21" s="16"/>
      <c r="VZJ21" s="2185"/>
      <c r="VZK21" s="16"/>
      <c r="VZL21" s="2185"/>
      <c r="VZM21" s="16"/>
      <c r="VZN21" s="2185"/>
      <c r="VZO21" s="16"/>
      <c r="VZP21" s="2185"/>
      <c r="VZQ21" s="16"/>
      <c r="VZR21" s="2185"/>
      <c r="VZS21" s="16"/>
      <c r="VZT21" s="2185"/>
      <c r="VZU21" s="16"/>
      <c r="VZV21" s="2185"/>
      <c r="VZW21" s="16"/>
      <c r="VZX21" s="2185"/>
      <c r="VZY21" s="16"/>
      <c r="VZZ21" s="2185"/>
      <c r="WAA21" s="16"/>
      <c r="WAB21" s="2185"/>
      <c r="WAC21" s="16"/>
      <c r="WAD21" s="2185"/>
      <c r="WAE21" s="16"/>
      <c r="WAF21" s="2185"/>
      <c r="WAG21" s="16"/>
      <c r="WAH21" s="2185"/>
      <c r="WAI21" s="16"/>
      <c r="WAJ21" s="2185"/>
      <c r="WAK21" s="16"/>
      <c r="WAL21" s="2185"/>
      <c r="WAM21" s="16"/>
      <c r="WAN21" s="2185"/>
      <c r="WAO21" s="16"/>
      <c r="WAP21" s="2185"/>
      <c r="WAQ21" s="16"/>
      <c r="WAR21" s="2185"/>
      <c r="WAS21" s="16"/>
      <c r="WAT21" s="2185"/>
      <c r="WAU21" s="16"/>
      <c r="WAV21" s="2185"/>
      <c r="WAW21" s="16"/>
      <c r="WAX21" s="2185"/>
      <c r="WAY21" s="16"/>
      <c r="WAZ21" s="2185"/>
      <c r="WBA21" s="16"/>
      <c r="WBB21" s="2185"/>
      <c r="WBC21" s="16"/>
      <c r="WBD21" s="2185"/>
      <c r="WBE21" s="16"/>
      <c r="WBF21" s="2185"/>
      <c r="WBG21" s="16"/>
      <c r="WBH21" s="2185"/>
      <c r="WBI21" s="16"/>
      <c r="WBJ21" s="2185"/>
      <c r="WBK21" s="16"/>
      <c r="WBL21" s="2185"/>
      <c r="WBM21" s="16"/>
      <c r="WBN21" s="2185"/>
      <c r="WBO21" s="16"/>
      <c r="WBP21" s="2185"/>
      <c r="WBQ21" s="16"/>
      <c r="WBR21" s="2185"/>
      <c r="WBS21" s="16"/>
      <c r="WBT21" s="2185"/>
      <c r="WBU21" s="16"/>
      <c r="WBV21" s="2185"/>
      <c r="WBW21" s="16"/>
      <c r="WBX21" s="2185"/>
      <c r="WBY21" s="16"/>
      <c r="WBZ21" s="2185"/>
      <c r="WCA21" s="16"/>
      <c r="WCB21" s="2185"/>
      <c r="WCC21" s="16"/>
      <c r="WCD21" s="2185"/>
      <c r="WCE21" s="16"/>
      <c r="WCF21" s="2185"/>
      <c r="WCG21" s="16"/>
      <c r="WCH21" s="2185"/>
      <c r="WCI21" s="16"/>
      <c r="WCJ21" s="2185"/>
      <c r="WCK21" s="16"/>
      <c r="WCL21" s="2185"/>
      <c r="WCM21" s="16"/>
      <c r="WCN21" s="2185"/>
      <c r="WCO21" s="16"/>
      <c r="WCP21" s="2185"/>
      <c r="WCQ21" s="16"/>
      <c r="WCR21" s="2185"/>
      <c r="WCS21" s="16"/>
      <c r="WCT21" s="2185"/>
      <c r="WCU21" s="16"/>
      <c r="WCV21" s="2185"/>
      <c r="WCW21" s="16"/>
      <c r="WCX21" s="2185"/>
      <c r="WCY21" s="16"/>
      <c r="WCZ21" s="2185"/>
      <c r="WDA21" s="16"/>
      <c r="WDB21" s="2185"/>
      <c r="WDC21" s="16"/>
      <c r="WDD21" s="2185"/>
      <c r="WDE21" s="16"/>
      <c r="WDF21" s="2185"/>
      <c r="WDG21" s="16"/>
      <c r="WDH21" s="2185"/>
      <c r="WDI21" s="16"/>
      <c r="WDJ21" s="2185"/>
      <c r="WDK21" s="16"/>
      <c r="WDL21" s="2185"/>
      <c r="WDM21" s="16"/>
      <c r="WDN21" s="2185"/>
      <c r="WDO21" s="16"/>
      <c r="WDP21" s="2185"/>
      <c r="WDQ21" s="16"/>
      <c r="WDR21" s="2185"/>
      <c r="WDS21" s="16"/>
      <c r="WDT21" s="2185"/>
      <c r="WDU21" s="16"/>
      <c r="WDV21" s="2185"/>
      <c r="WDW21" s="16"/>
      <c r="WDX21" s="2185"/>
      <c r="WDY21" s="16"/>
      <c r="WDZ21" s="2185"/>
      <c r="WEA21" s="16"/>
      <c r="WEB21" s="2185"/>
      <c r="WEC21" s="16"/>
      <c r="WED21" s="2185"/>
      <c r="WEE21" s="16"/>
      <c r="WEF21" s="2185"/>
      <c r="WEG21" s="16"/>
      <c r="WEH21" s="2185"/>
      <c r="WEI21" s="16"/>
      <c r="WEJ21" s="2185"/>
      <c r="WEK21" s="16"/>
      <c r="WEL21" s="2185"/>
      <c r="WEM21" s="16"/>
      <c r="WEN21" s="2185"/>
      <c r="WEO21" s="16"/>
      <c r="WEP21" s="2185"/>
      <c r="WEQ21" s="16"/>
      <c r="WER21" s="2185"/>
      <c r="WES21" s="16"/>
      <c r="WET21" s="2185"/>
      <c r="WEU21" s="16"/>
      <c r="WEV21" s="2185"/>
      <c r="WEW21" s="16"/>
      <c r="WEX21" s="2185"/>
      <c r="WEY21" s="16"/>
      <c r="WEZ21" s="2185"/>
      <c r="WFA21" s="16"/>
      <c r="WFB21" s="2185"/>
      <c r="WFC21" s="16"/>
      <c r="WFD21" s="2185"/>
      <c r="WFE21" s="16"/>
      <c r="WFF21" s="2185"/>
      <c r="WFG21" s="16"/>
      <c r="WFH21" s="2185"/>
      <c r="WFI21" s="16"/>
      <c r="WFJ21" s="2185"/>
      <c r="WFK21" s="16"/>
      <c r="WFL21" s="2185"/>
      <c r="WFM21" s="16"/>
      <c r="WFN21" s="2185"/>
      <c r="WFO21" s="16"/>
      <c r="WFP21" s="2185"/>
      <c r="WFQ21" s="16"/>
      <c r="WFR21" s="2185"/>
      <c r="WFS21" s="16"/>
      <c r="WFT21" s="2185"/>
      <c r="WFU21" s="16"/>
      <c r="WFV21" s="2185"/>
      <c r="WFW21" s="16"/>
      <c r="WFX21" s="2185"/>
      <c r="WFY21" s="16"/>
      <c r="WFZ21" s="2185"/>
      <c r="WGA21" s="16"/>
      <c r="WGB21" s="2185"/>
      <c r="WGC21" s="16"/>
      <c r="WGD21" s="2185"/>
      <c r="WGE21" s="16"/>
      <c r="WGF21" s="2185"/>
      <c r="WGG21" s="16"/>
      <c r="WGH21" s="2185"/>
      <c r="WGI21" s="16"/>
      <c r="WGJ21" s="2185"/>
      <c r="WGK21" s="16"/>
      <c r="WGL21" s="2185"/>
      <c r="WGM21" s="16"/>
      <c r="WGN21" s="2185"/>
      <c r="WGO21" s="16"/>
      <c r="WGP21" s="2185"/>
      <c r="WGQ21" s="16"/>
      <c r="WGR21" s="2185"/>
      <c r="WGS21" s="16"/>
      <c r="WGT21" s="2185"/>
      <c r="WGU21" s="16"/>
      <c r="WGV21" s="2185"/>
      <c r="WGW21" s="16"/>
      <c r="WGX21" s="2185"/>
      <c r="WGY21" s="16"/>
      <c r="WGZ21" s="2185"/>
      <c r="WHA21" s="16"/>
      <c r="WHB21" s="2185"/>
      <c r="WHC21" s="16"/>
      <c r="WHD21" s="2185"/>
      <c r="WHE21" s="16"/>
      <c r="WHF21" s="2185"/>
      <c r="WHG21" s="16"/>
      <c r="WHH21" s="2185"/>
      <c r="WHI21" s="16"/>
      <c r="WHJ21" s="2185"/>
      <c r="WHK21" s="16"/>
      <c r="WHL21" s="2185"/>
      <c r="WHM21" s="16"/>
      <c r="WHN21" s="2185"/>
      <c r="WHO21" s="16"/>
      <c r="WHP21" s="2185"/>
      <c r="WHQ21" s="16"/>
      <c r="WHR21" s="2185"/>
      <c r="WHS21" s="16"/>
      <c r="WHT21" s="2185"/>
      <c r="WHU21" s="16"/>
      <c r="WHV21" s="2185"/>
      <c r="WHW21" s="16"/>
      <c r="WHX21" s="2185"/>
      <c r="WHY21" s="16"/>
      <c r="WHZ21" s="2185"/>
      <c r="WIA21" s="16"/>
      <c r="WIB21" s="2185"/>
      <c r="WIC21" s="16"/>
      <c r="WID21" s="2185"/>
      <c r="WIE21" s="16"/>
      <c r="WIF21" s="2185"/>
      <c r="WIG21" s="16"/>
      <c r="WIH21" s="2185"/>
      <c r="WII21" s="16"/>
      <c r="WIJ21" s="2185"/>
      <c r="WIK21" s="16"/>
      <c r="WIL21" s="2185"/>
      <c r="WIM21" s="16"/>
      <c r="WIN21" s="2185"/>
      <c r="WIO21" s="16"/>
      <c r="WIP21" s="2185"/>
      <c r="WIQ21" s="16"/>
      <c r="WIR21" s="2185"/>
      <c r="WIS21" s="16"/>
      <c r="WIT21" s="2185"/>
      <c r="WIU21" s="16"/>
      <c r="WIV21" s="2185"/>
      <c r="WIW21" s="16"/>
      <c r="WIX21" s="2185"/>
      <c r="WIY21" s="16"/>
      <c r="WIZ21" s="2185"/>
      <c r="WJA21" s="16"/>
      <c r="WJB21" s="2185"/>
      <c r="WJC21" s="16"/>
      <c r="WJD21" s="2185"/>
      <c r="WJE21" s="16"/>
      <c r="WJF21" s="2185"/>
      <c r="WJG21" s="16"/>
      <c r="WJH21" s="2185"/>
      <c r="WJI21" s="16"/>
      <c r="WJJ21" s="2185"/>
      <c r="WJK21" s="16"/>
      <c r="WJL21" s="2185"/>
      <c r="WJM21" s="16"/>
      <c r="WJN21" s="2185"/>
      <c r="WJO21" s="16"/>
      <c r="WJP21" s="2185"/>
      <c r="WJQ21" s="16"/>
      <c r="WJR21" s="2185"/>
      <c r="WJS21" s="16"/>
      <c r="WJT21" s="2185"/>
      <c r="WJU21" s="16"/>
      <c r="WJV21" s="2185"/>
      <c r="WJW21" s="16"/>
      <c r="WJX21" s="2185"/>
      <c r="WJY21" s="16"/>
      <c r="WJZ21" s="2185"/>
      <c r="WKA21" s="16"/>
      <c r="WKB21" s="2185"/>
      <c r="WKC21" s="16"/>
      <c r="WKD21" s="2185"/>
      <c r="WKE21" s="16"/>
      <c r="WKF21" s="2185"/>
      <c r="WKG21" s="16"/>
      <c r="WKH21" s="2185"/>
      <c r="WKI21" s="16"/>
      <c r="WKJ21" s="2185"/>
      <c r="WKK21" s="16"/>
      <c r="WKL21" s="2185"/>
      <c r="WKM21" s="16"/>
      <c r="WKN21" s="2185"/>
      <c r="WKO21" s="16"/>
      <c r="WKP21" s="2185"/>
      <c r="WKQ21" s="16"/>
      <c r="WKR21" s="2185"/>
      <c r="WKS21" s="16"/>
      <c r="WKT21" s="2185"/>
      <c r="WKU21" s="16"/>
      <c r="WKV21" s="2185"/>
      <c r="WKW21" s="16"/>
      <c r="WKX21" s="2185"/>
      <c r="WKY21" s="16"/>
      <c r="WKZ21" s="2185"/>
      <c r="WLA21" s="16"/>
      <c r="WLB21" s="2185"/>
      <c r="WLC21" s="16"/>
      <c r="WLD21" s="2185"/>
      <c r="WLE21" s="16"/>
      <c r="WLF21" s="2185"/>
      <c r="WLG21" s="16"/>
      <c r="WLH21" s="2185"/>
      <c r="WLI21" s="16"/>
      <c r="WLJ21" s="2185"/>
      <c r="WLK21" s="16"/>
      <c r="WLL21" s="2185"/>
      <c r="WLM21" s="16"/>
      <c r="WLN21" s="2185"/>
      <c r="WLO21" s="16"/>
      <c r="WLP21" s="2185"/>
      <c r="WLQ21" s="16"/>
      <c r="WLR21" s="2185"/>
      <c r="WLS21" s="16"/>
      <c r="WLT21" s="2185"/>
      <c r="WLU21" s="16"/>
      <c r="WLV21" s="2185"/>
      <c r="WLW21" s="16"/>
      <c r="WLX21" s="2185"/>
      <c r="WLY21" s="16"/>
      <c r="WLZ21" s="2185"/>
      <c r="WMA21" s="16"/>
      <c r="WMB21" s="2185"/>
      <c r="WMC21" s="16"/>
      <c r="WMD21" s="2185"/>
      <c r="WME21" s="16"/>
      <c r="WMF21" s="2185"/>
      <c r="WMG21" s="16"/>
      <c r="WMH21" s="2185"/>
      <c r="WMI21" s="16"/>
      <c r="WMJ21" s="2185"/>
      <c r="WMK21" s="16"/>
      <c r="WML21" s="2185"/>
      <c r="WMM21" s="16"/>
      <c r="WMN21" s="2185"/>
      <c r="WMO21" s="16"/>
      <c r="WMP21" s="2185"/>
      <c r="WMQ21" s="16"/>
      <c r="WMR21" s="2185"/>
      <c r="WMS21" s="16"/>
      <c r="WMT21" s="2185"/>
      <c r="WMU21" s="16"/>
      <c r="WMV21" s="2185"/>
      <c r="WMW21" s="16"/>
      <c r="WMX21" s="2185"/>
      <c r="WMY21" s="16"/>
      <c r="WMZ21" s="2185"/>
      <c r="WNA21" s="16"/>
      <c r="WNB21" s="2185"/>
      <c r="WNC21" s="16"/>
      <c r="WND21" s="2185"/>
      <c r="WNE21" s="16"/>
      <c r="WNF21" s="2185"/>
      <c r="WNG21" s="16"/>
      <c r="WNH21" s="2185"/>
      <c r="WNI21" s="16"/>
      <c r="WNJ21" s="2185"/>
      <c r="WNK21" s="16"/>
      <c r="WNL21" s="2185"/>
      <c r="WNM21" s="16"/>
      <c r="WNN21" s="2185"/>
      <c r="WNO21" s="16"/>
      <c r="WNP21" s="2185"/>
      <c r="WNQ21" s="16"/>
      <c r="WNR21" s="2185"/>
      <c r="WNS21" s="16"/>
      <c r="WNT21" s="2185"/>
      <c r="WNU21" s="16"/>
      <c r="WNV21" s="2185"/>
      <c r="WNW21" s="16"/>
      <c r="WNX21" s="2185"/>
      <c r="WNY21" s="16"/>
      <c r="WNZ21" s="2185"/>
      <c r="WOA21" s="16"/>
      <c r="WOB21" s="2185"/>
      <c r="WOC21" s="16"/>
      <c r="WOD21" s="2185"/>
      <c r="WOE21" s="16"/>
      <c r="WOF21" s="2185"/>
      <c r="WOG21" s="16"/>
      <c r="WOH21" s="2185"/>
      <c r="WOI21" s="16"/>
      <c r="WOJ21" s="2185"/>
      <c r="WOK21" s="16"/>
      <c r="WOL21" s="2185"/>
      <c r="WOM21" s="16"/>
      <c r="WON21" s="2185"/>
      <c r="WOO21" s="16"/>
      <c r="WOP21" s="2185"/>
      <c r="WOQ21" s="16"/>
      <c r="WOR21" s="2185"/>
      <c r="WOS21" s="16"/>
      <c r="WOT21" s="2185"/>
      <c r="WOU21" s="16"/>
      <c r="WOV21" s="2185"/>
      <c r="WOW21" s="16"/>
      <c r="WOX21" s="2185"/>
      <c r="WOY21" s="16"/>
      <c r="WOZ21" s="2185"/>
      <c r="WPA21" s="16"/>
      <c r="WPB21" s="2185"/>
      <c r="WPC21" s="16"/>
      <c r="WPD21" s="2185"/>
      <c r="WPE21" s="16"/>
      <c r="WPF21" s="2185"/>
      <c r="WPG21" s="16"/>
      <c r="WPH21" s="2185"/>
      <c r="WPI21" s="16"/>
      <c r="WPJ21" s="2185"/>
      <c r="WPK21" s="16"/>
      <c r="WPL21" s="2185"/>
      <c r="WPM21" s="16"/>
      <c r="WPN21" s="2185"/>
      <c r="WPO21" s="16"/>
      <c r="WPP21" s="2185"/>
      <c r="WPQ21" s="16"/>
      <c r="WPR21" s="2185"/>
      <c r="WPS21" s="16"/>
      <c r="WPT21" s="2185"/>
      <c r="WPU21" s="16"/>
      <c r="WPV21" s="2185"/>
      <c r="WPW21" s="16"/>
      <c r="WPX21" s="2185"/>
      <c r="WPY21" s="16"/>
      <c r="WPZ21" s="2185"/>
      <c r="WQA21" s="16"/>
      <c r="WQB21" s="2185"/>
      <c r="WQC21" s="16"/>
      <c r="WQD21" s="2185"/>
      <c r="WQE21" s="16"/>
      <c r="WQF21" s="2185"/>
      <c r="WQG21" s="16"/>
      <c r="WQH21" s="2185"/>
      <c r="WQI21" s="16"/>
      <c r="WQJ21" s="2185"/>
      <c r="WQK21" s="16"/>
      <c r="WQL21" s="2185"/>
      <c r="WQM21" s="16"/>
      <c r="WQN21" s="2185"/>
      <c r="WQO21" s="16"/>
      <c r="WQP21" s="2185"/>
      <c r="WQQ21" s="16"/>
      <c r="WQR21" s="2185"/>
      <c r="WQS21" s="16"/>
      <c r="WQT21" s="2185"/>
      <c r="WQU21" s="16"/>
      <c r="WQV21" s="2185"/>
      <c r="WQW21" s="16"/>
      <c r="WQX21" s="2185"/>
      <c r="WQY21" s="16"/>
      <c r="WQZ21" s="2185"/>
      <c r="WRA21" s="16"/>
      <c r="WRB21" s="2185"/>
      <c r="WRC21" s="16"/>
      <c r="WRD21" s="2185"/>
      <c r="WRE21" s="16"/>
      <c r="WRF21" s="2185"/>
      <c r="WRG21" s="16"/>
      <c r="WRH21" s="2185"/>
      <c r="WRI21" s="16"/>
      <c r="WRJ21" s="2185"/>
      <c r="WRK21" s="16"/>
      <c r="WRL21" s="2185"/>
      <c r="WRM21" s="16"/>
      <c r="WRN21" s="2185"/>
      <c r="WRO21" s="16"/>
      <c r="WRP21" s="2185"/>
      <c r="WRQ21" s="16"/>
      <c r="WRR21" s="2185"/>
      <c r="WRS21" s="16"/>
      <c r="WRT21" s="2185"/>
      <c r="WRU21" s="16"/>
      <c r="WRV21" s="2185"/>
      <c r="WRW21" s="16"/>
      <c r="WRX21" s="2185"/>
      <c r="WRY21" s="16"/>
      <c r="WRZ21" s="2185"/>
      <c r="WSA21" s="16"/>
      <c r="WSB21" s="2185"/>
      <c r="WSC21" s="16"/>
      <c r="WSD21" s="2185"/>
      <c r="WSE21" s="16"/>
      <c r="WSF21" s="2185"/>
      <c r="WSG21" s="16"/>
      <c r="WSH21" s="2185"/>
      <c r="WSI21" s="16"/>
      <c r="WSJ21" s="2185"/>
      <c r="WSK21" s="16"/>
      <c r="WSL21" s="2185"/>
      <c r="WSM21" s="16"/>
      <c r="WSN21" s="2185"/>
      <c r="WSO21" s="16"/>
      <c r="WSP21" s="2185"/>
      <c r="WSQ21" s="16"/>
      <c r="WSR21" s="2185"/>
      <c r="WSS21" s="16"/>
      <c r="WST21" s="2185"/>
      <c r="WSU21" s="16"/>
      <c r="WSV21" s="2185"/>
      <c r="WSW21" s="16"/>
      <c r="WSX21" s="2185"/>
      <c r="WSY21" s="16"/>
      <c r="WSZ21" s="2185"/>
      <c r="WTA21" s="16"/>
      <c r="WTB21" s="2185"/>
      <c r="WTC21" s="16"/>
      <c r="WTD21" s="2185"/>
      <c r="WTE21" s="16"/>
      <c r="WTF21" s="2185"/>
      <c r="WTG21" s="16"/>
      <c r="WTH21" s="2185"/>
      <c r="WTI21" s="16"/>
      <c r="WTJ21" s="2185"/>
      <c r="WTK21" s="16"/>
      <c r="WTL21" s="2185"/>
      <c r="WTM21" s="16"/>
      <c r="WTN21" s="2185"/>
      <c r="WTO21" s="16"/>
      <c r="WTP21" s="2185"/>
      <c r="WTQ21" s="16"/>
      <c r="WTR21" s="2185"/>
      <c r="WTS21" s="16"/>
      <c r="WTT21" s="2185"/>
      <c r="WTU21" s="16"/>
      <c r="WTV21" s="2185"/>
      <c r="WTW21" s="16"/>
      <c r="WTX21" s="2185"/>
      <c r="WTY21" s="16"/>
      <c r="WTZ21" s="2185"/>
      <c r="WUA21" s="16"/>
      <c r="WUB21" s="2185"/>
      <c r="WUC21" s="16"/>
      <c r="WUD21" s="2185"/>
      <c r="WUE21" s="16"/>
      <c r="WUF21" s="2185"/>
      <c r="WUG21" s="16"/>
      <c r="WUH21" s="2185"/>
      <c r="WUI21" s="16"/>
      <c r="WUJ21" s="2185"/>
      <c r="WUK21" s="16"/>
      <c r="WUL21" s="2185"/>
      <c r="WUM21" s="16"/>
      <c r="WUN21" s="2185"/>
      <c r="WUO21" s="16"/>
      <c r="WUP21" s="2185"/>
      <c r="WUQ21" s="16"/>
      <c r="WUR21" s="2185"/>
      <c r="WUS21" s="16"/>
      <c r="WUT21" s="2185"/>
      <c r="WUU21" s="16"/>
      <c r="WUV21" s="2185"/>
      <c r="WUW21" s="16"/>
      <c r="WUX21" s="2185"/>
      <c r="WUY21" s="16"/>
      <c r="WUZ21" s="2185"/>
      <c r="WVA21" s="16"/>
      <c r="WVB21" s="2185"/>
      <c r="WVC21" s="16"/>
      <c r="WVD21" s="2185"/>
      <c r="WVE21" s="16"/>
      <c r="WVF21" s="2185"/>
      <c r="WVG21" s="16"/>
      <c r="WVH21" s="2185"/>
      <c r="WVI21" s="16"/>
      <c r="WVJ21" s="2185"/>
      <c r="WVK21" s="16"/>
      <c r="WVL21" s="2185"/>
      <c r="WVM21" s="16"/>
      <c r="WVN21" s="2185"/>
      <c r="WVO21" s="16"/>
      <c r="WVP21" s="2185"/>
      <c r="WVQ21" s="16"/>
      <c r="WVR21" s="2185"/>
      <c r="WVS21" s="16"/>
      <c r="WVT21" s="2185"/>
      <c r="WVU21" s="16"/>
      <c r="WVV21" s="2185"/>
      <c r="WVW21" s="16"/>
      <c r="WVX21" s="2185"/>
      <c r="WVY21" s="16"/>
      <c r="WVZ21" s="2185"/>
      <c r="WWA21" s="16"/>
      <c r="WWB21" s="2185"/>
      <c r="WWC21" s="16"/>
      <c r="WWD21" s="2185"/>
      <c r="WWE21" s="16"/>
      <c r="WWF21" s="2185"/>
      <c r="WWG21" s="16"/>
      <c r="WWH21" s="2185"/>
      <c r="WWI21" s="16"/>
      <c r="WWJ21" s="2185"/>
      <c r="WWK21" s="16"/>
      <c r="WWL21" s="2185"/>
      <c r="WWM21" s="16"/>
      <c r="WWN21" s="2185"/>
      <c r="WWO21" s="16"/>
      <c r="WWP21" s="2185"/>
      <c r="WWQ21" s="16"/>
      <c r="WWR21" s="2185"/>
      <c r="WWS21" s="16"/>
      <c r="WWT21" s="2185"/>
      <c r="WWU21" s="16"/>
      <c r="WWV21" s="2185"/>
      <c r="WWW21" s="16"/>
      <c r="WWX21" s="2185"/>
      <c r="WWY21" s="16"/>
      <c r="WWZ21" s="2185"/>
      <c r="WXA21" s="16"/>
      <c r="WXB21" s="2185"/>
      <c r="WXC21" s="16"/>
      <c r="WXD21" s="2185"/>
      <c r="WXE21" s="16"/>
      <c r="WXF21" s="2185"/>
      <c r="WXG21" s="16"/>
      <c r="WXH21" s="2185"/>
      <c r="WXI21" s="16"/>
      <c r="WXJ21" s="2185"/>
      <c r="WXK21" s="16"/>
      <c r="WXL21" s="2185"/>
      <c r="WXM21" s="16"/>
      <c r="WXN21" s="2185"/>
      <c r="WXO21" s="16"/>
      <c r="WXP21" s="2185"/>
      <c r="WXQ21" s="16"/>
      <c r="WXR21" s="2185"/>
      <c r="WXS21" s="16"/>
      <c r="WXT21" s="2185"/>
      <c r="WXU21" s="16"/>
      <c r="WXV21" s="2185"/>
      <c r="WXW21" s="16"/>
      <c r="WXX21" s="2185"/>
      <c r="WXY21" s="16"/>
      <c r="WXZ21" s="2185"/>
      <c r="WYA21" s="16"/>
      <c r="WYB21" s="2185"/>
      <c r="WYC21" s="16"/>
      <c r="WYD21" s="2185"/>
      <c r="WYE21" s="16"/>
      <c r="WYF21" s="2185"/>
      <c r="WYG21" s="16"/>
      <c r="WYH21" s="2185"/>
      <c r="WYI21" s="16"/>
      <c r="WYJ21" s="2185"/>
      <c r="WYK21" s="16"/>
      <c r="WYL21" s="2185"/>
      <c r="WYM21" s="16"/>
      <c r="WYN21" s="2185"/>
      <c r="WYO21" s="16"/>
      <c r="WYP21" s="2185"/>
      <c r="WYQ21" s="16"/>
      <c r="WYR21" s="2185"/>
      <c r="WYS21" s="16"/>
      <c r="WYT21" s="2185"/>
      <c r="WYU21" s="16"/>
      <c r="WYV21" s="2185"/>
      <c r="WYW21" s="16"/>
      <c r="WYX21" s="2185"/>
      <c r="WYY21" s="16"/>
      <c r="WYZ21" s="2185"/>
      <c r="WZA21" s="16"/>
      <c r="WZB21" s="2185"/>
      <c r="WZC21" s="16"/>
      <c r="WZD21" s="2185"/>
      <c r="WZE21" s="16"/>
      <c r="WZF21" s="2185"/>
      <c r="WZG21" s="16"/>
      <c r="WZH21" s="2185"/>
      <c r="WZI21" s="16"/>
      <c r="WZJ21" s="2185"/>
      <c r="WZK21" s="16"/>
      <c r="WZL21" s="2185"/>
      <c r="WZM21" s="16"/>
      <c r="WZN21" s="2185"/>
      <c r="WZO21" s="16"/>
      <c r="WZP21" s="2185"/>
      <c r="WZQ21" s="16"/>
      <c r="WZR21" s="2185"/>
      <c r="WZS21" s="16"/>
      <c r="WZT21" s="2185"/>
      <c r="WZU21" s="16"/>
      <c r="WZV21" s="2185"/>
      <c r="WZW21" s="16"/>
      <c r="WZX21" s="2185"/>
      <c r="WZY21" s="16"/>
      <c r="WZZ21" s="2185"/>
      <c r="XAA21" s="16"/>
      <c r="XAB21" s="2185"/>
      <c r="XAC21" s="16"/>
      <c r="XAD21" s="2185"/>
      <c r="XAE21" s="16"/>
      <c r="XAF21" s="2185"/>
      <c r="XAG21" s="16"/>
      <c r="XAH21" s="2185"/>
      <c r="XAI21" s="16"/>
      <c r="XAJ21" s="2185"/>
      <c r="XAK21" s="16"/>
      <c r="XAL21" s="2185"/>
      <c r="XAM21" s="16"/>
      <c r="XAN21" s="2185"/>
      <c r="XAO21" s="16"/>
      <c r="XAP21" s="2185"/>
      <c r="XAQ21" s="16"/>
      <c r="XAR21" s="2185"/>
      <c r="XAS21" s="16"/>
      <c r="XAT21" s="2185"/>
      <c r="XAU21" s="16"/>
      <c r="XAV21" s="2185"/>
      <c r="XAW21" s="16"/>
      <c r="XAX21" s="2185"/>
      <c r="XAY21" s="16"/>
      <c r="XAZ21" s="2185"/>
      <c r="XBA21" s="16"/>
      <c r="XBB21" s="2185"/>
      <c r="XBC21" s="16"/>
      <c r="XBD21" s="2185"/>
      <c r="XBE21" s="16"/>
      <c r="XBF21" s="2185"/>
      <c r="XBG21" s="16"/>
      <c r="XBH21" s="2185"/>
      <c r="XBI21" s="16"/>
      <c r="XBJ21" s="2185"/>
      <c r="XBK21" s="16"/>
      <c r="XBL21" s="2185"/>
      <c r="XBM21" s="16"/>
      <c r="XBN21" s="2185"/>
      <c r="XBO21" s="16"/>
      <c r="XBP21" s="2185"/>
      <c r="XBQ21" s="16"/>
      <c r="XBR21" s="2185"/>
      <c r="XBS21" s="16"/>
      <c r="XBT21" s="2185"/>
      <c r="XBU21" s="16"/>
      <c r="XBV21" s="2185"/>
      <c r="XBW21" s="16"/>
      <c r="XBX21" s="2185"/>
      <c r="XBY21" s="16"/>
      <c r="XBZ21" s="2185"/>
      <c r="XCA21" s="16"/>
      <c r="XCB21" s="2185"/>
      <c r="XCC21" s="16"/>
      <c r="XCD21" s="2185"/>
      <c r="XCE21" s="16"/>
      <c r="XCF21" s="2185"/>
      <c r="XCG21" s="16"/>
      <c r="XCH21" s="2185"/>
      <c r="XCI21" s="16"/>
      <c r="XCJ21" s="2185"/>
      <c r="XCK21" s="16"/>
      <c r="XCL21" s="2185"/>
      <c r="XCM21" s="16"/>
      <c r="XCN21" s="2185"/>
      <c r="XCO21" s="16"/>
      <c r="XCP21" s="2185"/>
      <c r="XCQ21" s="16"/>
      <c r="XCR21" s="2185"/>
      <c r="XCS21" s="16"/>
      <c r="XCT21" s="2185"/>
      <c r="XCU21" s="16"/>
      <c r="XCV21" s="2185"/>
      <c r="XCW21" s="16"/>
      <c r="XCX21" s="2185"/>
      <c r="XCY21" s="16"/>
      <c r="XCZ21" s="2185"/>
      <c r="XDA21" s="16"/>
      <c r="XDB21" s="2185"/>
      <c r="XDC21" s="16"/>
      <c r="XDD21" s="2185"/>
      <c r="XDE21" s="16"/>
      <c r="XDF21" s="2185"/>
      <c r="XDG21" s="16"/>
      <c r="XDH21" s="2185"/>
      <c r="XDI21" s="16"/>
      <c r="XDJ21" s="2185"/>
      <c r="XDK21" s="16"/>
      <c r="XDL21" s="2185"/>
      <c r="XDM21" s="16"/>
      <c r="XDN21" s="2185"/>
      <c r="XDO21" s="16"/>
      <c r="XDP21" s="2185"/>
      <c r="XDQ21" s="16"/>
      <c r="XDR21" s="2185"/>
      <c r="XDS21" s="16"/>
      <c r="XDT21" s="2185"/>
      <c r="XDU21" s="16"/>
      <c r="XDV21" s="2185"/>
      <c r="XDW21" s="16"/>
      <c r="XDX21" s="2185"/>
      <c r="XDY21" s="16"/>
      <c r="XDZ21" s="2185"/>
      <c r="XEA21" s="16"/>
      <c r="XEB21" s="2185"/>
      <c r="XEC21" s="16"/>
      <c r="XED21" s="2185"/>
      <c r="XEE21" s="16"/>
      <c r="XEF21" s="2185"/>
      <c r="XEG21" s="16"/>
      <c r="XEH21" s="2185"/>
      <c r="XEI21" s="16"/>
      <c r="XEJ21" s="2185"/>
      <c r="XEK21" s="16"/>
      <c r="XEL21" s="2185"/>
      <c r="XEM21" s="16"/>
      <c r="XEN21" s="2185"/>
      <c r="XEO21" s="16"/>
      <c r="XEP21" s="2185"/>
      <c r="XEQ21" s="16"/>
      <c r="XER21" s="2185"/>
      <c r="XES21" s="16"/>
      <c r="XET21" s="2185"/>
      <c r="XEU21" s="16"/>
      <c r="XEV21" s="2185"/>
      <c r="XEW21" s="16"/>
      <c r="XEX21" s="2185"/>
      <c r="XEY21" s="16"/>
      <c r="XEZ21" s="2185"/>
      <c r="XFA21" s="16"/>
      <c r="XFB21" s="2185"/>
      <c r="XFC21" s="16"/>
      <c r="XFD21" s="2185"/>
    </row>
    <row r="22" spans="1:16384" ht="30" customHeight="1" thickBot="1">
      <c r="A22" s="2141"/>
      <c r="B22" s="2141"/>
      <c r="C22" s="141" t="s">
        <v>24</v>
      </c>
      <c r="D22" s="142" t="s">
        <v>236</v>
      </c>
      <c r="E22" s="138"/>
      <c r="F22" s="2141"/>
      <c r="G22" s="2141"/>
      <c r="H22" s="2142"/>
      <c r="I22" s="326"/>
      <c r="J22" s="624"/>
      <c r="K22" s="624"/>
      <c r="L22" s="624"/>
      <c r="M22" s="624"/>
      <c r="N22" s="326"/>
      <c r="O22" s="624"/>
      <c r="P22" s="624"/>
      <c r="Q22" s="624"/>
      <c r="R22" s="624"/>
      <c r="S22" s="326"/>
      <c r="T22" s="624"/>
      <c r="U22" s="624"/>
      <c r="V22" s="624"/>
      <c r="W22" s="625"/>
    </row>
    <row r="23" spans="1:16384" ht="15" customHeight="1">
      <c r="A23" s="2136" t="s">
        <v>478</v>
      </c>
      <c r="B23" s="2137"/>
      <c r="C23" s="143" t="s">
        <v>360</v>
      </c>
      <c r="D23" s="142" t="s">
        <v>265</v>
      </c>
      <c r="E23" s="138"/>
      <c r="F23" s="1828"/>
      <c r="G23" s="2140"/>
      <c r="H23" s="2137"/>
      <c r="I23" s="326"/>
      <c r="J23" s="624"/>
      <c r="K23" s="624"/>
      <c r="L23" s="624"/>
      <c r="M23" s="624"/>
      <c r="N23" s="326"/>
      <c r="O23" s="624"/>
      <c r="P23" s="624"/>
      <c r="Q23" s="624"/>
      <c r="R23" s="624"/>
      <c r="S23" s="326"/>
      <c r="T23" s="624"/>
      <c r="U23" s="624"/>
      <c r="V23" s="624"/>
      <c r="W23" s="625"/>
    </row>
    <row r="24" spans="1:16384" ht="15.75">
      <c r="A24" s="2138"/>
      <c r="B24" s="2139"/>
      <c r="C24" s="144" t="s">
        <v>361</v>
      </c>
      <c r="D24" s="142" t="s">
        <v>362</v>
      </c>
      <c r="E24" s="138"/>
      <c r="F24" s="1845"/>
      <c r="G24" s="1845"/>
      <c r="H24" s="2139"/>
      <c r="I24" s="326"/>
      <c r="J24" s="624"/>
      <c r="K24" s="624"/>
      <c r="L24" s="624"/>
      <c r="M24" s="624"/>
      <c r="N24" s="326"/>
      <c r="O24" s="624"/>
      <c r="P24" s="624"/>
      <c r="Q24" s="624"/>
      <c r="R24" s="624"/>
      <c r="S24" s="326"/>
      <c r="T24" s="624"/>
      <c r="U24" s="624"/>
      <c r="V24" s="624"/>
      <c r="W24" s="625"/>
    </row>
    <row r="25" spans="1:16384" ht="15" customHeight="1" thickBot="1">
      <c r="A25" s="2138"/>
      <c r="B25" s="2139"/>
      <c r="C25" s="145" t="s">
        <v>479</v>
      </c>
      <c r="D25" s="142" t="s">
        <v>480</v>
      </c>
      <c r="E25" s="138"/>
      <c r="F25" s="2141"/>
      <c r="G25" s="2141"/>
      <c r="H25" s="2142"/>
      <c r="I25" s="326"/>
      <c r="J25" s="624"/>
      <c r="K25" s="624"/>
      <c r="L25" s="624"/>
      <c r="M25" s="624"/>
      <c r="N25" s="326"/>
      <c r="O25" s="624"/>
      <c r="P25" s="624"/>
      <c r="Q25" s="624"/>
      <c r="R25" s="624"/>
      <c r="S25" s="326"/>
      <c r="T25" s="624"/>
      <c r="U25" s="624"/>
      <c r="V25" s="624"/>
      <c r="W25" s="625"/>
    </row>
    <row r="26" spans="1:16384" ht="15.75" thickBot="1">
      <c r="A26" s="2143" t="s">
        <v>25</v>
      </c>
      <c r="B26" s="2144"/>
      <c r="C26" s="2145"/>
      <c r="D26" s="146" t="s">
        <v>270</v>
      </c>
      <c r="E26" s="138"/>
      <c r="F26" s="1818"/>
      <c r="G26" s="2097"/>
      <c r="H26" s="2098"/>
      <c r="I26" s="326"/>
      <c r="J26" s="624"/>
      <c r="K26" s="624"/>
      <c r="L26" s="624"/>
      <c r="M26" s="624"/>
      <c r="N26" s="326"/>
      <c r="O26" s="624"/>
      <c r="P26" s="624"/>
      <c r="Q26" s="624"/>
      <c r="R26" s="624"/>
      <c r="S26" s="326"/>
      <c r="T26" s="624"/>
      <c r="U26" s="624"/>
      <c r="V26" s="624"/>
      <c r="W26" s="625"/>
    </row>
    <row r="27" spans="1:16384" ht="15.75">
      <c r="A27" s="2157" t="s">
        <v>153</v>
      </c>
      <c r="B27" s="2158"/>
      <c r="C27" s="147" t="s">
        <v>152</v>
      </c>
      <c r="D27" s="148" t="s">
        <v>268</v>
      </c>
      <c r="E27" s="138"/>
      <c r="F27" s="1828"/>
      <c r="G27" s="2140"/>
      <c r="H27" s="2137"/>
      <c r="I27" s="326"/>
      <c r="J27" s="624"/>
      <c r="K27" s="624"/>
      <c r="L27" s="624"/>
      <c r="M27" s="624"/>
      <c r="N27" s="326"/>
      <c r="O27" s="624"/>
      <c r="P27" s="624"/>
      <c r="Q27" s="624"/>
      <c r="R27" s="624"/>
      <c r="S27" s="326"/>
      <c r="T27" s="624"/>
      <c r="U27" s="624"/>
      <c r="V27" s="624"/>
      <c r="W27" s="625"/>
    </row>
    <row r="28" spans="1:16384" ht="15.75">
      <c r="A28" s="2138"/>
      <c r="B28" s="2158"/>
      <c r="C28" s="149" t="s">
        <v>154</v>
      </c>
      <c r="D28" s="148" t="s">
        <v>392</v>
      </c>
      <c r="E28" s="138"/>
      <c r="F28" s="1845"/>
      <c r="G28" s="1845"/>
      <c r="H28" s="2139"/>
      <c r="I28" s="326"/>
      <c r="J28" s="624"/>
      <c r="K28" s="624"/>
      <c r="L28" s="624"/>
      <c r="M28" s="624"/>
      <c r="N28" s="326"/>
      <c r="O28" s="624"/>
      <c r="P28" s="624"/>
      <c r="Q28" s="624"/>
      <c r="R28" s="624"/>
      <c r="S28" s="326"/>
      <c r="T28" s="624"/>
      <c r="U28" s="624"/>
      <c r="V28" s="624"/>
      <c r="W28" s="625"/>
    </row>
    <row r="29" spans="1:16384" ht="16.5" thickBot="1">
      <c r="A29" s="2149"/>
      <c r="B29" s="2152"/>
      <c r="C29" s="150" t="s">
        <v>400</v>
      </c>
      <c r="D29" s="148" t="s">
        <v>393</v>
      </c>
      <c r="E29" s="138"/>
      <c r="F29" s="2141"/>
      <c r="G29" s="2141"/>
      <c r="H29" s="2142"/>
      <c r="I29" s="326"/>
      <c r="J29" s="624"/>
      <c r="K29" s="624"/>
      <c r="L29" s="624"/>
      <c r="M29" s="624"/>
      <c r="N29" s="326"/>
      <c r="O29" s="624"/>
      <c r="P29" s="624"/>
      <c r="Q29" s="624"/>
      <c r="R29" s="624"/>
      <c r="S29" s="326"/>
      <c r="T29" s="624"/>
      <c r="U29" s="624"/>
      <c r="V29" s="624"/>
      <c r="W29" s="625"/>
    </row>
    <row r="30" spans="1:16384" ht="15.75">
      <c r="A30" s="2159" t="s">
        <v>153</v>
      </c>
      <c r="B30" s="2151"/>
      <c r="C30" s="151" t="s">
        <v>155</v>
      </c>
      <c r="D30" s="148" t="s">
        <v>266</v>
      </c>
      <c r="E30" s="138"/>
      <c r="F30" s="1828"/>
      <c r="G30" s="2140"/>
      <c r="H30" s="2137"/>
      <c r="I30" s="326"/>
      <c r="J30" s="624"/>
      <c r="K30" s="624"/>
      <c r="L30" s="624"/>
      <c r="M30" s="624"/>
      <c r="N30" s="326"/>
      <c r="O30" s="624"/>
      <c r="P30" s="624"/>
      <c r="Q30" s="624"/>
      <c r="R30" s="624"/>
      <c r="S30" s="326"/>
      <c r="T30" s="624"/>
      <c r="U30" s="624"/>
      <c r="V30" s="624"/>
      <c r="W30" s="625"/>
    </row>
    <row r="31" spans="1:16384" ht="15.75">
      <c r="A31" s="2138"/>
      <c r="B31" s="2158"/>
      <c r="C31" s="149" t="s">
        <v>156</v>
      </c>
      <c r="D31" s="148" t="s">
        <v>394</v>
      </c>
      <c r="E31" s="138"/>
      <c r="F31" s="1845"/>
      <c r="G31" s="1845"/>
      <c r="H31" s="2139"/>
      <c r="I31" s="326"/>
      <c r="J31" s="624"/>
      <c r="K31" s="624"/>
      <c r="L31" s="624"/>
      <c r="M31" s="624"/>
      <c r="N31" s="326"/>
      <c r="O31" s="624"/>
      <c r="P31" s="624"/>
      <c r="Q31" s="624"/>
      <c r="R31" s="624"/>
      <c r="S31" s="326"/>
      <c r="T31" s="624"/>
      <c r="U31" s="624"/>
      <c r="V31" s="624"/>
      <c r="W31" s="625"/>
    </row>
    <row r="32" spans="1:16384" ht="16.5" thickBot="1">
      <c r="A32" s="2149"/>
      <c r="B32" s="2152"/>
      <c r="C32" s="150" t="s">
        <v>399</v>
      </c>
      <c r="D32" s="148" t="s">
        <v>395</v>
      </c>
      <c r="E32" s="138"/>
      <c r="F32" s="2141"/>
      <c r="G32" s="2141"/>
      <c r="H32" s="2142"/>
      <c r="I32" s="326"/>
      <c r="J32" s="624"/>
      <c r="K32" s="624"/>
      <c r="L32" s="624"/>
      <c r="M32" s="624"/>
      <c r="N32" s="326"/>
      <c r="O32" s="624"/>
      <c r="P32" s="624"/>
      <c r="Q32" s="624"/>
      <c r="R32" s="624"/>
      <c r="S32" s="326"/>
      <c r="T32" s="624"/>
      <c r="U32" s="624"/>
      <c r="V32" s="624"/>
      <c r="W32" s="625"/>
    </row>
    <row r="33" spans="1:23" ht="16.5" thickBot="1">
      <c r="A33" s="2159" t="s">
        <v>482</v>
      </c>
      <c r="B33" s="2151"/>
      <c r="C33" s="151" t="s">
        <v>365</v>
      </c>
      <c r="D33" s="148" t="s">
        <v>252</v>
      </c>
      <c r="E33" s="138"/>
      <c r="F33" s="1828"/>
      <c r="G33" s="2140"/>
      <c r="H33" s="2137"/>
      <c r="I33" s="326"/>
      <c r="J33" s="624"/>
      <c r="K33" s="624"/>
      <c r="L33" s="624"/>
      <c r="M33" s="624"/>
      <c r="N33" s="326"/>
      <c r="O33" s="624"/>
      <c r="P33" s="624"/>
      <c r="Q33" s="624"/>
      <c r="R33" s="624"/>
      <c r="S33" s="326"/>
      <c r="T33" s="624"/>
      <c r="U33" s="624"/>
      <c r="V33" s="624"/>
      <c r="W33" s="625"/>
    </row>
    <row r="34" spans="1:23" ht="16.5" thickBot="1">
      <c r="A34" s="2159" t="s">
        <v>484</v>
      </c>
      <c r="B34" s="2151"/>
      <c r="C34" s="151" t="s">
        <v>485</v>
      </c>
      <c r="D34" s="148" t="s">
        <v>264</v>
      </c>
      <c r="E34" s="138"/>
      <c r="F34" s="2160"/>
      <c r="G34" s="2140"/>
      <c r="H34" s="2137"/>
      <c r="I34" s="326"/>
      <c r="J34" s="624"/>
      <c r="K34" s="624"/>
      <c r="L34" s="624"/>
      <c r="M34" s="624"/>
      <c r="N34" s="326"/>
      <c r="O34" s="624"/>
      <c r="P34" s="624"/>
      <c r="Q34" s="624"/>
      <c r="R34" s="624"/>
      <c r="S34" s="326"/>
      <c r="T34" s="624"/>
      <c r="U34" s="624"/>
      <c r="V34" s="624"/>
      <c r="W34" s="625"/>
    </row>
    <row r="35" spans="1:23" ht="24.75" customHeight="1">
      <c r="A35" s="2161" t="s">
        <v>486</v>
      </c>
      <c r="B35" s="2151"/>
      <c r="C35" s="152" t="s">
        <v>43</v>
      </c>
      <c r="D35" s="153" t="s">
        <v>256</v>
      </c>
      <c r="E35" s="138" t="s">
        <v>554</v>
      </c>
      <c r="F35" s="2162" t="s">
        <v>740</v>
      </c>
      <c r="G35" s="2163"/>
      <c r="H35" s="2164"/>
      <c r="I35" s="326" t="s">
        <v>554</v>
      </c>
      <c r="J35" s="624">
        <v>1</v>
      </c>
      <c r="K35" s="624"/>
      <c r="L35" s="624">
        <v>80</v>
      </c>
      <c r="M35" s="624">
        <f>L35*104*5</f>
        <v>41600</v>
      </c>
      <c r="N35" s="326" t="s">
        <v>554</v>
      </c>
      <c r="O35" s="624">
        <v>1</v>
      </c>
      <c r="P35" s="624"/>
      <c r="Q35" s="624">
        <v>80</v>
      </c>
      <c r="R35" s="624">
        <f>Q35*104*5</f>
        <v>41600</v>
      </c>
      <c r="S35" s="326" t="s">
        <v>554</v>
      </c>
      <c r="T35" s="624">
        <v>1</v>
      </c>
      <c r="U35" s="624"/>
      <c r="V35" s="624">
        <v>80</v>
      </c>
      <c r="W35" s="624">
        <f>V35*104*5</f>
        <v>41600</v>
      </c>
    </row>
    <row r="36" spans="1:23" ht="16.5" thickBot="1">
      <c r="A36" s="2149"/>
      <c r="B36" s="2152"/>
      <c r="C36" s="154" t="s">
        <v>60</v>
      </c>
      <c r="D36" s="153" t="s">
        <v>257</v>
      </c>
      <c r="E36" s="138" t="s">
        <v>554</v>
      </c>
      <c r="F36" s="2162" t="s">
        <v>740</v>
      </c>
      <c r="G36" s="2163"/>
      <c r="H36" s="2164"/>
      <c r="I36" s="326" t="s">
        <v>554</v>
      </c>
      <c r="J36" s="624"/>
      <c r="K36" s="624"/>
      <c r="L36" s="624"/>
      <c r="M36" s="624"/>
      <c r="N36" s="326" t="s">
        <v>554</v>
      </c>
      <c r="O36" s="624"/>
      <c r="P36" s="624"/>
      <c r="Q36" s="624"/>
      <c r="R36" s="624"/>
      <c r="S36" s="326" t="s">
        <v>554</v>
      </c>
      <c r="T36" s="624"/>
      <c r="U36" s="624"/>
      <c r="V36" s="624"/>
      <c r="W36" s="624"/>
    </row>
    <row r="37" spans="1:23" ht="30">
      <c r="A37" s="2165" t="s">
        <v>33</v>
      </c>
      <c r="B37" s="2140"/>
      <c r="C37" s="155" t="s">
        <v>30</v>
      </c>
      <c r="D37" s="156" t="s">
        <v>170</v>
      </c>
      <c r="E37" s="138"/>
      <c r="F37" s="1820"/>
      <c r="G37" s="2140"/>
      <c r="H37" s="2137"/>
      <c r="I37" s="326"/>
      <c r="J37" s="624"/>
      <c r="K37" s="624"/>
      <c r="L37" s="624"/>
      <c r="M37" s="624"/>
      <c r="N37" s="326"/>
      <c r="O37" s="624"/>
      <c r="P37" s="624"/>
      <c r="Q37" s="624"/>
      <c r="R37" s="624"/>
      <c r="S37" s="326"/>
      <c r="T37" s="624"/>
      <c r="U37" s="624"/>
      <c r="V37" s="624"/>
      <c r="W37" s="624"/>
    </row>
    <row r="38" spans="1:23" ht="30">
      <c r="A38" s="2138"/>
      <c r="B38" s="2148"/>
      <c r="C38" s="157" t="s">
        <v>31</v>
      </c>
      <c r="D38" s="156" t="s">
        <v>169</v>
      </c>
      <c r="E38" s="138" t="s">
        <v>554</v>
      </c>
      <c r="F38" s="2166" t="s">
        <v>741</v>
      </c>
      <c r="G38" s="2167"/>
      <c r="H38" s="2168"/>
      <c r="I38" s="326" t="s">
        <v>554</v>
      </c>
      <c r="J38" s="624">
        <v>1</v>
      </c>
      <c r="K38" s="624"/>
      <c r="L38" s="624">
        <v>70</v>
      </c>
      <c r="M38" s="624">
        <f>L38*177*5</f>
        <v>61950</v>
      </c>
      <c r="N38" s="326" t="s">
        <v>554</v>
      </c>
      <c r="O38" s="624">
        <v>1</v>
      </c>
      <c r="P38" s="624"/>
      <c r="Q38" s="624">
        <v>70</v>
      </c>
      <c r="R38" s="624">
        <f>Q38*177*5</f>
        <v>61950</v>
      </c>
      <c r="S38" s="326" t="s">
        <v>554</v>
      </c>
      <c r="T38" s="624">
        <v>1</v>
      </c>
      <c r="U38" s="624"/>
      <c r="V38" s="624">
        <v>70</v>
      </c>
      <c r="W38" s="624">
        <f>V38*177*5</f>
        <v>61950</v>
      </c>
    </row>
    <row r="39" spans="1:23" ht="30.75" thickBot="1">
      <c r="A39" s="2138"/>
      <c r="B39" s="2148"/>
      <c r="C39" s="158" t="s">
        <v>32</v>
      </c>
      <c r="D39" s="156" t="s">
        <v>250</v>
      </c>
      <c r="E39" s="138" t="s">
        <v>554</v>
      </c>
      <c r="F39" s="2166" t="s">
        <v>742</v>
      </c>
      <c r="G39" s="2167"/>
      <c r="H39" s="2168"/>
      <c r="I39" s="326" t="s">
        <v>554</v>
      </c>
      <c r="J39" s="624">
        <v>1</v>
      </c>
      <c r="K39" s="624">
        <v>1</v>
      </c>
      <c r="L39" s="624">
        <v>70</v>
      </c>
      <c r="M39" s="624">
        <f>L39*233*5</f>
        <v>81550</v>
      </c>
      <c r="N39" s="326" t="s">
        <v>554</v>
      </c>
      <c r="O39" s="624">
        <v>1</v>
      </c>
      <c r="P39" s="624">
        <v>1</v>
      </c>
      <c r="Q39" s="624">
        <v>70</v>
      </c>
      <c r="R39" s="624">
        <f>Q39*233*5</f>
        <v>81550</v>
      </c>
      <c r="S39" s="326" t="s">
        <v>554</v>
      </c>
      <c r="T39" s="624">
        <v>1</v>
      </c>
      <c r="U39" s="624">
        <v>1</v>
      </c>
      <c r="V39" s="624">
        <v>70</v>
      </c>
      <c r="W39" s="624">
        <f>V39*233*5</f>
        <v>81550</v>
      </c>
    </row>
    <row r="40" spans="1:23" ht="54" customHeight="1">
      <c r="A40" s="2169" t="s">
        <v>491</v>
      </c>
      <c r="B40" s="2170"/>
      <c r="C40" s="159" t="s">
        <v>144</v>
      </c>
      <c r="D40" s="160" t="s">
        <v>253</v>
      </c>
      <c r="E40" s="138" t="s">
        <v>554</v>
      </c>
      <c r="F40" s="2162" t="s">
        <v>743</v>
      </c>
      <c r="G40" s="2167"/>
      <c r="H40" s="2168"/>
      <c r="I40" s="326" t="s">
        <v>554</v>
      </c>
      <c r="J40" s="624">
        <v>1</v>
      </c>
      <c r="K40" s="624"/>
      <c r="L40" s="624"/>
      <c r="M40" s="624"/>
      <c r="N40" s="326" t="s">
        <v>554</v>
      </c>
      <c r="O40" s="624">
        <v>1</v>
      </c>
      <c r="P40" s="624"/>
      <c r="Q40" s="624"/>
      <c r="R40" s="624"/>
      <c r="S40" s="326" t="s">
        <v>554</v>
      </c>
      <c r="T40" s="624">
        <v>1</v>
      </c>
      <c r="U40" s="624"/>
      <c r="V40" s="624"/>
      <c r="W40" s="624"/>
    </row>
    <row r="41" spans="1:23" ht="16.5" thickBot="1">
      <c r="A41" s="2148"/>
      <c r="B41" s="2158"/>
      <c r="C41" s="161" t="s">
        <v>145</v>
      </c>
      <c r="D41" s="160" t="s">
        <v>254</v>
      </c>
      <c r="E41" s="138" t="s">
        <v>554</v>
      </c>
      <c r="F41" s="2162" t="s">
        <v>744</v>
      </c>
      <c r="G41" s="2167"/>
      <c r="H41" s="2168"/>
      <c r="I41" s="326" t="s">
        <v>554</v>
      </c>
      <c r="J41" s="624">
        <v>1</v>
      </c>
      <c r="K41" s="624"/>
      <c r="L41" s="624"/>
      <c r="M41" s="624"/>
      <c r="N41" s="326" t="s">
        <v>554</v>
      </c>
      <c r="O41" s="624">
        <v>1</v>
      </c>
      <c r="P41" s="624"/>
      <c r="Q41" s="624"/>
      <c r="R41" s="624"/>
      <c r="S41" s="326" t="s">
        <v>554</v>
      </c>
      <c r="T41" s="624">
        <v>1</v>
      </c>
      <c r="U41" s="624"/>
      <c r="V41" s="624"/>
      <c r="W41" s="624"/>
    </row>
    <row r="42" spans="1:23" ht="32.25" thickBot="1">
      <c r="A42" s="2171"/>
      <c r="B42" s="2172"/>
      <c r="C42" s="162" t="s">
        <v>128</v>
      </c>
      <c r="D42" s="160" t="s">
        <v>262</v>
      </c>
      <c r="E42" s="138"/>
      <c r="F42" s="2173"/>
      <c r="G42" s="2097"/>
      <c r="H42" s="2098"/>
      <c r="I42" s="326"/>
      <c r="J42" s="624"/>
      <c r="K42" s="624"/>
      <c r="L42" s="624"/>
      <c r="M42" s="624"/>
      <c r="N42" s="326"/>
      <c r="O42" s="624"/>
      <c r="P42" s="624"/>
      <c r="Q42" s="624"/>
      <c r="R42" s="624"/>
      <c r="S42" s="326"/>
      <c r="T42" s="624"/>
      <c r="U42" s="624"/>
      <c r="V42" s="624"/>
      <c r="W42" s="624"/>
    </row>
    <row r="43" spans="1:23" ht="15.75" thickBot="1">
      <c r="A43" s="2146" t="s">
        <v>493</v>
      </c>
      <c r="B43" s="2144"/>
      <c r="C43" s="2145"/>
      <c r="D43" s="163" t="s">
        <v>237</v>
      </c>
      <c r="E43" s="138"/>
      <c r="F43" s="1818"/>
      <c r="G43" s="2097"/>
      <c r="H43" s="2098"/>
      <c r="I43" s="326"/>
      <c r="J43" s="624"/>
      <c r="K43" s="624"/>
      <c r="L43" s="624"/>
      <c r="M43" s="624"/>
      <c r="N43" s="326"/>
      <c r="O43" s="624"/>
      <c r="P43" s="624"/>
      <c r="Q43" s="624"/>
      <c r="R43" s="624"/>
      <c r="S43" s="326"/>
      <c r="T43" s="624"/>
      <c r="U43" s="624"/>
      <c r="V43" s="624"/>
      <c r="W43" s="624"/>
    </row>
    <row r="44" spans="1:23" ht="15.75" thickBot="1">
      <c r="A44" s="2146" t="s">
        <v>133</v>
      </c>
      <c r="B44" s="2144"/>
      <c r="C44" s="2145"/>
      <c r="D44" s="163" t="s">
        <v>238</v>
      </c>
      <c r="E44" s="138" t="s">
        <v>554</v>
      </c>
      <c r="F44" s="1818" t="s">
        <v>745</v>
      </c>
      <c r="G44" s="2097"/>
      <c r="H44" s="2098"/>
      <c r="I44" s="326" t="s">
        <v>554</v>
      </c>
      <c r="J44" s="624">
        <v>1</v>
      </c>
      <c r="K44" s="624">
        <v>1</v>
      </c>
      <c r="L44" s="624">
        <v>5</v>
      </c>
      <c r="M44" s="624">
        <f>L44*358*5</f>
        <v>8950</v>
      </c>
      <c r="N44" s="326" t="s">
        <v>554</v>
      </c>
      <c r="O44" s="624">
        <v>1</v>
      </c>
      <c r="P44" s="624">
        <v>1</v>
      </c>
      <c r="Q44" s="624">
        <v>5</v>
      </c>
      <c r="R44" s="624">
        <f>Q44*358*5</f>
        <v>8950</v>
      </c>
      <c r="S44" s="326" t="s">
        <v>554</v>
      </c>
      <c r="T44" s="624">
        <v>1</v>
      </c>
      <c r="U44" s="624">
        <v>1</v>
      </c>
      <c r="V44" s="624">
        <v>5</v>
      </c>
      <c r="W44" s="624">
        <f>V44*358*5</f>
        <v>8950</v>
      </c>
    </row>
    <row r="45" spans="1:23">
      <c r="A45" s="2147" t="s">
        <v>41</v>
      </c>
      <c r="B45" s="2148"/>
      <c r="C45" s="164" t="s">
        <v>50</v>
      </c>
      <c r="D45" s="165" t="s">
        <v>246</v>
      </c>
      <c r="E45" s="138"/>
      <c r="F45" s="1785"/>
      <c r="G45" s="2097"/>
      <c r="H45" s="2098"/>
      <c r="I45" s="326"/>
      <c r="J45" s="624"/>
      <c r="K45" s="624"/>
      <c r="L45" s="624"/>
      <c r="M45" s="624"/>
      <c r="N45" s="326"/>
      <c r="O45" s="624"/>
      <c r="P45" s="624"/>
      <c r="Q45" s="624"/>
      <c r="R45" s="624"/>
      <c r="S45" s="326"/>
      <c r="T45" s="624"/>
      <c r="U45" s="624"/>
      <c r="V45" s="624"/>
      <c r="W45" s="624"/>
    </row>
    <row r="46" spans="1:23" ht="66.75" customHeight="1">
      <c r="A46" s="2138"/>
      <c r="B46" s="2148"/>
      <c r="C46" s="166" t="s">
        <v>51</v>
      </c>
      <c r="D46" s="165" t="s">
        <v>247</v>
      </c>
      <c r="E46" s="138" t="s">
        <v>554</v>
      </c>
      <c r="F46" s="1785" t="s">
        <v>746</v>
      </c>
      <c r="G46" s="2097"/>
      <c r="H46" s="2098"/>
      <c r="I46" s="326" t="s">
        <v>554</v>
      </c>
      <c r="J46" s="624">
        <v>1</v>
      </c>
      <c r="K46" s="624"/>
      <c r="L46" s="624"/>
      <c r="M46" s="624"/>
      <c r="N46" s="326" t="s">
        <v>554</v>
      </c>
      <c r="O46" s="624">
        <v>1</v>
      </c>
      <c r="P46" s="624"/>
      <c r="Q46" s="624"/>
      <c r="R46" s="624"/>
      <c r="S46" s="326" t="s">
        <v>554</v>
      </c>
      <c r="T46" s="624">
        <v>1</v>
      </c>
      <c r="U46" s="624"/>
      <c r="V46" s="624"/>
      <c r="W46" s="624"/>
    </row>
    <row r="47" spans="1:23">
      <c r="A47" s="2138"/>
      <c r="B47" s="2148"/>
      <c r="C47" s="166" t="s">
        <v>39</v>
      </c>
      <c r="D47" s="165" t="s">
        <v>248</v>
      </c>
      <c r="E47" s="138" t="s">
        <v>554</v>
      </c>
      <c r="F47" s="1785" t="s">
        <v>747</v>
      </c>
      <c r="G47" s="2097"/>
      <c r="H47" s="2098"/>
      <c r="I47" s="326" t="s">
        <v>554</v>
      </c>
      <c r="J47" s="624">
        <v>1</v>
      </c>
      <c r="K47" s="624"/>
      <c r="L47" s="624"/>
      <c r="M47" s="624"/>
      <c r="N47" s="326" t="s">
        <v>554</v>
      </c>
      <c r="O47" s="624">
        <v>1</v>
      </c>
      <c r="P47" s="624"/>
      <c r="Q47" s="624"/>
      <c r="R47" s="624"/>
      <c r="S47" s="326" t="s">
        <v>554</v>
      </c>
      <c r="T47" s="624">
        <v>1</v>
      </c>
      <c r="U47" s="624"/>
      <c r="V47" s="624"/>
      <c r="W47" s="624"/>
    </row>
    <row r="48" spans="1:23" ht="15.75" thickBot="1">
      <c r="A48" s="2149"/>
      <c r="B48" s="2141"/>
      <c r="C48" s="167" t="s">
        <v>40</v>
      </c>
      <c r="D48" s="165" t="s">
        <v>249</v>
      </c>
      <c r="E48" s="138"/>
      <c r="F48" s="1785"/>
      <c r="G48" s="2097"/>
      <c r="H48" s="2098"/>
      <c r="I48" s="326"/>
      <c r="J48" s="624"/>
      <c r="K48" s="624"/>
      <c r="L48" s="624"/>
      <c r="M48" s="624"/>
      <c r="N48" s="326"/>
      <c r="O48" s="624"/>
      <c r="P48" s="624"/>
      <c r="Q48" s="624"/>
      <c r="R48" s="624"/>
      <c r="S48" s="326"/>
      <c r="T48" s="624"/>
      <c r="U48" s="624"/>
      <c r="V48" s="624"/>
      <c r="W48" s="624"/>
    </row>
    <row r="49" spans="1:23" ht="15.75">
      <c r="A49" s="2150" t="s">
        <v>130</v>
      </c>
      <c r="B49" s="2151"/>
      <c r="C49" s="159" t="s">
        <v>131</v>
      </c>
      <c r="D49" s="160" t="s">
        <v>255</v>
      </c>
      <c r="E49" s="138"/>
      <c r="F49" s="2153"/>
      <c r="G49" s="2097"/>
      <c r="H49" s="2098"/>
      <c r="I49" s="326"/>
      <c r="J49" s="624"/>
      <c r="K49" s="624"/>
      <c r="L49" s="624"/>
      <c r="M49" s="624"/>
      <c r="N49" s="326"/>
      <c r="O49" s="624"/>
      <c r="P49" s="624"/>
      <c r="Q49" s="624"/>
      <c r="R49" s="624"/>
      <c r="S49" s="326"/>
      <c r="T49" s="624"/>
      <c r="U49" s="624"/>
      <c r="V49" s="624"/>
      <c r="W49" s="624"/>
    </row>
    <row r="50" spans="1:23" ht="32.25" thickBot="1">
      <c r="A50" s="2149"/>
      <c r="B50" s="2152"/>
      <c r="C50" s="168" t="s">
        <v>132</v>
      </c>
      <c r="D50" s="160" t="s">
        <v>263</v>
      </c>
      <c r="E50" s="138" t="s">
        <v>554</v>
      </c>
      <c r="F50" s="2153"/>
      <c r="G50" s="2097"/>
      <c r="H50" s="2098"/>
      <c r="I50" s="326" t="s">
        <v>554</v>
      </c>
      <c r="J50" s="624">
        <v>1</v>
      </c>
      <c r="K50" s="624">
        <v>1</v>
      </c>
      <c r="L50" s="624">
        <v>5</v>
      </c>
      <c r="M50" s="624">
        <f>L50*204*5</f>
        <v>5100</v>
      </c>
      <c r="N50" s="326" t="s">
        <v>554</v>
      </c>
      <c r="O50" s="624">
        <v>1</v>
      </c>
      <c r="P50" s="624">
        <v>1</v>
      </c>
      <c r="Q50" s="624">
        <v>5</v>
      </c>
      <c r="R50" s="624">
        <f>Q50*204*5</f>
        <v>5100</v>
      </c>
      <c r="S50" s="326" t="s">
        <v>554</v>
      </c>
      <c r="T50" s="624">
        <v>1</v>
      </c>
      <c r="U50" s="624">
        <v>1</v>
      </c>
      <c r="V50" s="624">
        <v>5</v>
      </c>
      <c r="W50" s="624">
        <f>V50*204*5</f>
        <v>5100</v>
      </c>
    </row>
    <row r="51" spans="1:23">
      <c r="A51" s="2154" t="s">
        <v>42</v>
      </c>
      <c r="B51" s="2140"/>
      <c r="C51" s="169" t="s">
        <v>38</v>
      </c>
      <c r="D51" s="170" t="s">
        <v>239</v>
      </c>
      <c r="E51" s="138" t="s">
        <v>554</v>
      </c>
      <c r="F51" s="1818" t="s">
        <v>748</v>
      </c>
      <c r="G51" s="2097"/>
      <c r="H51" s="2098"/>
      <c r="I51" s="326" t="s">
        <v>554</v>
      </c>
      <c r="J51" s="624">
        <v>1</v>
      </c>
      <c r="K51" s="624">
        <v>1</v>
      </c>
      <c r="L51" s="624" t="s">
        <v>1090</v>
      </c>
      <c r="M51" s="624">
        <f>2000*0.8*5</f>
        <v>8000</v>
      </c>
      <c r="N51" s="326" t="s">
        <v>554</v>
      </c>
      <c r="O51" s="624">
        <v>1</v>
      </c>
      <c r="P51" s="624">
        <v>1</v>
      </c>
      <c r="Q51" s="624" t="s">
        <v>1090</v>
      </c>
      <c r="R51" s="624">
        <f>2000*0.8*5</f>
        <v>8000</v>
      </c>
      <c r="S51" s="326" t="s">
        <v>554</v>
      </c>
      <c r="T51" s="624">
        <v>1</v>
      </c>
      <c r="U51" s="624">
        <v>1</v>
      </c>
      <c r="V51" s="624" t="s">
        <v>1090</v>
      </c>
      <c r="W51" s="624">
        <f>2000*0.8*5</f>
        <v>8000</v>
      </c>
    </row>
    <row r="52" spans="1:23">
      <c r="A52" s="2148"/>
      <c r="B52" s="2148"/>
      <c r="C52" s="171" t="s">
        <v>55</v>
      </c>
      <c r="D52" s="170" t="s">
        <v>240</v>
      </c>
      <c r="E52" s="138"/>
      <c r="F52" s="2155"/>
      <c r="G52" s="2097"/>
      <c r="H52" s="2098"/>
      <c r="I52" s="326"/>
      <c r="J52" s="624"/>
      <c r="K52" s="624"/>
      <c r="L52" s="624"/>
      <c r="M52" s="624"/>
      <c r="N52" s="326"/>
      <c r="O52" s="624"/>
      <c r="P52" s="624"/>
      <c r="Q52" s="624"/>
      <c r="R52" s="624"/>
      <c r="S52" s="326"/>
      <c r="T52" s="624"/>
      <c r="U52" s="624"/>
      <c r="V52" s="624"/>
      <c r="W52" s="625"/>
    </row>
    <row r="53" spans="1:23" ht="16.5" thickBot="1">
      <c r="A53" s="2148"/>
      <c r="B53" s="2148"/>
      <c r="C53" s="161" t="s">
        <v>48</v>
      </c>
      <c r="D53" s="172" t="s">
        <v>241</v>
      </c>
      <c r="E53" s="138"/>
      <c r="F53" s="2156"/>
      <c r="G53" s="2097"/>
      <c r="H53" s="2098"/>
      <c r="I53" s="326"/>
      <c r="J53" s="624"/>
      <c r="K53" s="624"/>
      <c r="L53" s="624"/>
      <c r="M53" s="624"/>
      <c r="N53" s="326"/>
      <c r="O53" s="624"/>
      <c r="P53" s="624"/>
      <c r="Q53" s="624"/>
      <c r="R53" s="624"/>
      <c r="S53" s="326"/>
      <c r="T53" s="624"/>
      <c r="U53" s="624"/>
      <c r="V53" s="624"/>
      <c r="W53" s="625"/>
    </row>
    <row r="54" spans="1:23" ht="16.5" thickBot="1">
      <c r="A54" s="2135" t="s">
        <v>500</v>
      </c>
      <c r="B54" s="2097"/>
      <c r="C54" s="173" t="s">
        <v>134</v>
      </c>
      <c r="D54" s="174" t="s">
        <v>269</v>
      </c>
      <c r="E54" s="175"/>
      <c r="F54" s="1818"/>
      <c r="G54" s="2097"/>
      <c r="H54" s="2098"/>
      <c r="I54" s="626"/>
      <c r="J54" s="627"/>
      <c r="K54" s="627"/>
      <c r="L54" s="627"/>
      <c r="M54" s="627"/>
      <c r="N54" s="626"/>
      <c r="O54" s="627"/>
      <c r="P54" s="627"/>
      <c r="Q54" s="627"/>
      <c r="R54" s="627"/>
      <c r="S54" s="626"/>
      <c r="T54" s="627"/>
      <c r="U54" s="627"/>
      <c r="V54" s="627"/>
      <c r="W54" s="628"/>
    </row>
    <row r="55" spans="1:23">
      <c r="I55" s="610"/>
      <c r="J55" s="610">
        <f>SUM(J15:J54)</f>
        <v>10</v>
      </c>
      <c r="K55" s="610"/>
      <c r="L55" s="33" t="s">
        <v>1091</v>
      </c>
      <c r="M55" s="610">
        <f>SUM(M15:M52)</f>
        <v>207150</v>
      </c>
      <c r="N55" s="610"/>
      <c r="O55" s="610"/>
      <c r="P55" s="610"/>
      <c r="Q55" s="610"/>
      <c r="R55" s="610"/>
      <c r="S55" s="610"/>
      <c r="T55" s="610"/>
      <c r="U55" s="610"/>
      <c r="V55" s="610"/>
      <c r="W55" s="610"/>
    </row>
    <row r="58" spans="1:23" ht="75">
      <c r="A58" s="630" t="s">
        <v>948</v>
      </c>
      <c r="B58" s="630" t="s">
        <v>949</v>
      </c>
      <c r="C58" s="630" t="s">
        <v>950</v>
      </c>
      <c r="D58" s="785" t="s">
        <v>1092</v>
      </c>
      <c r="E58" s="630" t="s">
        <v>952</v>
      </c>
    </row>
    <row r="59" spans="1:23">
      <c r="A59" s="634" t="s">
        <v>1093</v>
      </c>
      <c r="B59" s="624" t="s">
        <v>1094</v>
      </c>
      <c r="C59" s="786"/>
      <c r="D59" s="2187">
        <v>1</v>
      </c>
      <c r="E59" s="635" t="s">
        <v>1095</v>
      </c>
    </row>
    <row r="60" spans="1:23">
      <c r="A60" s="634" t="s">
        <v>956</v>
      </c>
      <c r="B60" s="624" t="s">
        <v>1096</v>
      </c>
      <c r="C60" s="786"/>
      <c r="D60" s="2188"/>
      <c r="E60" s="635" t="s">
        <v>1097</v>
      </c>
    </row>
    <row r="61" spans="1:23">
      <c r="A61" s="634" t="s">
        <v>1098</v>
      </c>
      <c r="B61" s="624" t="s">
        <v>1094</v>
      </c>
      <c r="C61" s="786"/>
      <c r="D61" s="2189"/>
      <c r="E61" s="635" t="s">
        <v>1099</v>
      </c>
    </row>
    <row r="62" spans="1:23">
      <c r="A62" s="634" t="s">
        <v>1100</v>
      </c>
      <c r="B62" s="624" t="s">
        <v>991</v>
      </c>
      <c r="C62" s="786"/>
      <c r="D62" s="786"/>
      <c r="E62" s="635"/>
    </row>
    <row r="63" spans="1:23">
      <c r="A63" s="634" t="s">
        <v>959</v>
      </c>
      <c r="B63" s="624" t="s">
        <v>1101</v>
      </c>
      <c r="C63" s="786"/>
      <c r="D63" s="786"/>
      <c r="E63" s="635"/>
    </row>
    <row r="64" spans="1:23">
      <c r="A64" s="634" t="s">
        <v>961</v>
      </c>
      <c r="B64" s="624" t="s">
        <v>887</v>
      </c>
      <c r="C64" s="786">
        <v>10</v>
      </c>
      <c r="D64" s="786">
        <v>10</v>
      </c>
      <c r="E64" s="635" t="s">
        <v>1102</v>
      </c>
    </row>
    <row r="65" spans="1:5">
      <c r="A65" s="634" t="s">
        <v>963</v>
      </c>
      <c r="B65" s="624" t="s">
        <v>887</v>
      </c>
      <c r="C65" s="786">
        <v>6</v>
      </c>
      <c r="D65" s="786">
        <v>9</v>
      </c>
      <c r="E65" s="635" t="s">
        <v>1103</v>
      </c>
    </row>
    <row r="66" spans="1:5">
      <c r="A66" s="634" t="s">
        <v>965</v>
      </c>
      <c r="B66" s="624" t="s">
        <v>887</v>
      </c>
      <c r="C66" s="786">
        <v>10</v>
      </c>
      <c r="D66" s="786">
        <v>2.5</v>
      </c>
      <c r="E66" s="635" t="s">
        <v>1104</v>
      </c>
    </row>
    <row r="67" spans="1:5">
      <c r="A67" s="634" t="s">
        <v>1105</v>
      </c>
      <c r="B67" s="624" t="s">
        <v>887</v>
      </c>
      <c r="C67" s="786"/>
      <c r="D67" s="2187">
        <v>6</v>
      </c>
      <c r="E67" s="635" t="s">
        <v>1099</v>
      </c>
    </row>
    <row r="68" spans="1:5">
      <c r="A68" s="634" t="s">
        <v>1106</v>
      </c>
      <c r="B68" s="624" t="s">
        <v>887</v>
      </c>
      <c r="C68" s="786">
        <v>10</v>
      </c>
      <c r="D68" s="2190"/>
      <c r="E68" s="635" t="s">
        <v>1099</v>
      </c>
    </row>
    <row r="69" spans="1:5">
      <c r="A69" s="634" t="s">
        <v>1107</v>
      </c>
      <c r="B69" s="624" t="s">
        <v>887</v>
      </c>
      <c r="C69" s="786">
        <v>10</v>
      </c>
      <c r="D69" s="2189"/>
      <c r="E69" s="635" t="s">
        <v>1108</v>
      </c>
    </row>
    <row r="70" spans="1:5">
      <c r="A70" s="634" t="s">
        <v>969</v>
      </c>
      <c r="B70" s="624" t="s">
        <v>887</v>
      </c>
      <c r="C70" s="786"/>
      <c r="D70" s="2187">
        <v>2</v>
      </c>
      <c r="E70" s="635" t="s">
        <v>1099</v>
      </c>
    </row>
    <row r="71" spans="1:5">
      <c r="A71" s="634" t="s">
        <v>1109</v>
      </c>
      <c r="B71" s="624" t="s">
        <v>887</v>
      </c>
      <c r="C71" s="786">
        <v>15</v>
      </c>
      <c r="D71" s="2188"/>
      <c r="E71" s="635" t="s">
        <v>1110</v>
      </c>
    </row>
    <row r="72" spans="1:5">
      <c r="A72" s="634" t="s">
        <v>1111</v>
      </c>
      <c r="B72" s="624" t="s">
        <v>887</v>
      </c>
      <c r="C72" s="786"/>
      <c r="D72" s="2189"/>
      <c r="E72" s="635" t="s">
        <v>1099</v>
      </c>
    </row>
    <row r="73" spans="1:5">
      <c r="A73" s="787" t="s">
        <v>1112</v>
      </c>
      <c r="B73" s="788" t="s">
        <v>887</v>
      </c>
      <c r="C73" s="786"/>
      <c r="D73" s="786">
        <v>1</v>
      </c>
      <c r="E73" s="635"/>
    </row>
    <row r="74" spans="1:5">
      <c r="A74" s="634" t="s">
        <v>986</v>
      </c>
      <c r="B74" s="624"/>
      <c r="C74" s="786"/>
      <c r="D74" s="786"/>
      <c r="E74" s="635"/>
    </row>
    <row r="75" spans="1:5">
      <c r="A75" s="634"/>
      <c r="B75" s="624"/>
      <c r="C75" s="786"/>
      <c r="D75" s="786"/>
      <c r="E75" s="635"/>
    </row>
    <row r="76" spans="1:5">
      <c r="A76" s="634"/>
      <c r="B76" s="624"/>
      <c r="C76" s="786"/>
      <c r="D76" s="786"/>
      <c r="E76" s="635"/>
    </row>
    <row r="77" spans="1:5">
      <c r="A77" s="789" t="s">
        <v>1113</v>
      </c>
      <c r="B77" s="610"/>
      <c r="C77" s="610"/>
      <c r="D77" s="68"/>
      <c r="E77" s="610"/>
    </row>
    <row r="79" spans="1:5">
      <c r="D79" s="1">
        <f>SUM(D59:D76)</f>
        <v>31.5</v>
      </c>
    </row>
    <row r="81" spans="1:7" ht="75">
      <c r="A81" s="1428" t="s">
        <v>1271</v>
      </c>
      <c r="B81" s="1428" t="s">
        <v>1272</v>
      </c>
      <c r="C81" s="1428" t="s">
        <v>1273</v>
      </c>
      <c r="D81" s="1428" t="s">
        <v>1274</v>
      </c>
      <c r="E81" s="1428" t="s">
        <v>1275</v>
      </c>
      <c r="F81" s="1428" t="s">
        <v>1276</v>
      </c>
      <c r="G81" s="1432" t="s">
        <v>1472</v>
      </c>
    </row>
    <row r="82" spans="1:7" ht="180">
      <c r="A82" s="1430" t="s">
        <v>1473</v>
      </c>
      <c r="B82" s="1429" t="s">
        <v>1474</v>
      </c>
      <c r="C82" s="1429" t="s">
        <v>1475</v>
      </c>
      <c r="D82" s="1429" t="s">
        <v>991</v>
      </c>
      <c r="E82" s="1429" t="s">
        <v>1476</v>
      </c>
      <c r="F82" s="1429"/>
      <c r="G82" s="1430" t="s">
        <v>1477</v>
      </c>
    </row>
    <row r="83" spans="1:7" ht="60">
      <c r="A83" s="1431" t="s">
        <v>1478</v>
      </c>
      <c r="B83" s="1429" t="s">
        <v>1474</v>
      </c>
      <c r="C83" s="1429" t="s">
        <v>1475</v>
      </c>
      <c r="D83" s="1429" t="s">
        <v>991</v>
      </c>
      <c r="E83" s="1429" t="s">
        <v>1479</v>
      </c>
      <c r="F83" s="1429"/>
      <c r="G83" s="1430" t="s">
        <v>1480</v>
      </c>
    </row>
    <row r="84" spans="1:7" ht="60">
      <c r="A84" s="1431" t="s">
        <v>1481</v>
      </c>
      <c r="B84" s="1429" t="s">
        <v>1474</v>
      </c>
      <c r="C84" s="1429" t="s">
        <v>1475</v>
      </c>
      <c r="D84" s="1429" t="s">
        <v>991</v>
      </c>
      <c r="E84" s="1429" t="s">
        <v>1482</v>
      </c>
      <c r="F84" s="1429"/>
      <c r="G84" s="1430" t="s">
        <v>1483</v>
      </c>
    </row>
    <row r="85" spans="1:7" ht="45">
      <c r="A85" s="1431" t="s">
        <v>1484</v>
      </c>
      <c r="B85" s="1429" t="s">
        <v>1474</v>
      </c>
      <c r="C85" s="1429" t="s">
        <v>1475</v>
      </c>
      <c r="D85" s="1429" t="s">
        <v>991</v>
      </c>
      <c r="E85" s="1429" t="s">
        <v>239</v>
      </c>
      <c r="F85" s="1429"/>
      <c r="G85" s="1430" t="s">
        <v>1485</v>
      </c>
    </row>
    <row r="86" spans="1:7" ht="30">
      <c r="A86" s="1431" t="s">
        <v>1486</v>
      </c>
      <c r="B86" s="1429" t="s">
        <v>1474</v>
      </c>
      <c r="C86" s="1429" t="s">
        <v>1475</v>
      </c>
      <c r="D86" s="1429" t="s">
        <v>991</v>
      </c>
      <c r="E86" s="1429" t="s">
        <v>1487</v>
      </c>
      <c r="F86" s="1429"/>
      <c r="G86" s="1430" t="s">
        <v>1488</v>
      </c>
    </row>
    <row r="87" spans="1:7" ht="45">
      <c r="A87" s="1431" t="s">
        <v>1489</v>
      </c>
      <c r="B87" s="1429" t="s">
        <v>1490</v>
      </c>
      <c r="C87" s="1429" t="s">
        <v>1475</v>
      </c>
      <c r="D87" s="1429" t="s">
        <v>991</v>
      </c>
      <c r="E87" s="1429" t="s">
        <v>1280</v>
      </c>
      <c r="F87" s="1429"/>
      <c r="G87" s="1430" t="s">
        <v>1491</v>
      </c>
    </row>
    <row r="88" spans="1:7" ht="45">
      <c r="A88" s="1431" t="s">
        <v>1492</v>
      </c>
      <c r="B88" s="1429" t="s">
        <v>1474</v>
      </c>
      <c r="C88" s="1429" t="s">
        <v>1475</v>
      </c>
      <c r="D88" s="1429" t="s">
        <v>991</v>
      </c>
      <c r="E88" s="1429" t="s">
        <v>1493</v>
      </c>
      <c r="F88" s="1429"/>
      <c r="G88" s="1430" t="s">
        <v>1494</v>
      </c>
    </row>
  </sheetData>
  <mergeCells count="8245">
    <mergeCell ref="D59:D61"/>
    <mergeCell ref="D67:D69"/>
    <mergeCell ref="D70:D72"/>
    <mergeCell ref="XDJ20:XDJ21"/>
    <mergeCell ref="XDL20:XDL21"/>
    <mergeCell ref="XDN20:XDN21"/>
    <mergeCell ref="XDP20:XDP21"/>
    <mergeCell ref="XDR20:XDR21"/>
    <mergeCell ref="XDT20:XDT21"/>
    <mergeCell ref="XCX20:XCX21"/>
    <mergeCell ref="XCZ20:XCZ21"/>
    <mergeCell ref="XDB20:XDB21"/>
    <mergeCell ref="XDD20:XDD21"/>
    <mergeCell ref="XDF20:XDF21"/>
    <mergeCell ref="XET20:XET21"/>
    <mergeCell ref="XEV20:XEV21"/>
    <mergeCell ref="XEX20:XEX21"/>
    <mergeCell ref="XBZ20:XBZ21"/>
    <mergeCell ref="XCB20:XCB21"/>
    <mergeCell ref="XCD20:XCD21"/>
    <mergeCell ref="XCF20:XCF21"/>
    <mergeCell ref="XCH20:XCH21"/>
    <mergeCell ref="XCJ20:XCJ21"/>
    <mergeCell ref="XBN20:XBN21"/>
    <mergeCell ref="XBP20:XBP21"/>
    <mergeCell ref="XBR20:XBR21"/>
    <mergeCell ref="XBT20:XBT21"/>
    <mergeCell ref="XBV20:XBV21"/>
    <mergeCell ref="XBX20:XBX21"/>
    <mergeCell ref="XBB20:XBB21"/>
    <mergeCell ref="XBD20:XBD21"/>
    <mergeCell ref="XBF20:XBF21"/>
    <mergeCell ref="XEZ20:XEZ21"/>
    <mergeCell ref="XFB20:XFB21"/>
    <mergeCell ref="XFD20:XFD21"/>
    <mergeCell ref="XEH20:XEH21"/>
    <mergeCell ref="XEJ20:XEJ21"/>
    <mergeCell ref="XEL20:XEL21"/>
    <mergeCell ref="XEN20:XEN21"/>
    <mergeCell ref="XEP20:XEP21"/>
    <mergeCell ref="XER20:XER21"/>
    <mergeCell ref="XDV20:XDV21"/>
    <mergeCell ref="XDX20:XDX21"/>
    <mergeCell ref="XDZ20:XDZ21"/>
    <mergeCell ref="XEB20:XEB21"/>
    <mergeCell ref="XED20:XED21"/>
    <mergeCell ref="XEF20:XEF21"/>
    <mergeCell ref="XDH20:XDH21"/>
    <mergeCell ref="XCL20:XCL21"/>
    <mergeCell ref="XCN20:XCN21"/>
    <mergeCell ref="XCP20:XCP21"/>
    <mergeCell ref="XCR20:XCR21"/>
    <mergeCell ref="XCT20:XCT21"/>
    <mergeCell ref="XCV20:XCV21"/>
    <mergeCell ref="XBH20:XBH21"/>
    <mergeCell ref="XBJ20:XBJ21"/>
    <mergeCell ref="XBL20:XBL21"/>
    <mergeCell ref="XAP20:XAP21"/>
    <mergeCell ref="XAR20:XAR21"/>
    <mergeCell ref="XAT20:XAT21"/>
    <mergeCell ref="XAV20:XAV21"/>
    <mergeCell ref="XAX20:XAX21"/>
    <mergeCell ref="XAZ20:XAZ21"/>
    <mergeCell ref="XAD20:XAD21"/>
    <mergeCell ref="XAF20:XAF21"/>
    <mergeCell ref="XAH20:XAH21"/>
    <mergeCell ref="XAJ20:XAJ21"/>
    <mergeCell ref="XAL20:XAL21"/>
    <mergeCell ref="XAN20:XAN21"/>
    <mergeCell ref="WZR20:WZR21"/>
    <mergeCell ref="WZT20:WZT21"/>
    <mergeCell ref="WZV20:WZV21"/>
    <mergeCell ref="WZX20:WZX21"/>
    <mergeCell ref="WZZ20:WZZ21"/>
    <mergeCell ref="XAB20:XAB21"/>
    <mergeCell ref="WZF20:WZF21"/>
    <mergeCell ref="WZH20:WZH21"/>
    <mergeCell ref="WZJ20:WZJ21"/>
    <mergeCell ref="WZL20:WZL21"/>
    <mergeCell ref="WZN20:WZN21"/>
    <mergeCell ref="WZP20:WZP21"/>
    <mergeCell ref="WYT20:WYT21"/>
    <mergeCell ref="WYV20:WYV21"/>
    <mergeCell ref="WYX20:WYX21"/>
    <mergeCell ref="WYZ20:WYZ21"/>
    <mergeCell ref="WZB20:WZB21"/>
    <mergeCell ref="WZD20:WZD21"/>
    <mergeCell ref="WYH20:WYH21"/>
    <mergeCell ref="WYJ20:WYJ21"/>
    <mergeCell ref="WYL20:WYL21"/>
    <mergeCell ref="WYN20:WYN21"/>
    <mergeCell ref="WYP20:WYP21"/>
    <mergeCell ref="WYR20:WYR21"/>
    <mergeCell ref="WXV20:WXV21"/>
    <mergeCell ref="WXX20:WXX21"/>
    <mergeCell ref="WXZ20:WXZ21"/>
    <mergeCell ref="WYB20:WYB21"/>
    <mergeCell ref="WYD20:WYD21"/>
    <mergeCell ref="WYF20:WYF21"/>
    <mergeCell ref="WXJ20:WXJ21"/>
    <mergeCell ref="WXL20:WXL21"/>
    <mergeCell ref="WXN20:WXN21"/>
    <mergeCell ref="WXP20:WXP21"/>
    <mergeCell ref="WXR20:WXR21"/>
    <mergeCell ref="WXT20:WXT21"/>
    <mergeCell ref="WWX20:WWX21"/>
    <mergeCell ref="WWZ20:WWZ21"/>
    <mergeCell ref="WXB20:WXB21"/>
    <mergeCell ref="WXD20:WXD21"/>
    <mergeCell ref="WXF20:WXF21"/>
    <mergeCell ref="WXH20:WXH21"/>
    <mergeCell ref="WWL20:WWL21"/>
    <mergeCell ref="WWN20:WWN21"/>
    <mergeCell ref="WWP20:WWP21"/>
    <mergeCell ref="WWR20:WWR21"/>
    <mergeCell ref="WWT20:WWT21"/>
    <mergeCell ref="WWV20:WWV21"/>
    <mergeCell ref="WVZ20:WVZ21"/>
    <mergeCell ref="WWB20:WWB21"/>
    <mergeCell ref="WWD20:WWD21"/>
    <mergeCell ref="WWF20:WWF21"/>
    <mergeCell ref="WWH20:WWH21"/>
    <mergeCell ref="WWJ20:WWJ21"/>
    <mergeCell ref="WVN20:WVN21"/>
    <mergeCell ref="WVP20:WVP21"/>
    <mergeCell ref="WVR20:WVR21"/>
    <mergeCell ref="WVT20:WVT21"/>
    <mergeCell ref="WVV20:WVV21"/>
    <mergeCell ref="WVX20:WVX21"/>
    <mergeCell ref="WVB20:WVB21"/>
    <mergeCell ref="WVD20:WVD21"/>
    <mergeCell ref="WVF20:WVF21"/>
    <mergeCell ref="WVH20:WVH21"/>
    <mergeCell ref="WVJ20:WVJ21"/>
    <mergeCell ref="WVL20:WVL21"/>
    <mergeCell ref="WUP20:WUP21"/>
    <mergeCell ref="WUR20:WUR21"/>
    <mergeCell ref="WUT20:WUT21"/>
    <mergeCell ref="WUV20:WUV21"/>
    <mergeCell ref="WUX20:WUX21"/>
    <mergeCell ref="WUZ20:WUZ21"/>
    <mergeCell ref="WUD20:WUD21"/>
    <mergeCell ref="WUF20:WUF21"/>
    <mergeCell ref="WUH20:WUH21"/>
    <mergeCell ref="WUJ20:WUJ21"/>
    <mergeCell ref="WUL20:WUL21"/>
    <mergeCell ref="WUN20:WUN21"/>
    <mergeCell ref="WTR20:WTR21"/>
    <mergeCell ref="WTT20:WTT21"/>
    <mergeCell ref="WTV20:WTV21"/>
    <mergeCell ref="WTX20:WTX21"/>
    <mergeCell ref="WTZ20:WTZ21"/>
    <mergeCell ref="WUB20:WUB21"/>
    <mergeCell ref="WTF20:WTF21"/>
    <mergeCell ref="WTH20:WTH21"/>
    <mergeCell ref="WTJ20:WTJ21"/>
    <mergeCell ref="WTL20:WTL21"/>
    <mergeCell ref="WTN20:WTN21"/>
    <mergeCell ref="WTP20:WTP21"/>
    <mergeCell ref="WST20:WST21"/>
    <mergeCell ref="WSV20:WSV21"/>
    <mergeCell ref="WSX20:WSX21"/>
    <mergeCell ref="WSZ20:WSZ21"/>
    <mergeCell ref="WTB20:WTB21"/>
    <mergeCell ref="WTD20:WTD21"/>
    <mergeCell ref="WSH20:WSH21"/>
    <mergeCell ref="WSJ20:WSJ21"/>
    <mergeCell ref="WSL20:WSL21"/>
    <mergeCell ref="WSN20:WSN21"/>
    <mergeCell ref="WSP20:WSP21"/>
    <mergeCell ref="WSR20:WSR21"/>
    <mergeCell ref="WRV20:WRV21"/>
    <mergeCell ref="WRX20:WRX21"/>
    <mergeCell ref="WRZ20:WRZ21"/>
    <mergeCell ref="WSB20:WSB21"/>
    <mergeCell ref="WSD20:WSD21"/>
    <mergeCell ref="WSF20:WSF21"/>
    <mergeCell ref="WRJ20:WRJ21"/>
    <mergeCell ref="WRL20:WRL21"/>
    <mergeCell ref="WRN20:WRN21"/>
    <mergeCell ref="WRP20:WRP21"/>
    <mergeCell ref="WRR20:WRR21"/>
    <mergeCell ref="WRT20:WRT21"/>
    <mergeCell ref="WQX20:WQX21"/>
    <mergeCell ref="WQZ20:WQZ21"/>
    <mergeCell ref="WRB20:WRB21"/>
    <mergeCell ref="WRD20:WRD21"/>
    <mergeCell ref="WRF20:WRF21"/>
    <mergeCell ref="WRH20:WRH21"/>
    <mergeCell ref="WQL20:WQL21"/>
    <mergeCell ref="WQN20:WQN21"/>
    <mergeCell ref="WQP20:WQP21"/>
    <mergeCell ref="WQR20:WQR21"/>
    <mergeCell ref="WQT20:WQT21"/>
    <mergeCell ref="WQV20:WQV21"/>
    <mergeCell ref="WPZ20:WPZ21"/>
    <mergeCell ref="WQB20:WQB21"/>
    <mergeCell ref="WQD20:WQD21"/>
    <mergeCell ref="WQF20:WQF21"/>
    <mergeCell ref="WQH20:WQH21"/>
    <mergeCell ref="WQJ20:WQJ21"/>
    <mergeCell ref="WPN20:WPN21"/>
    <mergeCell ref="WPP20:WPP21"/>
    <mergeCell ref="WPR20:WPR21"/>
    <mergeCell ref="WPT20:WPT21"/>
    <mergeCell ref="WPV20:WPV21"/>
    <mergeCell ref="WPX20:WPX21"/>
    <mergeCell ref="WPB20:WPB21"/>
    <mergeCell ref="WPD20:WPD21"/>
    <mergeCell ref="WPF20:WPF21"/>
    <mergeCell ref="WPH20:WPH21"/>
    <mergeCell ref="WPJ20:WPJ21"/>
    <mergeCell ref="WPL20:WPL21"/>
    <mergeCell ref="WOP20:WOP21"/>
    <mergeCell ref="WOR20:WOR21"/>
    <mergeCell ref="WOT20:WOT21"/>
    <mergeCell ref="WOV20:WOV21"/>
    <mergeCell ref="WOX20:WOX21"/>
    <mergeCell ref="WOZ20:WOZ21"/>
    <mergeCell ref="WOD20:WOD21"/>
    <mergeCell ref="WOF20:WOF21"/>
    <mergeCell ref="WOH20:WOH21"/>
    <mergeCell ref="WOJ20:WOJ21"/>
    <mergeCell ref="WOL20:WOL21"/>
    <mergeCell ref="WON20:WON21"/>
    <mergeCell ref="WNR20:WNR21"/>
    <mergeCell ref="WNT20:WNT21"/>
    <mergeCell ref="WNV20:WNV21"/>
    <mergeCell ref="WNX20:WNX21"/>
    <mergeCell ref="WNZ20:WNZ21"/>
    <mergeCell ref="WOB20:WOB21"/>
    <mergeCell ref="WNF20:WNF21"/>
    <mergeCell ref="WNH20:WNH21"/>
    <mergeCell ref="WNJ20:WNJ21"/>
    <mergeCell ref="WNL20:WNL21"/>
    <mergeCell ref="WNN20:WNN21"/>
    <mergeCell ref="WNP20:WNP21"/>
    <mergeCell ref="WMT20:WMT21"/>
    <mergeCell ref="WMV20:WMV21"/>
    <mergeCell ref="WMX20:WMX21"/>
    <mergeCell ref="WMZ20:WMZ21"/>
    <mergeCell ref="WNB20:WNB21"/>
    <mergeCell ref="WND20:WND21"/>
    <mergeCell ref="WMH20:WMH21"/>
    <mergeCell ref="WMJ20:WMJ21"/>
    <mergeCell ref="WML20:WML21"/>
    <mergeCell ref="WMN20:WMN21"/>
    <mergeCell ref="WMP20:WMP21"/>
    <mergeCell ref="WMR20:WMR21"/>
    <mergeCell ref="WLV20:WLV21"/>
    <mergeCell ref="WLX20:WLX21"/>
    <mergeCell ref="WLZ20:WLZ21"/>
    <mergeCell ref="WMB20:WMB21"/>
    <mergeCell ref="WMD20:WMD21"/>
    <mergeCell ref="WMF20:WMF21"/>
    <mergeCell ref="WLJ20:WLJ21"/>
    <mergeCell ref="WLL20:WLL21"/>
    <mergeCell ref="WLN20:WLN21"/>
    <mergeCell ref="WLP20:WLP21"/>
    <mergeCell ref="WLR20:WLR21"/>
    <mergeCell ref="WLT20:WLT21"/>
    <mergeCell ref="WKX20:WKX21"/>
    <mergeCell ref="WKZ20:WKZ21"/>
    <mergeCell ref="WLB20:WLB21"/>
    <mergeCell ref="WLD20:WLD21"/>
    <mergeCell ref="WLF20:WLF21"/>
    <mergeCell ref="WLH20:WLH21"/>
    <mergeCell ref="WKL20:WKL21"/>
    <mergeCell ref="WKN20:WKN21"/>
    <mergeCell ref="WKP20:WKP21"/>
    <mergeCell ref="WKR20:WKR21"/>
    <mergeCell ref="WKT20:WKT21"/>
    <mergeCell ref="WKV20:WKV21"/>
    <mergeCell ref="WJZ20:WJZ21"/>
    <mergeCell ref="WKB20:WKB21"/>
    <mergeCell ref="WKD20:WKD21"/>
    <mergeCell ref="WKF20:WKF21"/>
    <mergeCell ref="WKH20:WKH21"/>
    <mergeCell ref="WKJ20:WKJ21"/>
    <mergeCell ref="WJN20:WJN21"/>
    <mergeCell ref="WJP20:WJP21"/>
    <mergeCell ref="WJR20:WJR21"/>
    <mergeCell ref="WJT20:WJT21"/>
    <mergeCell ref="WJV20:WJV21"/>
    <mergeCell ref="WJX20:WJX21"/>
    <mergeCell ref="WJB20:WJB21"/>
    <mergeCell ref="WJD20:WJD21"/>
    <mergeCell ref="WJF20:WJF21"/>
    <mergeCell ref="WJH20:WJH21"/>
    <mergeCell ref="WJJ20:WJJ21"/>
    <mergeCell ref="WJL20:WJL21"/>
    <mergeCell ref="WIP20:WIP21"/>
    <mergeCell ref="WIR20:WIR21"/>
    <mergeCell ref="WIT20:WIT21"/>
    <mergeCell ref="WIV20:WIV21"/>
    <mergeCell ref="WIX20:WIX21"/>
    <mergeCell ref="WIZ20:WIZ21"/>
    <mergeCell ref="WID20:WID21"/>
    <mergeCell ref="WIF20:WIF21"/>
    <mergeCell ref="WIH20:WIH21"/>
    <mergeCell ref="WIJ20:WIJ21"/>
    <mergeCell ref="WIL20:WIL21"/>
    <mergeCell ref="WIN20:WIN21"/>
    <mergeCell ref="WHR20:WHR21"/>
    <mergeCell ref="WHT20:WHT21"/>
    <mergeCell ref="WHV20:WHV21"/>
    <mergeCell ref="WHX20:WHX21"/>
    <mergeCell ref="WHZ20:WHZ21"/>
    <mergeCell ref="WIB20:WIB21"/>
    <mergeCell ref="WHF20:WHF21"/>
    <mergeCell ref="WHH20:WHH21"/>
    <mergeCell ref="WHJ20:WHJ21"/>
    <mergeCell ref="WHL20:WHL21"/>
    <mergeCell ref="WHN20:WHN21"/>
    <mergeCell ref="WHP20:WHP21"/>
    <mergeCell ref="WGT20:WGT21"/>
    <mergeCell ref="WGV20:WGV21"/>
    <mergeCell ref="WGX20:WGX21"/>
    <mergeCell ref="WGZ20:WGZ21"/>
    <mergeCell ref="WHB20:WHB21"/>
    <mergeCell ref="WHD20:WHD21"/>
    <mergeCell ref="WGH20:WGH21"/>
    <mergeCell ref="WGJ20:WGJ21"/>
    <mergeCell ref="WGL20:WGL21"/>
    <mergeCell ref="WGN20:WGN21"/>
    <mergeCell ref="WGP20:WGP21"/>
    <mergeCell ref="WGR20:WGR21"/>
    <mergeCell ref="WFV20:WFV21"/>
    <mergeCell ref="WFX20:WFX21"/>
    <mergeCell ref="WFZ20:WFZ21"/>
    <mergeCell ref="WGB20:WGB21"/>
    <mergeCell ref="WGD20:WGD21"/>
    <mergeCell ref="WGF20:WGF21"/>
    <mergeCell ref="WFJ20:WFJ21"/>
    <mergeCell ref="WFL20:WFL21"/>
    <mergeCell ref="WFN20:WFN21"/>
    <mergeCell ref="WFP20:WFP21"/>
    <mergeCell ref="WFR20:WFR21"/>
    <mergeCell ref="WFT20:WFT21"/>
    <mergeCell ref="WEX20:WEX21"/>
    <mergeCell ref="WEZ20:WEZ21"/>
    <mergeCell ref="WFB20:WFB21"/>
    <mergeCell ref="WFD20:WFD21"/>
    <mergeCell ref="WFF20:WFF21"/>
    <mergeCell ref="WFH20:WFH21"/>
    <mergeCell ref="WEL20:WEL21"/>
    <mergeCell ref="WEN20:WEN21"/>
    <mergeCell ref="WEP20:WEP21"/>
    <mergeCell ref="WER20:WER21"/>
    <mergeCell ref="WET20:WET21"/>
    <mergeCell ref="WEV20:WEV21"/>
    <mergeCell ref="WDZ20:WDZ21"/>
    <mergeCell ref="WEB20:WEB21"/>
    <mergeCell ref="WED20:WED21"/>
    <mergeCell ref="WEF20:WEF21"/>
    <mergeCell ref="WEH20:WEH21"/>
    <mergeCell ref="WEJ20:WEJ21"/>
    <mergeCell ref="WDN20:WDN21"/>
    <mergeCell ref="WDP20:WDP21"/>
    <mergeCell ref="WDR20:WDR21"/>
    <mergeCell ref="WDT20:WDT21"/>
    <mergeCell ref="WDV20:WDV21"/>
    <mergeCell ref="WDX20:WDX21"/>
    <mergeCell ref="WDB20:WDB21"/>
    <mergeCell ref="WDD20:WDD21"/>
    <mergeCell ref="WDF20:WDF21"/>
    <mergeCell ref="WDH20:WDH21"/>
    <mergeCell ref="WDJ20:WDJ21"/>
    <mergeCell ref="WDL20:WDL21"/>
    <mergeCell ref="WCP20:WCP21"/>
    <mergeCell ref="WCR20:WCR21"/>
    <mergeCell ref="WCT20:WCT21"/>
    <mergeCell ref="WCV20:WCV21"/>
    <mergeCell ref="WCX20:WCX21"/>
    <mergeCell ref="WCZ20:WCZ21"/>
    <mergeCell ref="WCD20:WCD21"/>
    <mergeCell ref="WCF20:WCF21"/>
    <mergeCell ref="WCH20:WCH21"/>
    <mergeCell ref="WCJ20:WCJ21"/>
    <mergeCell ref="WCL20:WCL21"/>
    <mergeCell ref="WCN20:WCN21"/>
    <mergeCell ref="WBR20:WBR21"/>
    <mergeCell ref="WBT20:WBT21"/>
    <mergeCell ref="WBV20:WBV21"/>
    <mergeCell ref="WBX20:WBX21"/>
    <mergeCell ref="WBZ20:WBZ21"/>
    <mergeCell ref="WCB20:WCB21"/>
    <mergeCell ref="WBF20:WBF21"/>
    <mergeCell ref="WBH20:WBH21"/>
    <mergeCell ref="WBJ20:WBJ21"/>
    <mergeCell ref="WBL20:WBL21"/>
    <mergeCell ref="WBN20:WBN21"/>
    <mergeCell ref="WBP20:WBP21"/>
    <mergeCell ref="WAT20:WAT21"/>
    <mergeCell ref="WAV20:WAV21"/>
    <mergeCell ref="WAX20:WAX21"/>
    <mergeCell ref="WAZ20:WAZ21"/>
    <mergeCell ref="WBB20:WBB21"/>
    <mergeCell ref="WBD20:WBD21"/>
    <mergeCell ref="WAH20:WAH21"/>
    <mergeCell ref="WAJ20:WAJ21"/>
    <mergeCell ref="WAL20:WAL21"/>
    <mergeCell ref="WAN20:WAN21"/>
    <mergeCell ref="WAP20:WAP21"/>
    <mergeCell ref="WAR20:WAR21"/>
    <mergeCell ref="VZV20:VZV21"/>
    <mergeCell ref="VZX20:VZX21"/>
    <mergeCell ref="VZZ20:VZZ21"/>
    <mergeCell ref="WAB20:WAB21"/>
    <mergeCell ref="WAD20:WAD21"/>
    <mergeCell ref="WAF20:WAF21"/>
    <mergeCell ref="VZJ20:VZJ21"/>
    <mergeCell ref="VZL20:VZL21"/>
    <mergeCell ref="VZN20:VZN21"/>
    <mergeCell ref="VZP20:VZP21"/>
    <mergeCell ref="VZR20:VZR21"/>
    <mergeCell ref="VZT20:VZT21"/>
    <mergeCell ref="VYX20:VYX21"/>
    <mergeCell ref="VYZ20:VYZ21"/>
    <mergeCell ref="VZB20:VZB21"/>
    <mergeCell ref="VZD20:VZD21"/>
    <mergeCell ref="VZF20:VZF21"/>
    <mergeCell ref="VZH20:VZH21"/>
    <mergeCell ref="VYL20:VYL21"/>
    <mergeCell ref="VYN20:VYN21"/>
    <mergeCell ref="VYP20:VYP21"/>
    <mergeCell ref="VYR20:VYR21"/>
    <mergeCell ref="VYT20:VYT21"/>
    <mergeCell ref="VYV20:VYV21"/>
    <mergeCell ref="VXZ20:VXZ21"/>
    <mergeCell ref="VYB20:VYB21"/>
    <mergeCell ref="VYD20:VYD21"/>
    <mergeCell ref="VYF20:VYF21"/>
    <mergeCell ref="VYH20:VYH21"/>
    <mergeCell ref="VYJ20:VYJ21"/>
    <mergeCell ref="VXN20:VXN21"/>
    <mergeCell ref="VXP20:VXP21"/>
    <mergeCell ref="VXR20:VXR21"/>
    <mergeCell ref="VXT20:VXT21"/>
    <mergeCell ref="VXV20:VXV21"/>
    <mergeCell ref="VXX20:VXX21"/>
    <mergeCell ref="VXB20:VXB21"/>
    <mergeCell ref="VXD20:VXD21"/>
    <mergeCell ref="VXF20:VXF21"/>
    <mergeCell ref="VXH20:VXH21"/>
    <mergeCell ref="VXJ20:VXJ21"/>
    <mergeCell ref="VXL20:VXL21"/>
    <mergeCell ref="VWP20:VWP21"/>
    <mergeCell ref="VWR20:VWR21"/>
    <mergeCell ref="VWT20:VWT21"/>
    <mergeCell ref="VWV20:VWV21"/>
    <mergeCell ref="VWX20:VWX21"/>
    <mergeCell ref="VWZ20:VWZ21"/>
    <mergeCell ref="VWD20:VWD21"/>
    <mergeCell ref="VWF20:VWF21"/>
    <mergeCell ref="VWH20:VWH21"/>
    <mergeCell ref="VWJ20:VWJ21"/>
    <mergeCell ref="VWL20:VWL21"/>
    <mergeCell ref="VWN20:VWN21"/>
    <mergeCell ref="VVR20:VVR21"/>
    <mergeCell ref="VVT20:VVT21"/>
    <mergeCell ref="VVV20:VVV21"/>
    <mergeCell ref="VVX20:VVX21"/>
    <mergeCell ref="VVZ20:VVZ21"/>
    <mergeCell ref="VWB20:VWB21"/>
    <mergeCell ref="VVF20:VVF21"/>
    <mergeCell ref="VVH20:VVH21"/>
    <mergeCell ref="VVJ20:VVJ21"/>
    <mergeCell ref="VVL20:VVL21"/>
    <mergeCell ref="VVN20:VVN21"/>
    <mergeCell ref="VVP20:VVP21"/>
    <mergeCell ref="VUT20:VUT21"/>
    <mergeCell ref="VUV20:VUV21"/>
    <mergeCell ref="VUX20:VUX21"/>
    <mergeCell ref="VUZ20:VUZ21"/>
    <mergeCell ref="VVB20:VVB21"/>
    <mergeCell ref="VVD20:VVD21"/>
    <mergeCell ref="VUH20:VUH21"/>
    <mergeCell ref="VUJ20:VUJ21"/>
    <mergeCell ref="VUL20:VUL21"/>
    <mergeCell ref="VUN20:VUN21"/>
    <mergeCell ref="VUP20:VUP21"/>
    <mergeCell ref="VUR20:VUR21"/>
    <mergeCell ref="VTV20:VTV21"/>
    <mergeCell ref="VTX20:VTX21"/>
    <mergeCell ref="VTZ20:VTZ21"/>
    <mergeCell ref="VUB20:VUB21"/>
    <mergeCell ref="VUD20:VUD21"/>
    <mergeCell ref="VUF20:VUF21"/>
    <mergeCell ref="VTJ20:VTJ21"/>
    <mergeCell ref="VTL20:VTL21"/>
    <mergeCell ref="VTN20:VTN21"/>
    <mergeCell ref="VTP20:VTP21"/>
    <mergeCell ref="VTR20:VTR21"/>
    <mergeCell ref="VTT20:VTT21"/>
    <mergeCell ref="VSX20:VSX21"/>
    <mergeCell ref="VSZ20:VSZ21"/>
    <mergeCell ref="VTB20:VTB21"/>
    <mergeCell ref="VTD20:VTD21"/>
    <mergeCell ref="VTF20:VTF21"/>
    <mergeCell ref="VTH20:VTH21"/>
    <mergeCell ref="VSL20:VSL21"/>
    <mergeCell ref="VSN20:VSN21"/>
    <mergeCell ref="VSP20:VSP21"/>
    <mergeCell ref="VSR20:VSR21"/>
    <mergeCell ref="VST20:VST21"/>
    <mergeCell ref="VSV20:VSV21"/>
    <mergeCell ref="VRZ20:VRZ21"/>
    <mergeCell ref="VSB20:VSB21"/>
    <mergeCell ref="VSD20:VSD21"/>
    <mergeCell ref="VSF20:VSF21"/>
    <mergeCell ref="VSH20:VSH21"/>
    <mergeCell ref="VSJ20:VSJ21"/>
    <mergeCell ref="VRN20:VRN21"/>
    <mergeCell ref="VRP20:VRP21"/>
    <mergeCell ref="VRR20:VRR21"/>
    <mergeCell ref="VRT20:VRT21"/>
    <mergeCell ref="VRV20:VRV21"/>
    <mergeCell ref="VRX20:VRX21"/>
    <mergeCell ref="VRB20:VRB21"/>
    <mergeCell ref="VRD20:VRD21"/>
    <mergeCell ref="VRF20:VRF21"/>
    <mergeCell ref="VRH20:VRH21"/>
    <mergeCell ref="VRJ20:VRJ21"/>
    <mergeCell ref="VRL20:VRL21"/>
    <mergeCell ref="VQP20:VQP21"/>
    <mergeCell ref="VQR20:VQR21"/>
    <mergeCell ref="VQT20:VQT21"/>
    <mergeCell ref="VQV20:VQV21"/>
    <mergeCell ref="VQX20:VQX21"/>
    <mergeCell ref="VQZ20:VQZ21"/>
    <mergeCell ref="VQD20:VQD21"/>
    <mergeCell ref="VQF20:VQF21"/>
    <mergeCell ref="VQH20:VQH21"/>
    <mergeCell ref="VQJ20:VQJ21"/>
    <mergeCell ref="VQL20:VQL21"/>
    <mergeCell ref="VQN20:VQN21"/>
    <mergeCell ref="VPR20:VPR21"/>
    <mergeCell ref="VPT20:VPT21"/>
    <mergeCell ref="VPV20:VPV21"/>
    <mergeCell ref="VPX20:VPX21"/>
    <mergeCell ref="VPZ20:VPZ21"/>
    <mergeCell ref="VQB20:VQB21"/>
    <mergeCell ref="VPF20:VPF21"/>
    <mergeCell ref="VPH20:VPH21"/>
    <mergeCell ref="VPJ20:VPJ21"/>
    <mergeCell ref="VPL20:VPL21"/>
    <mergeCell ref="VPN20:VPN21"/>
    <mergeCell ref="VPP20:VPP21"/>
    <mergeCell ref="VOT20:VOT21"/>
    <mergeCell ref="VOV20:VOV21"/>
    <mergeCell ref="VOX20:VOX21"/>
    <mergeCell ref="VOZ20:VOZ21"/>
    <mergeCell ref="VPB20:VPB21"/>
    <mergeCell ref="VPD20:VPD21"/>
    <mergeCell ref="VOH20:VOH21"/>
    <mergeCell ref="VOJ20:VOJ21"/>
    <mergeCell ref="VOL20:VOL21"/>
    <mergeCell ref="VON20:VON21"/>
    <mergeCell ref="VOP20:VOP21"/>
    <mergeCell ref="VOR20:VOR21"/>
    <mergeCell ref="VNV20:VNV21"/>
    <mergeCell ref="VNX20:VNX21"/>
    <mergeCell ref="VNZ20:VNZ21"/>
    <mergeCell ref="VOB20:VOB21"/>
    <mergeCell ref="VOD20:VOD21"/>
    <mergeCell ref="VOF20:VOF21"/>
    <mergeCell ref="VNJ20:VNJ21"/>
    <mergeCell ref="VNL20:VNL21"/>
    <mergeCell ref="VNN20:VNN21"/>
    <mergeCell ref="VNP20:VNP21"/>
    <mergeCell ref="VNR20:VNR21"/>
    <mergeCell ref="VNT20:VNT21"/>
    <mergeCell ref="VMX20:VMX21"/>
    <mergeCell ref="VMZ20:VMZ21"/>
    <mergeCell ref="VNB20:VNB21"/>
    <mergeCell ref="VND20:VND21"/>
    <mergeCell ref="VNF20:VNF21"/>
    <mergeCell ref="VNH20:VNH21"/>
    <mergeCell ref="VML20:VML21"/>
    <mergeCell ref="VMN20:VMN21"/>
    <mergeCell ref="VMP20:VMP21"/>
    <mergeCell ref="VMR20:VMR21"/>
    <mergeCell ref="VMT20:VMT21"/>
    <mergeCell ref="VMV20:VMV21"/>
    <mergeCell ref="VLZ20:VLZ21"/>
    <mergeCell ref="VMB20:VMB21"/>
    <mergeCell ref="VMD20:VMD21"/>
    <mergeCell ref="VMF20:VMF21"/>
    <mergeCell ref="VMH20:VMH21"/>
    <mergeCell ref="VMJ20:VMJ21"/>
    <mergeCell ref="VLN20:VLN21"/>
    <mergeCell ref="VLP20:VLP21"/>
    <mergeCell ref="VLR20:VLR21"/>
    <mergeCell ref="VLT20:VLT21"/>
    <mergeCell ref="VLV20:VLV21"/>
    <mergeCell ref="VLX20:VLX21"/>
    <mergeCell ref="VLB20:VLB21"/>
    <mergeCell ref="VLD20:VLD21"/>
    <mergeCell ref="VLF20:VLF21"/>
    <mergeCell ref="VLH20:VLH21"/>
    <mergeCell ref="VLJ20:VLJ21"/>
    <mergeCell ref="VLL20:VLL21"/>
    <mergeCell ref="VKP20:VKP21"/>
    <mergeCell ref="VKR20:VKR21"/>
    <mergeCell ref="VKT20:VKT21"/>
    <mergeCell ref="VKV20:VKV21"/>
    <mergeCell ref="VKX20:VKX21"/>
    <mergeCell ref="VKZ20:VKZ21"/>
    <mergeCell ref="VKD20:VKD21"/>
    <mergeCell ref="VKF20:VKF21"/>
    <mergeCell ref="VKH20:VKH21"/>
    <mergeCell ref="VKJ20:VKJ21"/>
    <mergeCell ref="VKL20:VKL21"/>
    <mergeCell ref="VKN20:VKN21"/>
    <mergeCell ref="VJR20:VJR21"/>
    <mergeCell ref="VJT20:VJT21"/>
    <mergeCell ref="VJV20:VJV21"/>
    <mergeCell ref="VJX20:VJX21"/>
    <mergeCell ref="VJZ20:VJZ21"/>
    <mergeCell ref="VKB20:VKB21"/>
    <mergeCell ref="VJF20:VJF21"/>
    <mergeCell ref="VJH20:VJH21"/>
    <mergeCell ref="VJJ20:VJJ21"/>
    <mergeCell ref="VJL20:VJL21"/>
    <mergeCell ref="VJN20:VJN21"/>
    <mergeCell ref="VJP20:VJP21"/>
    <mergeCell ref="VIT20:VIT21"/>
    <mergeCell ref="VIV20:VIV21"/>
    <mergeCell ref="VIX20:VIX21"/>
    <mergeCell ref="VIZ20:VIZ21"/>
    <mergeCell ref="VJB20:VJB21"/>
    <mergeCell ref="VJD20:VJD21"/>
    <mergeCell ref="VIH20:VIH21"/>
    <mergeCell ref="VIJ20:VIJ21"/>
    <mergeCell ref="VIL20:VIL21"/>
    <mergeCell ref="VIN20:VIN21"/>
    <mergeCell ref="VIP20:VIP21"/>
    <mergeCell ref="VIR20:VIR21"/>
    <mergeCell ref="VHV20:VHV21"/>
    <mergeCell ref="VHX20:VHX21"/>
    <mergeCell ref="VHZ20:VHZ21"/>
    <mergeCell ref="VIB20:VIB21"/>
    <mergeCell ref="VID20:VID21"/>
    <mergeCell ref="VIF20:VIF21"/>
    <mergeCell ref="VHJ20:VHJ21"/>
    <mergeCell ref="VHL20:VHL21"/>
    <mergeCell ref="VHN20:VHN21"/>
    <mergeCell ref="VHP20:VHP21"/>
    <mergeCell ref="VHR20:VHR21"/>
    <mergeCell ref="VHT20:VHT21"/>
    <mergeCell ref="VGX20:VGX21"/>
    <mergeCell ref="VGZ20:VGZ21"/>
    <mergeCell ref="VHB20:VHB21"/>
    <mergeCell ref="VHD20:VHD21"/>
    <mergeCell ref="VHF20:VHF21"/>
    <mergeCell ref="VHH20:VHH21"/>
    <mergeCell ref="VGL20:VGL21"/>
    <mergeCell ref="VGN20:VGN21"/>
    <mergeCell ref="VGP20:VGP21"/>
    <mergeCell ref="VGR20:VGR21"/>
    <mergeCell ref="VGT20:VGT21"/>
    <mergeCell ref="VGV20:VGV21"/>
    <mergeCell ref="VFZ20:VFZ21"/>
    <mergeCell ref="VGB20:VGB21"/>
    <mergeCell ref="VGD20:VGD21"/>
    <mergeCell ref="VGF20:VGF21"/>
    <mergeCell ref="VGH20:VGH21"/>
    <mergeCell ref="VGJ20:VGJ21"/>
    <mergeCell ref="VFN20:VFN21"/>
    <mergeCell ref="VFP20:VFP21"/>
    <mergeCell ref="VFR20:VFR21"/>
    <mergeCell ref="VFT20:VFT21"/>
    <mergeCell ref="VFV20:VFV21"/>
    <mergeCell ref="VFX20:VFX21"/>
    <mergeCell ref="VFB20:VFB21"/>
    <mergeCell ref="VFD20:VFD21"/>
    <mergeCell ref="VFF20:VFF21"/>
    <mergeCell ref="VFH20:VFH21"/>
    <mergeCell ref="VFJ20:VFJ21"/>
    <mergeCell ref="VFL20:VFL21"/>
    <mergeCell ref="VEP20:VEP21"/>
    <mergeCell ref="VER20:VER21"/>
    <mergeCell ref="VET20:VET21"/>
    <mergeCell ref="VEV20:VEV21"/>
    <mergeCell ref="VEX20:VEX21"/>
    <mergeCell ref="VEZ20:VEZ21"/>
    <mergeCell ref="VED20:VED21"/>
    <mergeCell ref="VEF20:VEF21"/>
    <mergeCell ref="VEH20:VEH21"/>
    <mergeCell ref="VEJ20:VEJ21"/>
    <mergeCell ref="VEL20:VEL21"/>
    <mergeCell ref="VEN20:VEN21"/>
    <mergeCell ref="VDR20:VDR21"/>
    <mergeCell ref="VDT20:VDT21"/>
    <mergeCell ref="VDV20:VDV21"/>
    <mergeCell ref="VDX20:VDX21"/>
    <mergeCell ref="VDZ20:VDZ21"/>
    <mergeCell ref="VEB20:VEB21"/>
    <mergeCell ref="VDF20:VDF21"/>
    <mergeCell ref="VDH20:VDH21"/>
    <mergeCell ref="VDJ20:VDJ21"/>
    <mergeCell ref="VDL20:VDL21"/>
    <mergeCell ref="VDN20:VDN21"/>
    <mergeCell ref="VDP20:VDP21"/>
    <mergeCell ref="VCT20:VCT21"/>
    <mergeCell ref="VCV20:VCV21"/>
    <mergeCell ref="VCX20:VCX21"/>
    <mergeCell ref="VCZ20:VCZ21"/>
    <mergeCell ref="VDB20:VDB21"/>
    <mergeCell ref="VDD20:VDD21"/>
    <mergeCell ref="VCH20:VCH21"/>
    <mergeCell ref="VCJ20:VCJ21"/>
    <mergeCell ref="VCL20:VCL21"/>
    <mergeCell ref="VCN20:VCN21"/>
    <mergeCell ref="VCP20:VCP21"/>
    <mergeCell ref="VCR20:VCR21"/>
    <mergeCell ref="VBV20:VBV21"/>
    <mergeCell ref="VBX20:VBX21"/>
    <mergeCell ref="VBZ20:VBZ21"/>
    <mergeCell ref="VCB20:VCB21"/>
    <mergeCell ref="VCD20:VCD21"/>
    <mergeCell ref="VCF20:VCF21"/>
    <mergeCell ref="VBJ20:VBJ21"/>
    <mergeCell ref="VBL20:VBL21"/>
    <mergeCell ref="VBN20:VBN21"/>
    <mergeCell ref="VBP20:VBP21"/>
    <mergeCell ref="VBR20:VBR21"/>
    <mergeCell ref="VBT20:VBT21"/>
    <mergeCell ref="VAX20:VAX21"/>
    <mergeCell ref="VAZ20:VAZ21"/>
    <mergeCell ref="VBB20:VBB21"/>
    <mergeCell ref="VBD20:VBD21"/>
    <mergeCell ref="VBF20:VBF21"/>
    <mergeCell ref="VBH20:VBH21"/>
    <mergeCell ref="VAL20:VAL21"/>
    <mergeCell ref="VAN20:VAN21"/>
    <mergeCell ref="VAP20:VAP21"/>
    <mergeCell ref="VAR20:VAR21"/>
    <mergeCell ref="VAT20:VAT21"/>
    <mergeCell ref="VAV20:VAV21"/>
    <mergeCell ref="UZZ20:UZZ21"/>
    <mergeCell ref="VAB20:VAB21"/>
    <mergeCell ref="VAD20:VAD21"/>
    <mergeCell ref="VAF20:VAF21"/>
    <mergeCell ref="VAH20:VAH21"/>
    <mergeCell ref="VAJ20:VAJ21"/>
    <mergeCell ref="UZN20:UZN21"/>
    <mergeCell ref="UZP20:UZP21"/>
    <mergeCell ref="UZR20:UZR21"/>
    <mergeCell ref="UZT20:UZT21"/>
    <mergeCell ref="UZV20:UZV21"/>
    <mergeCell ref="UZX20:UZX21"/>
    <mergeCell ref="UZB20:UZB21"/>
    <mergeCell ref="UZD20:UZD21"/>
    <mergeCell ref="UZF20:UZF21"/>
    <mergeCell ref="UZH20:UZH21"/>
    <mergeCell ref="UZJ20:UZJ21"/>
    <mergeCell ref="UZL20:UZL21"/>
    <mergeCell ref="UYP20:UYP21"/>
    <mergeCell ref="UYR20:UYR21"/>
    <mergeCell ref="UYT20:UYT21"/>
    <mergeCell ref="UYV20:UYV21"/>
    <mergeCell ref="UYX20:UYX21"/>
    <mergeCell ref="UYZ20:UYZ21"/>
    <mergeCell ref="UYD20:UYD21"/>
    <mergeCell ref="UYF20:UYF21"/>
    <mergeCell ref="UYH20:UYH21"/>
    <mergeCell ref="UYJ20:UYJ21"/>
    <mergeCell ref="UYL20:UYL21"/>
    <mergeCell ref="UYN20:UYN21"/>
    <mergeCell ref="UXR20:UXR21"/>
    <mergeCell ref="UXT20:UXT21"/>
    <mergeCell ref="UXV20:UXV21"/>
    <mergeCell ref="UXX20:UXX21"/>
    <mergeCell ref="UXZ20:UXZ21"/>
    <mergeCell ref="UYB20:UYB21"/>
    <mergeCell ref="UXF20:UXF21"/>
    <mergeCell ref="UXH20:UXH21"/>
    <mergeCell ref="UXJ20:UXJ21"/>
    <mergeCell ref="UXL20:UXL21"/>
    <mergeCell ref="UXN20:UXN21"/>
    <mergeCell ref="UXP20:UXP21"/>
    <mergeCell ref="UWT20:UWT21"/>
    <mergeCell ref="UWV20:UWV21"/>
    <mergeCell ref="UWX20:UWX21"/>
    <mergeCell ref="UWZ20:UWZ21"/>
    <mergeCell ref="UXB20:UXB21"/>
    <mergeCell ref="UXD20:UXD21"/>
    <mergeCell ref="UWH20:UWH21"/>
    <mergeCell ref="UWJ20:UWJ21"/>
    <mergeCell ref="UWL20:UWL21"/>
    <mergeCell ref="UWN20:UWN21"/>
    <mergeCell ref="UWP20:UWP21"/>
    <mergeCell ref="UWR20:UWR21"/>
    <mergeCell ref="UVV20:UVV21"/>
    <mergeCell ref="UVX20:UVX21"/>
    <mergeCell ref="UVZ20:UVZ21"/>
    <mergeCell ref="UWB20:UWB21"/>
    <mergeCell ref="UWD20:UWD21"/>
    <mergeCell ref="UWF20:UWF21"/>
    <mergeCell ref="UVJ20:UVJ21"/>
    <mergeCell ref="UVL20:UVL21"/>
    <mergeCell ref="UVN20:UVN21"/>
    <mergeCell ref="UVP20:UVP21"/>
    <mergeCell ref="UVR20:UVR21"/>
    <mergeCell ref="UVT20:UVT21"/>
    <mergeCell ref="UUX20:UUX21"/>
    <mergeCell ref="UUZ20:UUZ21"/>
    <mergeCell ref="UVB20:UVB21"/>
    <mergeCell ref="UVD20:UVD21"/>
    <mergeCell ref="UVF20:UVF21"/>
    <mergeCell ref="UVH20:UVH21"/>
    <mergeCell ref="UUL20:UUL21"/>
    <mergeCell ref="UUN20:UUN21"/>
    <mergeCell ref="UUP20:UUP21"/>
    <mergeCell ref="UUR20:UUR21"/>
    <mergeCell ref="UUT20:UUT21"/>
    <mergeCell ref="UUV20:UUV21"/>
    <mergeCell ref="UTZ20:UTZ21"/>
    <mergeCell ref="UUB20:UUB21"/>
    <mergeCell ref="UUD20:UUD21"/>
    <mergeCell ref="UUF20:UUF21"/>
    <mergeCell ref="UUH20:UUH21"/>
    <mergeCell ref="UUJ20:UUJ21"/>
    <mergeCell ref="UTN20:UTN21"/>
    <mergeCell ref="UTP20:UTP21"/>
    <mergeCell ref="UTR20:UTR21"/>
    <mergeCell ref="UTT20:UTT21"/>
    <mergeCell ref="UTV20:UTV21"/>
    <mergeCell ref="UTX20:UTX21"/>
    <mergeCell ref="UTB20:UTB21"/>
    <mergeCell ref="UTD20:UTD21"/>
    <mergeCell ref="UTF20:UTF21"/>
    <mergeCell ref="UTH20:UTH21"/>
    <mergeCell ref="UTJ20:UTJ21"/>
    <mergeCell ref="UTL20:UTL21"/>
    <mergeCell ref="USP20:USP21"/>
    <mergeCell ref="USR20:USR21"/>
    <mergeCell ref="UST20:UST21"/>
    <mergeCell ref="USV20:USV21"/>
    <mergeCell ref="USX20:USX21"/>
    <mergeCell ref="USZ20:USZ21"/>
    <mergeCell ref="USD20:USD21"/>
    <mergeCell ref="USF20:USF21"/>
    <mergeCell ref="USH20:USH21"/>
    <mergeCell ref="USJ20:USJ21"/>
    <mergeCell ref="USL20:USL21"/>
    <mergeCell ref="USN20:USN21"/>
    <mergeCell ref="URR20:URR21"/>
    <mergeCell ref="URT20:URT21"/>
    <mergeCell ref="URV20:URV21"/>
    <mergeCell ref="URX20:URX21"/>
    <mergeCell ref="URZ20:URZ21"/>
    <mergeCell ref="USB20:USB21"/>
    <mergeCell ref="URF20:URF21"/>
    <mergeCell ref="URH20:URH21"/>
    <mergeCell ref="URJ20:URJ21"/>
    <mergeCell ref="URL20:URL21"/>
    <mergeCell ref="URN20:URN21"/>
    <mergeCell ref="URP20:URP21"/>
    <mergeCell ref="UQT20:UQT21"/>
    <mergeCell ref="UQV20:UQV21"/>
    <mergeCell ref="UQX20:UQX21"/>
    <mergeCell ref="UQZ20:UQZ21"/>
    <mergeCell ref="URB20:URB21"/>
    <mergeCell ref="URD20:URD21"/>
    <mergeCell ref="UQH20:UQH21"/>
    <mergeCell ref="UQJ20:UQJ21"/>
    <mergeCell ref="UQL20:UQL21"/>
    <mergeCell ref="UQN20:UQN21"/>
    <mergeCell ref="UQP20:UQP21"/>
    <mergeCell ref="UQR20:UQR21"/>
    <mergeCell ref="UPV20:UPV21"/>
    <mergeCell ref="UPX20:UPX21"/>
    <mergeCell ref="UPZ20:UPZ21"/>
    <mergeCell ref="UQB20:UQB21"/>
    <mergeCell ref="UQD20:UQD21"/>
    <mergeCell ref="UQF20:UQF21"/>
    <mergeCell ref="UPJ20:UPJ21"/>
    <mergeCell ref="UPL20:UPL21"/>
    <mergeCell ref="UPN20:UPN21"/>
    <mergeCell ref="UPP20:UPP21"/>
    <mergeCell ref="UPR20:UPR21"/>
    <mergeCell ref="UPT20:UPT21"/>
    <mergeCell ref="UOX20:UOX21"/>
    <mergeCell ref="UOZ20:UOZ21"/>
    <mergeCell ref="UPB20:UPB21"/>
    <mergeCell ref="UPD20:UPD21"/>
    <mergeCell ref="UPF20:UPF21"/>
    <mergeCell ref="UPH20:UPH21"/>
    <mergeCell ref="UOL20:UOL21"/>
    <mergeCell ref="UON20:UON21"/>
    <mergeCell ref="UOP20:UOP21"/>
    <mergeCell ref="UOR20:UOR21"/>
    <mergeCell ref="UOT20:UOT21"/>
    <mergeCell ref="UOV20:UOV21"/>
    <mergeCell ref="UNZ20:UNZ21"/>
    <mergeCell ref="UOB20:UOB21"/>
    <mergeCell ref="UOD20:UOD21"/>
    <mergeCell ref="UOF20:UOF21"/>
    <mergeCell ref="UOH20:UOH21"/>
    <mergeCell ref="UOJ20:UOJ21"/>
    <mergeCell ref="UNN20:UNN21"/>
    <mergeCell ref="UNP20:UNP21"/>
    <mergeCell ref="UNR20:UNR21"/>
    <mergeCell ref="UNT20:UNT21"/>
    <mergeCell ref="UNV20:UNV21"/>
    <mergeCell ref="UNX20:UNX21"/>
    <mergeCell ref="UNB20:UNB21"/>
    <mergeCell ref="UND20:UND21"/>
    <mergeCell ref="UNF20:UNF21"/>
    <mergeCell ref="UNH20:UNH21"/>
    <mergeCell ref="UNJ20:UNJ21"/>
    <mergeCell ref="UNL20:UNL21"/>
    <mergeCell ref="UMP20:UMP21"/>
    <mergeCell ref="UMR20:UMR21"/>
    <mergeCell ref="UMT20:UMT21"/>
    <mergeCell ref="UMV20:UMV21"/>
    <mergeCell ref="UMX20:UMX21"/>
    <mergeCell ref="UMZ20:UMZ21"/>
    <mergeCell ref="UMD20:UMD21"/>
    <mergeCell ref="UMF20:UMF21"/>
    <mergeCell ref="UMH20:UMH21"/>
    <mergeCell ref="UMJ20:UMJ21"/>
    <mergeCell ref="UML20:UML21"/>
    <mergeCell ref="UMN20:UMN21"/>
    <mergeCell ref="ULR20:ULR21"/>
    <mergeCell ref="ULT20:ULT21"/>
    <mergeCell ref="ULV20:ULV21"/>
    <mergeCell ref="ULX20:ULX21"/>
    <mergeCell ref="ULZ20:ULZ21"/>
    <mergeCell ref="UMB20:UMB21"/>
    <mergeCell ref="ULF20:ULF21"/>
    <mergeCell ref="ULH20:ULH21"/>
    <mergeCell ref="ULJ20:ULJ21"/>
    <mergeCell ref="ULL20:ULL21"/>
    <mergeCell ref="ULN20:ULN21"/>
    <mergeCell ref="ULP20:ULP21"/>
    <mergeCell ref="UKT20:UKT21"/>
    <mergeCell ref="UKV20:UKV21"/>
    <mergeCell ref="UKX20:UKX21"/>
    <mergeCell ref="UKZ20:UKZ21"/>
    <mergeCell ref="ULB20:ULB21"/>
    <mergeCell ref="ULD20:ULD21"/>
    <mergeCell ref="UKH20:UKH21"/>
    <mergeCell ref="UKJ20:UKJ21"/>
    <mergeCell ref="UKL20:UKL21"/>
    <mergeCell ref="UKN20:UKN21"/>
    <mergeCell ref="UKP20:UKP21"/>
    <mergeCell ref="UKR20:UKR21"/>
    <mergeCell ref="UJV20:UJV21"/>
    <mergeCell ref="UJX20:UJX21"/>
    <mergeCell ref="UJZ20:UJZ21"/>
    <mergeCell ref="UKB20:UKB21"/>
    <mergeCell ref="UKD20:UKD21"/>
    <mergeCell ref="UKF20:UKF21"/>
    <mergeCell ref="UJJ20:UJJ21"/>
    <mergeCell ref="UJL20:UJL21"/>
    <mergeCell ref="UJN20:UJN21"/>
    <mergeCell ref="UJP20:UJP21"/>
    <mergeCell ref="UJR20:UJR21"/>
    <mergeCell ref="UJT20:UJT21"/>
    <mergeCell ref="UIX20:UIX21"/>
    <mergeCell ref="UIZ20:UIZ21"/>
    <mergeCell ref="UJB20:UJB21"/>
    <mergeCell ref="UJD20:UJD21"/>
    <mergeCell ref="UJF20:UJF21"/>
    <mergeCell ref="UJH20:UJH21"/>
    <mergeCell ref="UIL20:UIL21"/>
    <mergeCell ref="UIN20:UIN21"/>
    <mergeCell ref="UIP20:UIP21"/>
    <mergeCell ref="UIR20:UIR21"/>
    <mergeCell ref="UIT20:UIT21"/>
    <mergeCell ref="UIV20:UIV21"/>
    <mergeCell ref="UHZ20:UHZ21"/>
    <mergeCell ref="UIB20:UIB21"/>
    <mergeCell ref="UID20:UID21"/>
    <mergeCell ref="UIF20:UIF21"/>
    <mergeCell ref="UIH20:UIH21"/>
    <mergeCell ref="UIJ20:UIJ21"/>
    <mergeCell ref="UHN20:UHN21"/>
    <mergeCell ref="UHP20:UHP21"/>
    <mergeCell ref="UHR20:UHR21"/>
    <mergeCell ref="UHT20:UHT21"/>
    <mergeCell ref="UHV20:UHV21"/>
    <mergeCell ref="UHX20:UHX21"/>
    <mergeCell ref="UHB20:UHB21"/>
    <mergeCell ref="UHD20:UHD21"/>
    <mergeCell ref="UHF20:UHF21"/>
    <mergeCell ref="UHH20:UHH21"/>
    <mergeCell ref="UHJ20:UHJ21"/>
    <mergeCell ref="UHL20:UHL21"/>
    <mergeCell ref="UGP20:UGP21"/>
    <mergeCell ref="UGR20:UGR21"/>
    <mergeCell ref="UGT20:UGT21"/>
    <mergeCell ref="UGV20:UGV21"/>
    <mergeCell ref="UGX20:UGX21"/>
    <mergeCell ref="UGZ20:UGZ21"/>
    <mergeCell ref="UGD20:UGD21"/>
    <mergeCell ref="UGF20:UGF21"/>
    <mergeCell ref="UGH20:UGH21"/>
    <mergeCell ref="UGJ20:UGJ21"/>
    <mergeCell ref="UGL20:UGL21"/>
    <mergeCell ref="UGN20:UGN21"/>
    <mergeCell ref="UFR20:UFR21"/>
    <mergeCell ref="UFT20:UFT21"/>
    <mergeCell ref="UFV20:UFV21"/>
    <mergeCell ref="UFX20:UFX21"/>
    <mergeCell ref="UFZ20:UFZ21"/>
    <mergeCell ref="UGB20:UGB21"/>
    <mergeCell ref="UFF20:UFF21"/>
    <mergeCell ref="UFH20:UFH21"/>
    <mergeCell ref="UFJ20:UFJ21"/>
    <mergeCell ref="UFL20:UFL21"/>
    <mergeCell ref="UFN20:UFN21"/>
    <mergeCell ref="UFP20:UFP21"/>
    <mergeCell ref="UET20:UET21"/>
    <mergeCell ref="UEV20:UEV21"/>
    <mergeCell ref="UEX20:UEX21"/>
    <mergeCell ref="UEZ20:UEZ21"/>
    <mergeCell ref="UFB20:UFB21"/>
    <mergeCell ref="UFD20:UFD21"/>
    <mergeCell ref="UEH20:UEH21"/>
    <mergeCell ref="UEJ20:UEJ21"/>
    <mergeCell ref="UEL20:UEL21"/>
    <mergeCell ref="UEN20:UEN21"/>
    <mergeCell ref="UEP20:UEP21"/>
    <mergeCell ref="UER20:UER21"/>
    <mergeCell ref="UDV20:UDV21"/>
    <mergeCell ref="UDX20:UDX21"/>
    <mergeCell ref="UDZ20:UDZ21"/>
    <mergeCell ref="UEB20:UEB21"/>
    <mergeCell ref="UED20:UED21"/>
    <mergeCell ref="UEF20:UEF21"/>
    <mergeCell ref="UDJ20:UDJ21"/>
    <mergeCell ref="UDL20:UDL21"/>
    <mergeCell ref="UDN20:UDN21"/>
    <mergeCell ref="UDP20:UDP21"/>
    <mergeCell ref="UDR20:UDR21"/>
    <mergeCell ref="UDT20:UDT21"/>
    <mergeCell ref="UCX20:UCX21"/>
    <mergeCell ref="UCZ20:UCZ21"/>
    <mergeCell ref="UDB20:UDB21"/>
    <mergeCell ref="UDD20:UDD21"/>
    <mergeCell ref="UDF20:UDF21"/>
    <mergeCell ref="UDH20:UDH21"/>
    <mergeCell ref="UCL20:UCL21"/>
    <mergeCell ref="UCN20:UCN21"/>
    <mergeCell ref="UCP20:UCP21"/>
    <mergeCell ref="UCR20:UCR21"/>
    <mergeCell ref="UCT20:UCT21"/>
    <mergeCell ref="UCV20:UCV21"/>
    <mergeCell ref="UBZ20:UBZ21"/>
    <mergeCell ref="UCB20:UCB21"/>
    <mergeCell ref="UCD20:UCD21"/>
    <mergeCell ref="UCF20:UCF21"/>
    <mergeCell ref="UCH20:UCH21"/>
    <mergeCell ref="UCJ20:UCJ21"/>
    <mergeCell ref="UBN20:UBN21"/>
    <mergeCell ref="UBP20:UBP21"/>
    <mergeCell ref="UBR20:UBR21"/>
    <mergeCell ref="UBT20:UBT21"/>
    <mergeCell ref="UBV20:UBV21"/>
    <mergeCell ref="UBX20:UBX21"/>
    <mergeCell ref="UBB20:UBB21"/>
    <mergeCell ref="UBD20:UBD21"/>
    <mergeCell ref="UBF20:UBF21"/>
    <mergeCell ref="UBH20:UBH21"/>
    <mergeCell ref="UBJ20:UBJ21"/>
    <mergeCell ref="UBL20:UBL21"/>
    <mergeCell ref="UAP20:UAP21"/>
    <mergeCell ref="UAR20:UAR21"/>
    <mergeCell ref="UAT20:UAT21"/>
    <mergeCell ref="UAV20:UAV21"/>
    <mergeCell ref="UAX20:UAX21"/>
    <mergeCell ref="UAZ20:UAZ21"/>
    <mergeCell ref="UAD20:UAD21"/>
    <mergeCell ref="UAF20:UAF21"/>
    <mergeCell ref="UAH20:UAH21"/>
    <mergeCell ref="UAJ20:UAJ21"/>
    <mergeCell ref="UAL20:UAL21"/>
    <mergeCell ref="UAN20:UAN21"/>
    <mergeCell ref="TZR20:TZR21"/>
    <mergeCell ref="TZT20:TZT21"/>
    <mergeCell ref="TZV20:TZV21"/>
    <mergeCell ref="TZX20:TZX21"/>
    <mergeCell ref="TZZ20:TZZ21"/>
    <mergeCell ref="UAB20:UAB21"/>
    <mergeCell ref="TZF20:TZF21"/>
    <mergeCell ref="TZH20:TZH21"/>
    <mergeCell ref="TZJ20:TZJ21"/>
    <mergeCell ref="TZL20:TZL21"/>
    <mergeCell ref="TZN20:TZN21"/>
    <mergeCell ref="TZP20:TZP21"/>
    <mergeCell ref="TYT20:TYT21"/>
    <mergeCell ref="TYV20:TYV21"/>
    <mergeCell ref="TYX20:TYX21"/>
    <mergeCell ref="TYZ20:TYZ21"/>
    <mergeCell ref="TZB20:TZB21"/>
    <mergeCell ref="TZD20:TZD21"/>
    <mergeCell ref="TYH20:TYH21"/>
    <mergeCell ref="TYJ20:TYJ21"/>
    <mergeCell ref="TYL20:TYL21"/>
    <mergeCell ref="TYN20:TYN21"/>
    <mergeCell ref="TYP20:TYP21"/>
    <mergeCell ref="TYR20:TYR21"/>
    <mergeCell ref="TXV20:TXV21"/>
    <mergeCell ref="TXX20:TXX21"/>
    <mergeCell ref="TXZ20:TXZ21"/>
    <mergeCell ref="TYB20:TYB21"/>
    <mergeCell ref="TYD20:TYD21"/>
    <mergeCell ref="TYF20:TYF21"/>
    <mergeCell ref="TXJ20:TXJ21"/>
    <mergeCell ref="TXL20:TXL21"/>
    <mergeCell ref="TXN20:TXN21"/>
    <mergeCell ref="TXP20:TXP21"/>
    <mergeCell ref="TXR20:TXR21"/>
    <mergeCell ref="TXT20:TXT21"/>
    <mergeCell ref="TWX20:TWX21"/>
    <mergeCell ref="TWZ20:TWZ21"/>
    <mergeCell ref="TXB20:TXB21"/>
    <mergeCell ref="TXD20:TXD21"/>
    <mergeCell ref="TXF20:TXF21"/>
    <mergeCell ref="TXH20:TXH21"/>
    <mergeCell ref="TWL20:TWL21"/>
    <mergeCell ref="TWN20:TWN21"/>
    <mergeCell ref="TWP20:TWP21"/>
    <mergeCell ref="TWR20:TWR21"/>
    <mergeCell ref="TWT20:TWT21"/>
    <mergeCell ref="TWV20:TWV21"/>
    <mergeCell ref="TVZ20:TVZ21"/>
    <mergeCell ref="TWB20:TWB21"/>
    <mergeCell ref="TWD20:TWD21"/>
    <mergeCell ref="TWF20:TWF21"/>
    <mergeCell ref="TWH20:TWH21"/>
    <mergeCell ref="TWJ20:TWJ21"/>
    <mergeCell ref="TVN20:TVN21"/>
    <mergeCell ref="TVP20:TVP21"/>
    <mergeCell ref="TVR20:TVR21"/>
    <mergeCell ref="TVT20:TVT21"/>
    <mergeCell ref="TVV20:TVV21"/>
    <mergeCell ref="TVX20:TVX21"/>
    <mergeCell ref="TVB20:TVB21"/>
    <mergeCell ref="TVD20:TVD21"/>
    <mergeCell ref="TVF20:TVF21"/>
    <mergeCell ref="TVH20:TVH21"/>
    <mergeCell ref="TVJ20:TVJ21"/>
    <mergeCell ref="TVL20:TVL21"/>
    <mergeCell ref="TUP20:TUP21"/>
    <mergeCell ref="TUR20:TUR21"/>
    <mergeCell ref="TUT20:TUT21"/>
    <mergeCell ref="TUV20:TUV21"/>
    <mergeCell ref="TUX20:TUX21"/>
    <mergeCell ref="TUZ20:TUZ21"/>
    <mergeCell ref="TUD20:TUD21"/>
    <mergeCell ref="TUF20:TUF21"/>
    <mergeCell ref="TUH20:TUH21"/>
    <mergeCell ref="TUJ20:TUJ21"/>
    <mergeCell ref="TUL20:TUL21"/>
    <mergeCell ref="TUN20:TUN21"/>
    <mergeCell ref="TTR20:TTR21"/>
    <mergeCell ref="TTT20:TTT21"/>
    <mergeCell ref="TTV20:TTV21"/>
    <mergeCell ref="TTX20:TTX21"/>
    <mergeCell ref="TTZ20:TTZ21"/>
    <mergeCell ref="TUB20:TUB21"/>
    <mergeCell ref="TTF20:TTF21"/>
    <mergeCell ref="TTH20:TTH21"/>
    <mergeCell ref="TTJ20:TTJ21"/>
    <mergeCell ref="TTL20:TTL21"/>
    <mergeCell ref="TTN20:TTN21"/>
    <mergeCell ref="TTP20:TTP21"/>
    <mergeCell ref="TST20:TST21"/>
    <mergeCell ref="TSV20:TSV21"/>
    <mergeCell ref="TSX20:TSX21"/>
    <mergeCell ref="TSZ20:TSZ21"/>
    <mergeCell ref="TTB20:TTB21"/>
    <mergeCell ref="TTD20:TTD21"/>
    <mergeCell ref="TSH20:TSH21"/>
    <mergeCell ref="TSJ20:TSJ21"/>
    <mergeCell ref="TSL20:TSL21"/>
    <mergeCell ref="TSN20:TSN21"/>
    <mergeCell ref="TSP20:TSP21"/>
    <mergeCell ref="TSR20:TSR21"/>
    <mergeCell ref="TRV20:TRV21"/>
    <mergeCell ref="TRX20:TRX21"/>
    <mergeCell ref="TRZ20:TRZ21"/>
    <mergeCell ref="TSB20:TSB21"/>
    <mergeCell ref="TSD20:TSD21"/>
    <mergeCell ref="TSF20:TSF21"/>
    <mergeCell ref="TRJ20:TRJ21"/>
    <mergeCell ref="TRL20:TRL21"/>
    <mergeCell ref="TRN20:TRN21"/>
    <mergeCell ref="TRP20:TRP21"/>
    <mergeCell ref="TRR20:TRR21"/>
    <mergeCell ref="TRT20:TRT21"/>
    <mergeCell ref="TQX20:TQX21"/>
    <mergeCell ref="TQZ20:TQZ21"/>
    <mergeCell ref="TRB20:TRB21"/>
    <mergeCell ref="TRD20:TRD21"/>
    <mergeCell ref="TRF20:TRF21"/>
    <mergeCell ref="TRH20:TRH21"/>
    <mergeCell ref="TQL20:TQL21"/>
    <mergeCell ref="TQN20:TQN21"/>
    <mergeCell ref="TQP20:TQP21"/>
    <mergeCell ref="TQR20:TQR21"/>
    <mergeCell ref="TQT20:TQT21"/>
    <mergeCell ref="TQV20:TQV21"/>
    <mergeCell ref="TPZ20:TPZ21"/>
    <mergeCell ref="TQB20:TQB21"/>
    <mergeCell ref="TQD20:TQD21"/>
    <mergeCell ref="TQF20:TQF21"/>
    <mergeCell ref="TQH20:TQH21"/>
    <mergeCell ref="TQJ20:TQJ21"/>
    <mergeCell ref="TPN20:TPN21"/>
    <mergeCell ref="TPP20:TPP21"/>
    <mergeCell ref="TPR20:TPR21"/>
    <mergeCell ref="TPT20:TPT21"/>
    <mergeCell ref="TPV20:TPV21"/>
    <mergeCell ref="TPX20:TPX21"/>
    <mergeCell ref="TPB20:TPB21"/>
    <mergeCell ref="TPD20:TPD21"/>
    <mergeCell ref="TPF20:TPF21"/>
    <mergeCell ref="TPH20:TPH21"/>
    <mergeCell ref="TPJ20:TPJ21"/>
    <mergeCell ref="TPL20:TPL21"/>
    <mergeCell ref="TOP20:TOP21"/>
    <mergeCell ref="TOR20:TOR21"/>
    <mergeCell ref="TOT20:TOT21"/>
    <mergeCell ref="TOV20:TOV21"/>
    <mergeCell ref="TOX20:TOX21"/>
    <mergeCell ref="TOZ20:TOZ21"/>
    <mergeCell ref="TOD20:TOD21"/>
    <mergeCell ref="TOF20:TOF21"/>
    <mergeCell ref="TOH20:TOH21"/>
    <mergeCell ref="TOJ20:TOJ21"/>
    <mergeCell ref="TOL20:TOL21"/>
    <mergeCell ref="TON20:TON21"/>
    <mergeCell ref="TNR20:TNR21"/>
    <mergeCell ref="TNT20:TNT21"/>
    <mergeCell ref="TNV20:TNV21"/>
    <mergeCell ref="TNX20:TNX21"/>
    <mergeCell ref="TNZ20:TNZ21"/>
    <mergeCell ref="TOB20:TOB21"/>
    <mergeCell ref="TNF20:TNF21"/>
    <mergeCell ref="TNH20:TNH21"/>
    <mergeCell ref="TNJ20:TNJ21"/>
    <mergeCell ref="TNL20:TNL21"/>
    <mergeCell ref="TNN20:TNN21"/>
    <mergeCell ref="TNP20:TNP21"/>
    <mergeCell ref="TMT20:TMT21"/>
    <mergeCell ref="TMV20:TMV21"/>
    <mergeCell ref="TMX20:TMX21"/>
    <mergeCell ref="TMZ20:TMZ21"/>
    <mergeCell ref="TNB20:TNB21"/>
    <mergeCell ref="TND20:TND21"/>
    <mergeCell ref="TMH20:TMH21"/>
    <mergeCell ref="TMJ20:TMJ21"/>
    <mergeCell ref="TML20:TML21"/>
    <mergeCell ref="TMN20:TMN21"/>
    <mergeCell ref="TMP20:TMP21"/>
    <mergeCell ref="TMR20:TMR21"/>
    <mergeCell ref="TLV20:TLV21"/>
    <mergeCell ref="TLX20:TLX21"/>
    <mergeCell ref="TLZ20:TLZ21"/>
    <mergeCell ref="TMB20:TMB21"/>
    <mergeCell ref="TMD20:TMD21"/>
    <mergeCell ref="TMF20:TMF21"/>
    <mergeCell ref="TLJ20:TLJ21"/>
    <mergeCell ref="TLL20:TLL21"/>
    <mergeCell ref="TLN20:TLN21"/>
    <mergeCell ref="TLP20:TLP21"/>
    <mergeCell ref="TLR20:TLR21"/>
    <mergeCell ref="TLT20:TLT21"/>
    <mergeCell ref="TKX20:TKX21"/>
    <mergeCell ref="TKZ20:TKZ21"/>
    <mergeCell ref="TLB20:TLB21"/>
    <mergeCell ref="TLD20:TLD21"/>
    <mergeCell ref="TLF20:TLF21"/>
    <mergeCell ref="TLH20:TLH21"/>
    <mergeCell ref="TKL20:TKL21"/>
    <mergeCell ref="TKN20:TKN21"/>
    <mergeCell ref="TKP20:TKP21"/>
    <mergeCell ref="TKR20:TKR21"/>
    <mergeCell ref="TKT20:TKT21"/>
    <mergeCell ref="TKV20:TKV21"/>
    <mergeCell ref="TJZ20:TJZ21"/>
    <mergeCell ref="TKB20:TKB21"/>
    <mergeCell ref="TKD20:TKD21"/>
    <mergeCell ref="TKF20:TKF21"/>
    <mergeCell ref="TKH20:TKH21"/>
    <mergeCell ref="TKJ20:TKJ21"/>
    <mergeCell ref="TJN20:TJN21"/>
    <mergeCell ref="TJP20:TJP21"/>
    <mergeCell ref="TJR20:TJR21"/>
    <mergeCell ref="TJT20:TJT21"/>
    <mergeCell ref="TJV20:TJV21"/>
    <mergeCell ref="TJX20:TJX21"/>
    <mergeCell ref="TJB20:TJB21"/>
    <mergeCell ref="TJD20:TJD21"/>
    <mergeCell ref="TJF20:TJF21"/>
    <mergeCell ref="TJH20:TJH21"/>
    <mergeCell ref="TJJ20:TJJ21"/>
    <mergeCell ref="TJL20:TJL21"/>
    <mergeCell ref="TIP20:TIP21"/>
    <mergeCell ref="TIR20:TIR21"/>
    <mergeCell ref="TIT20:TIT21"/>
    <mergeCell ref="TIV20:TIV21"/>
    <mergeCell ref="TIX20:TIX21"/>
    <mergeCell ref="TIZ20:TIZ21"/>
    <mergeCell ref="TID20:TID21"/>
    <mergeCell ref="TIF20:TIF21"/>
    <mergeCell ref="TIH20:TIH21"/>
    <mergeCell ref="TIJ20:TIJ21"/>
    <mergeCell ref="TIL20:TIL21"/>
    <mergeCell ref="TIN20:TIN21"/>
    <mergeCell ref="THR20:THR21"/>
    <mergeCell ref="THT20:THT21"/>
    <mergeCell ref="THV20:THV21"/>
    <mergeCell ref="THX20:THX21"/>
    <mergeCell ref="THZ20:THZ21"/>
    <mergeCell ref="TIB20:TIB21"/>
    <mergeCell ref="THF20:THF21"/>
    <mergeCell ref="THH20:THH21"/>
    <mergeCell ref="THJ20:THJ21"/>
    <mergeCell ref="THL20:THL21"/>
    <mergeCell ref="THN20:THN21"/>
    <mergeCell ref="THP20:THP21"/>
    <mergeCell ref="TGT20:TGT21"/>
    <mergeCell ref="TGV20:TGV21"/>
    <mergeCell ref="TGX20:TGX21"/>
    <mergeCell ref="TGZ20:TGZ21"/>
    <mergeCell ref="THB20:THB21"/>
    <mergeCell ref="THD20:THD21"/>
    <mergeCell ref="TGH20:TGH21"/>
    <mergeCell ref="TGJ20:TGJ21"/>
    <mergeCell ref="TGL20:TGL21"/>
    <mergeCell ref="TGN20:TGN21"/>
    <mergeCell ref="TGP20:TGP21"/>
    <mergeCell ref="TGR20:TGR21"/>
    <mergeCell ref="TFV20:TFV21"/>
    <mergeCell ref="TFX20:TFX21"/>
    <mergeCell ref="TFZ20:TFZ21"/>
    <mergeCell ref="TGB20:TGB21"/>
    <mergeCell ref="TGD20:TGD21"/>
    <mergeCell ref="TGF20:TGF21"/>
    <mergeCell ref="TFJ20:TFJ21"/>
    <mergeCell ref="TFL20:TFL21"/>
    <mergeCell ref="TFN20:TFN21"/>
    <mergeCell ref="TFP20:TFP21"/>
    <mergeCell ref="TFR20:TFR21"/>
    <mergeCell ref="TFT20:TFT21"/>
    <mergeCell ref="TEX20:TEX21"/>
    <mergeCell ref="TEZ20:TEZ21"/>
    <mergeCell ref="TFB20:TFB21"/>
    <mergeCell ref="TFD20:TFD21"/>
    <mergeCell ref="TFF20:TFF21"/>
    <mergeCell ref="TFH20:TFH21"/>
    <mergeCell ref="TEL20:TEL21"/>
    <mergeCell ref="TEN20:TEN21"/>
    <mergeCell ref="TEP20:TEP21"/>
    <mergeCell ref="TER20:TER21"/>
    <mergeCell ref="TET20:TET21"/>
    <mergeCell ref="TEV20:TEV21"/>
    <mergeCell ref="TDZ20:TDZ21"/>
    <mergeCell ref="TEB20:TEB21"/>
    <mergeCell ref="TED20:TED21"/>
    <mergeCell ref="TEF20:TEF21"/>
    <mergeCell ref="TEH20:TEH21"/>
    <mergeCell ref="TEJ20:TEJ21"/>
    <mergeCell ref="TDN20:TDN21"/>
    <mergeCell ref="TDP20:TDP21"/>
    <mergeCell ref="TDR20:TDR21"/>
    <mergeCell ref="TDT20:TDT21"/>
    <mergeCell ref="TDV20:TDV21"/>
    <mergeCell ref="TDX20:TDX21"/>
    <mergeCell ref="TDB20:TDB21"/>
    <mergeCell ref="TDD20:TDD21"/>
    <mergeCell ref="TDF20:TDF21"/>
    <mergeCell ref="TDH20:TDH21"/>
    <mergeCell ref="TDJ20:TDJ21"/>
    <mergeCell ref="TDL20:TDL21"/>
    <mergeCell ref="TCP20:TCP21"/>
    <mergeCell ref="TCR20:TCR21"/>
    <mergeCell ref="TCT20:TCT21"/>
    <mergeCell ref="TCV20:TCV21"/>
    <mergeCell ref="TCX20:TCX21"/>
    <mergeCell ref="TCZ20:TCZ21"/>
    <mergeCell ref="TCD20:TCD21"/>
    <mergeCell ref="TCF20:TCF21"/>
    <mergeCell ref="TCH20:TCH21"/>
    <mergeCell ref="TCJ20:TCJ21"/>
    <mergeCell ref="TCL20:TCL21"/>
    <mergeCell ref="TCN20:TCN21"/>
    <mergeCell ref="TBR20:TBR21"/>
    <mergeCell ref="TBT20:TBT21"/>
    <mergeCell ref="TBV20:TBV21"/>
    <mergeCell ref="TBX20:TBX21"/>
    <mergeCell ref="TBZ20:TBZ21"/>
    <mergeCell ref="TCB20:TCB21"/>
    <mergeCell ref="TBF20:TBF21"/>
    <mergeCell ref="TBH20:TBH21"/>
    <mergeCell ref="TBJ20:TBJ21"/>
    <mergeCell ref="TBL20:TBL21"/>
    <mergeCell ref="TBN20:TBN21"/>
    <mergeCell ref="TBP20:TBP21"/>
    <mergeCell ref="TAT20:TAT21"/>
    <mergeCell ref="TAV20:TAV21"/>
    <mergeCell ref="TAX20:TAX21"/>
    <mergeCell ref="TAZ20:TAZ21"/>
    <mergeCell ref="TBB20:TBB21"/>
    <mergeCell ref="TBD20:TBD21"/>
    <mergeCell ref="TAH20:TAH21"/>
    <mergeCell ref="TAJ20:TAJ21"/>
    <mergeCell ref="TAL20:TAL21"/>
    <mergeCell ref="TAN20:TAN21"/>
    <mergeCell ref="TAP20:TAP21"/>
    <mergeCell ref="TAR20:TAR21"/>
    <mergeCell ref="SZV20:SZV21"/>
    <mergeCell ref="SZX20:SZX21"/>
    <mergeCell ref="SZZ20:SZZ21"/>
    <mergeCell ref="TAB20:TAB21"/>
    <mergeCell ref="TAD20:TAD21"/>
    <mergeCell ref="TAF20:TAF21"/>
    <mergeCell ref="SZJ20:SZJ21"/>
    <mergeCell ref="SZL20:SZL21"/>
    <mergeCell ref="SZN20:SZN21"/>
    <mergeCell ref="SZP20:SZP21"/>
    <mergeCell ref="SZR20:SZR21"/>
    <mergeCell ref="SZT20:SZT21"/>
    <mergeCell ref="SYX20:SYX21"/>
    <mergeCell ref="SYZ20:SYZ21"/>
    <mergeCell ref="SZB20:SZB21"/>
    <mergeCell ref="SZD20:SZD21"/>
    <mergeCell ref="SZF20:SZF21"/>
    <mergeCell ref="SZH20:SZH21"/>
    <mergeCell ref="SYL20:SYL21"/>
    <mergeCell ref="SYN20:SYN21"/>
    <mergeCell ref="SYP20:SYP21"/>
    <mergeCell ref="SYR20:SYR21"/>
    <mergeCell ref="SYT20:SYT21"/>
    <mergeCell ref="SYV20:SYV21"/>
    <mergeCell ref="SXZ20:SXZ21"/>
    <mergeCell ref="SYB20:SYB21"/>
    <mergeCell ref="SYD20:SYD21"/>
    <mergeCell ref="SYF20:SYF21"/>
    <mergeCell ref="SYH20:SYH21"/>
    <mergeCell ref="SYJ20:SYJ21"/>
    <mergeCell ref="SXN20:SXN21"/>
    <mergeCell ref="SXP20:SXP21"/>
    <mergeCell ref="SXR20:SXR21"/>
    <mergeCell ref="SXT20:SXT21"/>
    <mergeCell ref="SXV20:SXV21"/>
    <mergeCell ref="SXX20:SXX21"/>
    <mergeCell ref="SXB20:SXB21"/>
    <mergeCell ref="SXD20:SXD21"/>
    <mergeCell ref="SXF20:SXF21"/>
    <mergeCell ref="SXH20:SXH21"/>
    <mergeCell ref="SXJ20:SXJ21"/>
    <mergeCell ref="SXL20:SXL21"/>
    <mergeCell ref="SWP20:SWP21"/>
    <mergeCell ref="SWR20:SWR21"/>
    <mergeCell ref="SWT20:SWT21"/>
    <mergeCell ref="SWV20:SWV21"/>
    <mergeCell ref="SWX20:SWX21"/>
    <mergeCell ref="SWZ20:SWZ21"/>
    <mergeCell ref="SWD20:SWD21"/>
    <mergeCell ref="SWF20:SWF21"/>
    <mergeCell ref="SWH20:SWH21"/>
    <mergeCell ref="SWJ20:SWJ21"/>
    <mergeCell ref="SWL20:SWL21"/>
    <mergeCell ref="SWN20:SWN21"/>
    <mergeCell ref="SVR20:SVR21"/>
    <mergeCell ref="SVT20:SVT21"/>
    <mergeCell ref="SVV20:SVV21"/>
    <mergeCell ref="SVX20:SVX21"/>
    <mergeCell ref="SVZ20:SVZ21"/>
    <mergeCell ref="SWB20:SWB21"/>
    <mergeCell ref="SVF20:SVF21"/>
    <mergeCell ref="SVH20:SVH21"/>
    <mergeCell ref="SVJ20:SVJ21"/>
    <mergeCell ref="SVL20:SVL21"/>
    <mergeCell ref="SVN20:SVN21"/>
    <mergeCell ref="SVP20:SVP21"/>
    <mergeCell ref="SUT20:SUT21"/>
    <mergeCell ref="SUV20:SUV21"/>
    <mergeCell ref="SUX20:SUX21"/>
    <mergeCell ref="SUZ20:SUZ21"/>
    <mergeCell ref="SVB20:SVB21"/>
    <mergeCell ref="SVD20:SVD21"/>
    <mergeCell ref="SUH20:SUH21"/>
    <mergeCell ref="SUJ20:SUJ21"/>
    <mergeCell ref="SUL20:SUL21"/>
    <mergeCell ref="SUN20:SUN21"/>
    <mergeCell ref="SUP20:SUP21"/>
    <mergeCell ref="SUR20:SUR21"/>
    <mergeCell ref="STV20:STV21"/>
    <mergeCell ref="STX20:STX21"/>
    <mergeCell ref="STZ20:STZ21"/>
    <mergeCell ref="SUB20:SUB21"/>
    <mergeCell ref="SUD20:SUD21"/>
    <mergeCell ref="SUF20:SUF21"/>
    <mergeCell ref="STJ20:STJ21"/>
    <mergeCell ref="STL20:STL21"/>
    <mergeCell ref="STN20:STN21"/>
    <mergeCell ref="STP20:STP21"/>
    <mergeCell ref="STR20:STR21"/>
    <mergeCell ref="STT20:STT21"/>
    <mergeCell ref="SSX20:SSX21"/>
    <mergeCell ref="SSZ20:SSZ21"/>
    <mergeCell ref="STB20:STB21"/>
    <mergeCell ref="STD20:STD21"/>
    <mergeCell ref="STF20:STF21"/>
    <mergeCell ref="STH20:STH21"/>
    <mergeCell ref="SSL20:SSL21"/>
    <mergeCell ref="SSN20:SSN21"/>
    <mergeCell ref="SSP20:SSP21"/>
    <mergeCell ref="SSR20:SSR21"/>
    <mergeCell ref="SST20:SST21"/>
    <mergeCell ref="SSV20:SSV21"/>
    <mergeCell ref="SRZ20:SRZ21"/>
    <mergeCell ref="SSB20:SSB21"/>
    <mergeCell ref="SSD20:SSD21"/>
    <mergeCell ref="SSF20:SSF21"/>
    <mergeCell ref="SSH20:SSH21"/>
    <mergeCell ref="SSJ20:SSJ21"/>
    <mergeCell ref="SRN20:SRN21"/>
    <mergeCell ref="SRP20:SRP21"/>
    <mergeCell ref="SRR20:SRR21"/>
    <mergeCell ref="SRT20:SRT21"/>
    <mergeCell ref="SRV20:SRV21"/>
    <mergeCell ref="SRX20:SRX21"/>
    <mergeCell ref="SRB20:SRB21"/>
    <mergeCell ref="SRD20:SRD21"/>
    <mergeCell ref="SRF20:SRF21"/>
    <mergeCell ref="SRH20:SRH21"/>
    <mergeCell ref="SRJ20:SRJ21"/>
    <mergeCell ref="SRL20:SRL21"/>
    <mergeCell ref="SQP20:SQP21"/>
    <mergeCell ref="SQR20:SQR21"/>
    <mergeCell ref="SQT20:SQT21"/>
    <mergeCell ref="SQV20:SQV21"/>
    <mergeCell ref="SQX20:SQX21"/>
    <mergeCell ref="SQZ20:SQZ21"/>
    <mergeCell ref="SQD20:SQD21"/>
    <mergeCell ref="SQF20:SQF21"/>
    <mergeCell ref="SQH20:SQH21"/>
    <mergeCell ref="SQJ20:SQJ21"/>
    <mergeCell ref="SQL20:SQL21"/>
    <mergeCell ref="SQN20:SQN21"/>
    <mergeCell ref="SPR20:SPR21"/>
    <mergeCell ref="SPT20:SPT21"/>
    <mergeCell ref="SPV20:SPV21"/>
    <mergeCell ref="SPX20:SPX21"/>
    <mergeCell ref="SPZ20:SPZ21"/>
    <mergeCell ref="SQB20:SQB21"/>
    <mergeCell ref="SPF20:SPF21"/>
    <mergeCell ref="SPH20:SPH21"/>
    <mergeCell ref="SPJ20:SPJ21"/>
    <mergeCell ref="SPL20:SPL21"/>
    <mergeCell ref="SPN20:SPN21"/>
    <mergeCell ref="SPP20:SPP21"/>
    <mergeCell ref="SOT20:SOT21"/>
    <mergeCell ref="SOV20:SOV21"/>
    <mergeCell ref="SOX20:SOX21"/>
    <mergeCell ref="SOZ20:SOZ21"/>
    <mergeCell ref="SPB20:SPB21"/>
    <mergeCell ref="SPD20:SPD21"/>
    <mergeCell ref="SOH20:SOH21"/>
    <mergeCell ref="SOJ20:SOJ21"/>
    <mergeCell ref="SOL20:SOL21"/>
    <mergeCell ref="SON20:SON21"/>
    <mergeCell ref="SOP20:SOP21"/>
    <mergeCell ref="SOR20:SOR21"/>
    <mergeCell ref="SNV20:SNV21"/>
    <mergeCell ref="SNX20:SNX21"/>
    <mergeCell ref="SNZ20:SNZ21"/>
    <mergeCell ref="SOB20:SOB21"/>
    <mergeCell ref="SOD20:SOD21"/>
    <mergeCell ref="SOF20:SOF21"/>
    <mergeCell ref="SNJ20:SNJ21"/>
    <mergeCell ref="SNL20:SNL21"/>
    <mergeCell ref="SNN20:SNN21"/>
    <mergeCell ref="SNP20:SNP21"/>
    <mergeCell ref="SNR20:SNR21"/>
    <mergeCell ref="SNT20:SNT21"/>
    <mergeCell ref="SMX20:SMX21"/>
    <mergeCell ref="SMZ20:SMZ21"/>
    <mergeCell ref="SNB20:SNB21"/>
    <mergeCell ref="SND20:SND21"/>
    <mergeCell ref="SNF20:SNF21"/>
    <mergeCell ref="SNH20:SNH21"/>
    <mergeCell ref="SML20:SML21"/>
    <mergeCell ref="SMN20:SMN21"/>
    <mergeCell ref="SMP20:SMP21"/>
    <mergeCell ref="SMR20:SMR21"/>
    <mergeCell ref="SMT20:SMT21"/>
    <mergeCell ref="SMV20:SMV21"/>
    <mergeCell ref="SLZ20:SLZ21"/>
    <mergeCell ref="SMB20:SMB21"/>
    <mergeCell ref="SMD20:SMD21"/>
    <mergeCell ref="SMF20:SMF21"/>
    <mergeCell ref="SMH20:SMH21"/>
    <mergeCell ref="SMJ20:SMJ21"/>
    <mergeCell ref="SLN20:SLN21"/>
    <mergeCell ref="SLP20:SLP21"/>
    <mergeCell ref="SLR20:SLR21"/>
    <mergeCell ref="SLT20:SLT21"/>
    <mergeCell ref="SLV20:SLV21"/>
    <mergeCell ref="SLX20:SLX21"/>
    <mergeCell ref="SLB20:SLB21"/>
    <mergeCell ref="SLD20:SLD21"/>
    <mergeCell ref="SLF20:SLF21"/>
    <mergeCell ref="SLH20:SLH21"/>
    <mergeCell ref="SLJ20:SLJ21"/>
    <mergeCell ref="SLL20:SLL21"/>
    <mergeCell ref="SKP20:SKP21"/>
    <mergeCell ref="SKR20:SKR21"/>
    <mergeCell ref="SKT20:SKT21"/>
    <mergeCell ref="SKV20:SKV21"/>
    <mergeCell ref="SKX20:SKX21"/>
    <mergeCell ref="SKZ20:SKZ21"/>
    <mergeCell ref="SKD20:SKD21"/>
    <mergeCell ref="SKF20:SKF21"/>
    <mergeCell ref="SKH20:SKH21"/>
    <mergeCell ref="SKJ20:SKJ21"/>
    <mergeCell ref="SKL20:SKL21"/>
    <mergeCell ref="SKN20:SKN21"/>
    <mergeCell ref="SJR20:SJR21"/>
    <mergeCell ref="SJT20:SJT21"/>
    <mergeCell ref="SJV20:SJV21"/>
    <mergeCell ref="SJX20:SJX21"/>
    <mergeCell ref="SJZ20:SJZ21"/>
    <mergeCell ref="SKB20:SKB21"/>
    <mergeCell ref="SJF20:SJF21"/>
    <mergeCell ref="SJH20:SJH21"/>
    <mergeCell ref="SJJ20:SJJ21"/>
    <mergeCell ref="SJL20:SJL21"/>
    <mergeCell ref="SJN20:SJN21"/>
    <mergeCell ref="SJP20:SJP21"/>
    <mergeCell ref="SIT20:SIT21"/>
    <mergeCell ref="SIV20:SIV21"/>
    <mergeCell ref="SIX20:SIX21"/>
    <mergeCell ref="SIZ20:SIZ21"/>
    <mergeCell ref="SJB20:SJB21"/>
    <mergeCell ref="SJD20:SJD21"/>
    <mergeCell ref="SIH20:SIH21"/>
    <mergeCell ref="SIJ20:SIJ21"/>
    <mergeCell ref="SIL20:SIL21"/>
    <mergeCell ref="SIN20:SIN21"/>
    <mergeCell ref="SIP20:SIP21"/>
    <mergeCell ref="SIR20:SIR21"/>
    <mergeCell ref="SHV20:SHV21"/>
    <mergeCell ref="SHX20:SHX21"/>
    <mergeCell ref="SHZ20:SHZ21"/>
    <mergeCell ref="SIB20:SIB21"/>
    <mergeCell ref="SID20:SID21"/>
    <mergeCell ref="SIF20:SIF21"/>
    <mergeCell ref="SHJ20:SHJ21"/>
    <mergeCell ref="SHL20:SHL21"/>
    <mergeCell ref="SHN20:SHN21"/>
    <mergeCell ref="SHP20:SHP21"/>
    <mergeCell ref="SHR20:SHR21"/>
    <mergeCell ref="SHT20:SHT21"/>
    <mergeCell ref="SGX20:SGX21"/>
    <mergeCell ref="SGZ20:SGZ21"/>
    <mergeCell ref="SHB20:SHB21"/>
    <mergeCell ref="SHD20:SHD21"/>
    <mergeCell ref="SHF20:SHF21"/>
    <mergeCell ref="SHH20:SHH21"/>
    <mergeCell ref="SGL20:SGL21"/>
    <mergeCell ref="SGN20:SGN21"/>
    <mergeCell ref="SGP20:SGP21"/>
    <mergeCell ref="SGR20:SGR21"/>
    <mergeCell ref="SGT20:SGT21"/>
    <mergeCell ref="SGV20:SGV21"/>
    <mergeCell ref="SFZ20:SFZ21"/>
    <mergeCell ref="SGB20:SGB21"/>
    <mergeCell ref="SGD20:SGD21"/>
    <mergeCell ref="SGF20:SGF21"/>
    <mergeCell ref="SGH20:SGH21"/>
    <mergeCell ref="SGJ20:SGJ21"/>
    <mergeCell ref="SFN20:SFN21"/>
    <mergeCell ref="SFP20:SFP21"/>
    <mergeCell ref="SFR20:SFR21"/>
    <mergeCell ref="SFT20:SFT21"/>
    <mergeCell ref="SFV20:SFV21"/>
    <mergeCell ref="SFX20:SFX21"/>
    <mergeCell ref="SFB20:SFB21"/>
    <mergeCell ref="SFD20:SFD21"/>
    <mergeCell ref="SFF20:SFF21"/>
    <mergeCell ref="SFH20:SFH21"/>
    <mergeCell ref="SFJ20:SFJ21"/>
    <mergeCell ref="SFL20:SFL21"/>
    <mergeCell ref="SEP20:SEP21"/>
    <mergeCell ref="SER20:SER21"/>
    <mergeCell ref="SET20:SET21"/>
    <mergeCell ref="SEV20:SEV21"/>
    <mergeCell ref="SEX20:SEX21"/>
    <mergeCell ref="SEZ20:SEZ21"/>
    <mergeCell ref="SED20:SED21"/>
    <mergeCell ref="SEF20:SEF21"/>
    <mergeCell ref="SEH20:SEH21"/>
    <mergeCell ref="SEJ20:SEJ21"/>
    <mergeCell ref="SEL20:SEL21"/>
    <mergeCell ref="SEN20:SEN21"/>
    <mergeCell ref="SDR20:SDR21"/>
    <mergeCell ref="SDT20:SDT21"/>
    <mergeCell ref="SDV20:SDV21"/>
    <mergeCell ref="SDX20:SDX21"/>
    <mergeCell ref="SDZ20:SDZ21"/>
    <mergeCell ref="SEB20:SEB21"/>
    <mergeCell ref="SDF20:SDF21"/>
    <mergeCell ref="SDH20:SDH21"/>
    <mergeCell ref="SDJ20:SDJ21"/>
    <mergeCell ref="SDL20:SDL21"/>
    <mergeCell ref="SDN20:SDN21"/>
    <mergeCell ref="SDP20:SDP21"/>
    <mergeCell ref="SCT20:SCT21"/>
    <mergeCell ref="SCV20:SCV21"/>
    <mergeCell ref="SCX20:SCX21"/>
    <mergeCell ref="SCZ20:SCZ21"/>
    <mergeCell ref="SDB20:SDB21"/>
    <mergeCell ref="SDD20:SDD21"/>
    <mergeCell ref="SCH20:SCH21"/>
    <mergeCell ref="SCJ20:SCJ21"/>
    <mergeCell ref="SCL20:SCL21"/>
    <mergeCell ref="SCN20:SCN21"/>
    <mergeCell ref="SCP20:SCP21"/>
    <mergeCell ref="SCR20:SCR21"/>
    <mergeCell ref="SBV20:SBV21"/>
    <mergeCell ref="SBX20:SBX21"/>
    <mergeCell ref="SBZ20:SBZ21"/>
    <mergeCell ref="SCB20:SCB21"/>
    <mergeCell ref="SCD20:SCD21"/>
    <mergeCell ref="SCF20:SCF21"/>
    <mergeCell ref="SBJ20:SBJ21"/>
    <mergeCell ref="SBL20:SBL21"/>
    <mergeCell ref="SBN20:SBN21"/>
    <mergeCell ref="SBP20:SBP21"/>
    <mergeCell ref="SBR20:SBR21"/>
    <mergeCell ref="SBT20:SBT21"/>
    <mergeCell ref="SAX20:SAX21"/>
    <mergeCell ref="SAZ20:SAZ21"/>
    <mergeCell ref="SBB20:SBB21"/>
    <mergeCell ref="SBD20:SBD21"/>
    <mergeCell ref="SBF20:SBF21"/>
    <mergeCell ref="SBH20:SBH21"/>
    <mergeCell ref="SAL20:SAL21"/>
    <mergeCell ref="SAN20:SAN21"/>
    <mergeCell ref="SAP20:SAP21"/>
    <mergeCell ref="SAR20:SAR21"/>
    <mergeCell ref="SAT20:SAT21"/>
    <mergeCell ref="SAV20:SAV21"/>
    <mergeCell ref="RZZ20:RZZ21"/>
    <mergeCell ref="SAB20:SAB21"/>
    <mergeCell ref="SAD20:SAD21"/>
    <mergeCell ref="SAF20:SAF21"/>
    <mergeCell ref="SAH20:SAH21"/>
    <mergeCell ref="SAJ20:SAJ21"/>
    <mergeCell ref="RZN20:RZN21"/>
    <mergeCell ref="RZP20:RZP21"/>
    <mergeCell ref="RZR20:RZR21"/>
    <mergeCell ref="RZT20:RZT21"/>
    <mergeCell ref="RZV20:RZV21"/>
    <mergeCell ref="RZX20:RZX21"/>
    <mergeCell ref="RZB20:RZB21"/>
    <mergeCell ref="RZD20:RZD21"/>
    <mergeCell ref="RZF20:RZF21"/>
    <mergeCell ref="RZH20:RZH21"/>
    <mergeCell ref="RZJ20:RZJ21"/>
    <mergeCell ref="RZL20:RZL21"/>
    <mergeCell ref="RYP20:RYP21"/>
    <mergeCell ref="RYR20:RYR21"/>
    <mergeCell ref="RYT20:RYT21"/>
    <mergeCell ref="RYV20:RYV21"/>
    <mergeCell ref="RYX20:RYX21"/>
    <mergeCell ref="RYZ20:RYZ21"/>
    <mergeCell ref="RYD20:RYD21"/>
    <mergeCell ref="RYF20:RYF21"/>
    <mergeCell ref="RYH20:RYH21"/>
    <mergeCell ref="RYJ20:RYJ21"/>
    <mergeCell ref="RYL20:RYL21"/>
    <mergeCell ref="RYN20:RYN21"/>
    <mergeCell ref="RXR20:RXR21"/>
    <mergeCell ref="RXT20:RXT21"/>
    <mergeCell ref="RXV20:RXV21"/>
    <mergeCell ref="RXX20:RXX21"/>
    <mergeCell ref="RXZ20:RXZ21"/>
    <mergeCell ref="RYB20:RYB21"/>
    <mergeCell ref="RXF20:RXF21"/>
    <mergeCell ref="RXH20:RXH21"/>
    <mergeCell ref="RXJ20:RXJ21"/>
    <mergeCell ref="RXL20:RXL21"/>
    <mergeCell ref="RXN20:RXN21"/>
    <mergeCell ref="RXP20:RXP21"/>
    <mergeCell ref="RWT20:RWT21"/>
    <mergeCell ref="RWV20:RWV21"/>
    <mergeCell ref="RWX20:RWX21"/>
    <mergeCell ref="RWZ20:RWZ21"/>
    <mergeCell ref="RXB20:RXB21"/>
    <mergeCell ref="RXD20:RXD21"/>
    <mergeCell ref="RWH20:RWH21"/>
    <mergeCell ref="RWJ20:RWJ21"/>
    <mergeCell ref="RWL20:RWL21"/>
    <mergeCell ref="RWN20:RWN21"/>
    <mergeCell ref="RWP20:RWP21"/>
    <mergeCell ref="RWR20:RWR21"/>
    <mergeCell ref="RVV20:RVV21"/>
    <mergeCell ref="RVX20:RVX21"/>
    <mergeCell ref="RVZ20:RVZ21"/>
    <mergeCell ref="RWB20:RWB21"/>
    <mergeCell ref="RWD20:RWD21"/>
    <mergeCell ref="RWF20:RWF21"/>
    <mergeCell ref="RVJ20:RVJ21"/>
    <mergeCell ref="RVL20:RVL21"/>
    <mergeCell ref="RVN20:RVN21"/>
    <mergeCell ref="RVP20:RVP21"/>
    <mergeCell ref="RVR20:RVR21"/>
    <mergeCell ref="RVT20:RVT21"/>
    <mergeCell ref="RUX20:RUX21"/>
    <mergeCell ref="RUZ20:RUZ21"/>
    <mergeCell ref="RVB20:RVB21"/>
    <mergeCell ref="RVD20:RVD21"/>
    <mergeCell ref="RVF20:RVF21"/>
    <mergeCell ref="RVH20:RVH21"/>
    <mergeCell ref="RUL20:RUL21"/>
    <mergeCell ref="RUN20:RUN21"/>
    <mergeCell ref="RUP20:RUP21"/>
    <mergeCell ref="RUR20:RUR21"/>
    <mergeCell ref="RUT20:RUT21"/>
    <mergeCell ref="RUV20:RUV21"/>
    <mergeCell ref="RTZ20:RTZ21"/>
    <mergeCell ref="RUB20:RUB21"/>
    <mergeCell ref="RUD20:RUD21"/>
    <mergeCell ref="RUF20:RUF21"/>
    <mergeCell ref="RUH20:RUH21"/>
    <mergeCell ref="RUJ20:RUJ21"/>
    <mergeCell ref="RTN20:RTN21"/>
    <mergeCell ref="RTP20:RTP21"/>
    <mergeCell ref="RTR20:RTR21"/>
    <mergeCell ref="RTT20:RTT21"/>
    <mergeCell ref="RTV20:RTV21"/>
    <mergeCell ref="RTX20:RTX21"/>
    <mergeCell ref="RTB20:RTB21"/>
    <mergeCell ref="RTD20:RTD21"/>
    <mergeCell ref="RTF20:RTF21"/>
    <mergeCell ref="RTH20:RTH21"/>
    <mergeCell ref="RTJ20:RTJ21"/>
    <mergeCell ref="RTL20:RTL21"/>
    <mergeCell ref="RSP20:RSP21"/>
    <mergeCell ref="RSR20:RSR21"/>
    <mergeCell ref="RST20:RST21"/>
    <mergeCell ref="RSV20:RSV21"/>
    <mergeCell ref="RSX20:RSX21"/>
    <mergeCell ref="RSZ20:RSZ21"/>
    <mergeCell ref="RSD20:RSD21"/>
    <mergeCell ref="RSF20:RSF21"/>
    <mergeCell ref="RSH20:RSH21"/>
    <mergeCell ref="RSJ20:RSJ21"/>
    <mergeCell ref="RSL20:RSL21"/>
    <mergeCell ref="RSN20:RSN21"/>
    <mergeCell ref="RRR20:RRR21"/>
    <mergeCell ref="RRT20:RRT21"/>
    <mergeCell ref="RRV20:RRV21"/>
    <mergeCell ref="RRX20:RRX21"/>
    <mergeCell ref="RRZ20:RRZ21"/>
    <mergeCell ref="RSB20:RSB21"/>
    <mergeCell ref="RRF20:RRF21"/>
    <mergeCell ref="RRH20:RRH21"/>
    <mergeCell ref="RRJ20:RRJ21"/>
    <mergeCell ref="RRL20:RRL21"/>
    <mergeCell ref="RRN20:RRN21"/>
    <mergeCell ref="RRP20:RRP21"/>
    <mergeCell ref="RQT20:RQT21"/>
    <mergeCell ref="RQV20:RQV21"/>
    <mergeCell ref="RQX20:RQX21"/>
    <mergeCell ref="RQZ20:RQZ21"/>
    <mergeCell ref="RRB20:RRB21"/>
    <mergeCell ref="RRD20:RRD21"/>
    <mergeCell ref="RQH20:RQH21"/>
    <mergeCell ref="RQJ20:RQJ21"/>
    <mergeCell ref="RQL20:RQL21"/>
    <mergeCell ref="RQN20:RQN21"/>
    <mergeCell ref="RQP20:RQP21"/>
    <mergeCell ref="RQR20:RQR21"/>
    <mergeCell ref="RPV20:RPV21"/>
    <mergeCell ref="RPX20:RPX21"/>
    <mergeCell ref="RPZ20:RPZ21"/>
    <mergeCell ref="RQB20:RQB21"/>
    <mergeCell ref="RQD20:RQD21"/>
    <mergeCell ref="RQF20:RQF21"/>
    <mergeCell ref="RPJ20:RPJ21"/>
    <mergeCell ref="RPL20:RPL21"/>
    <mergeCell ref="RPN20:RPN21"/>
    <mergeCell ref="RPP20:RPP21"/>
    <mergeCell ref="RPR20:RPR21"/>
    <mergeCell ref="RPT20:RPT21"/>
    <mergeCell ref="ROX20:ROX21"/>
    <mergeCell ref="ROZ20:ROZ21"/>
    <mergeCell ref="RPB20:RPB21"/>
    <mergeCell ref="RPD20:RPD21"/>
    <mergeCell ref="RPF20:RPF21"/>
    <mergeCell ref="RPH20:RPH21"/>
    <mergeCell ref="ROL20:ROL21"/>
    <mergeCell ref="RON20:RON21"/>
    <mergeCell ref="ROP20:ROP21"/>
    <mergeCell ref="ROR20:ROR21"/>
    <mergeCell ref="ROT20:ROT21"/>
    <mergeCell ref="ROV20:ROV21"/>
    <mergeCell ref="RNZ20:RNZ21"/>
    <mergeCell ref="ROB20:ROB21"/>
    <mergeCell ref="ROD20:ROD21"/>
    <mergeCell ref="ROF20:ROF21"/>
    <mergeCell ref="ROH20:ROH21"/>
    <mergeCell ref="ROJ20:ROJ21"/>
    <mergeCell ref="RNN20:RNN21"/>
    <mergeCell ref="RNP20:RNP21"/>
    <mergeCell ref="RNR20:RNR21"/>
    <mergeCell ref="RNT20:RNT21"/>
    <mergeCell ref="RNV20:RNV21"/>
    <mergeCell ref="RNX20:RNX21"/>
    <mergeCell ref="RNB20:RNB21"/>
    <mergeCell ref="RND20:RND21"/>
    <mergeCell ref="RNF20:RNF21"/>
    <mergeCell ref="RNH20:RNH21"/>
    <mergeCell ref="RNJ20:RNJ21"/>
    <mergeCell ref="RNL20:RNL21"/>
    <mergeCell ref="RMP20:RMP21"/>
    <mergeCell ref="RMR20:RMR21"/>
    <mergeCell ref="RMT20:RMT21"/>
    <mergeCell ref="RMV20:RMV21"/>
    <mergeCell ref="RMX20:RMX21"/>
    <mergeCell ref="RMZ20:RMZ21"/>
    <mergeCell ref="RMD20:RMD21"/>
    <mergeCell ref="RMF20:RMF21"/>
    <mergeCell ref="RMH20:RMH21"/>
    <mergeCell ref="RMJ20:RMJ21"/>
    <mergeCell ref="RML20:RML21"/>
    <mergeCell ref="RMN20:RMN21"/>
    <mergeCell ref="RLR20:RLR21"/>
    <mergeCell ref="RLT20:RLT21"/>
    <mergeCell ref="RLV20:RLV21"/>
    <mergeCell ref="RLX20:RLX21"/>
    <mergeCell ref="RLZ20:RLZ21"/>
    <mergeCell ref="RMB20:RMB21"/>
    <mergeCell ref="RLF20:RLF21"/>
    <mergeCell ref="RLH20:RLH21"/>
    <mergeCell ref="RLJ20:RLJ21"/>
    <mergeCell ref="RLL20:RLL21"/>
    <mergeCell ref="RLN20:RLN21"/>
    <mergeCell ref="RLP20:RLP21"/>
    <mergeCell ref="RKT20:RKT21"/>
    <mergeCell ref="RKV20:RKV21"/>
    <mergeCell ref="RKX20:RKX21"/>
    <mergeCell ref="RKZ20:RKZ21"/>
    <mergeCell ref="RLB20:RLB21"/>
    <mergeCell ref="RLD20:RLD21"/>
    <mergeCell ref="RKH20:RKH21"/>
    <mergeCell ref="RKJ20:RKJ21"/>
    <mergeCell ref="RKL20:RKL21"/>
    <mergeCell ref="RKN20:RKN21"/>
    <mergeCell ref="RKP20:RKP21"/>
    <mergeCell ref="RKR20:RKR21"/>
    <mergeCell ref="RJV20:RJV21"/>
    <mergeCell ref="RJX20:RJX21"/>
    <mergeCell ref="RJZ20:RJZ21"/>
    <mergeCell ref="RKB20:RKB21"/>
    <mergeCell ref="RKD20:RKD21"/>
    <mergeCell ref="RKF20:RKF21"/>
    <mergeCell ref="RJJ20:RJJ21"/>
    <mergeCell ref="RJL20:RJL21"/>
    <mergeCell ref="RJN20:RJN21"/>
    <mergeCell ref="RJP20:RJP21"/>
    <mergeCell ref="RJR20:RJR21"/>
    <mergeCell ref="RJT20:RJT21"/>
    <mergeCell ref="RIX20:RIX21"/>
    <mergeCell ref="RIZ20:RIZ21"/>
    <mergeCell ref="RJB20:RJB21"/>
    <mergeCell ref="RJD20:RJD21"/>
    <mergeCell ref="RJF20:RJF21"/>
    <mergeCell ref="RJH20:RJH21"/>
    <mergeCell ref="RIL20:RIL21"/>
    <mergeCell ref="RIN20:RIN21"/>
    <mergeCell ref="RIP20:RIP21"/>
    <mergeCell ref="RIR20:RIR21"/>
    <mergeCell ref="RIT20:RIT21"/>
    <mergeCell ref="RIV20:RIV21"/>
    <mergeCell ref="RHZ20:RHZ21"/>
    <mergeCell ref="RIB20:RIB21"/>
    <mergeCell ref="RID20:RID21"/>
    <mergeCell ref="RIF20:RIF21"/>
    <mergeCell ref="RIH20:RIH21"/>
    <mergeCell ref="RIJ20:RIJ21"/>
    <mergeCell ref="RHN20:RHN21"/>
    <mergeCell ref="RHP20:RHP21"/>
    <mergeCell ref="RHR20:RHR21"/>
    <mergeCell ref="RHT20:RHT21"/>
    <mergeCell ref="RHV20:RHV21"/>
    <mergeCell ref="RHX20:RHX21"/>
    <mergeCell ref="RHB20:RHB21"/>
    <mergeCell ref="RHD20:RHD21"/>
    <mergeCell ref="RHF20:RHF21"/>
    <mergeCell ref="RHH20:RHH21"/>
    <mergeCell ref="RHJ20:RHJ21"/>
    <mergeCell ref="RHL20:RHL21"/>
    <mergeCell ref="RGP20:RGP21"/>
    <mergeCell ref="RGR20:RGR21"/>
    <mergeCell ref="RGT20:RGT21"/>
    <mergeCell ref="RGV20:RGV21"/>
    <mergeCell ref="RGX20:RGX21"/>
    <mergeCell ref="RGZ20:RGZ21"/>
    <mergeCell ref="RGD20:RGD21"/>
    <mergeCell ref="RGF20:RGF21"/>
    <mergeCell ref="RGH20:RGH21"/>
    <mergeCell ref="RGJ20:RGJ21"/>
    <mergeCell ref="RGL20:RGL21"/>
    <mergeCell ref="RGN20:RGN21"/>
    <mergeCell ref="RFR20:RFR21"/>
    <mergeCell ref="RFT20:RFT21"/>
    <mergeCell ref="RFV20:RFV21"/>
    <mergeCell ref="RFX20:RFX21"/>
    <mergeCell ref="RFZ20:RFZ21"/>
    <mergeCell ref="RGB20:RGB21"/>
    <mergeCell ref="RFF20:RFF21"/>
    <mergeCell ref="RFH20:RFH21"/>
    <mergeCell ref="RFJ20:RFJ21"/>
    <mergeCell ref="RFL20:RFL21"/>
    <mergeCell ref="RFN20:RFN21"/>
    <mergeCell ref="RFP20:RFP21"/>
    <mergeCell ref="RET20:RET21"/>
    <mergeCell ref="REV20:REV21"/>
    <mergeCell ref="REX20:REX21"/>
    <mergeCell ref="REZ20:REZ21"/>
    <mergeCell ref="RFB20:RFB21"/>
    <mergeCell ref="RFD20:RFD21"/>
    <mergeCell ref="REH20:REH21"/>
    <mergeCell ref="REJ20:REJ21"/>
    <mergeCell ref="REL20:REL21"/>
    <mergeCell ref="REN20:REN21"/>
    <mergeCell ref="REP20:REP21"/>
    <mergeCell ref="RER20:RER21"/>
    <mergeCell ref="RDV20:RDV21"/>
    <mergeCell ref="RDX20:RDX21"/>
    <mergeCell ref="RDZ20:RDZ21"/>
    <mergeCell ref="REB20:REB21"/>
    <mergeCell ref="RED20:RED21"/>
    <mergeCell ref="REF20:REF21"/>
    <mergeCell ref="RDJ20:RDJ21"/>
    <mergeCell ref="RDL20:RDL21"/>
    <mergeCell ref="RDN20:RDN21"/>
    <mergeCell ref="RDP20:RDP21"/>
    <mergeCell ref="RDR20:RDR21"/>
    <mergeCell ref="RDT20:RDT21"/>
    <mergeCell ref="RCX20:RCX21"/>
    <mergeCell ref="RCZ20:RCZ21"/>
    <mergeCell ref="RDB20:RDB21"/>
    <mergeCell ref="RDD20:RDD21"/>
    <mergeCell ref="RDF20:RDF21"/>
    <mergeCell ref="RDH20:RDH21"/>
    <mergeCell ref="RCL20:RCL21"/>
    <mergeCell ref="RCN20:RCN21"/>
    <mergeCell ref="RCP20:RCP21"/>
    <mergeCell ref="RCR20:RCR21"/>
    <mergeCell ref="RCT20:RCT21"/>
    <mergeCell ref="RCV20:RCV21"/>
    <mergeCell ref="RBZ20:RBZ21"/>
    <mergeCell ref="RCB20:RCB21"/>
    <mergeCell ref="RCD20:RCD21"/>
    <mergeCell ref="RCF20:RCF21"/>
    <mergeCell ref="RCH20:RCH21"/>
    <mergeCell ref="RCJ20:RCJ21"/>
    <mergeCell ref="RBN20:RBN21"/>
    <mergeCell ref="RBP20:RBP21"/>
    <mergeCell ref="RBR20:RBR21"/>
    <mergeCell ref="RBT20:RBT21"/>
    <mergeCell ref="RBV20:RBV21"/>
    <mergeCell ref="RBX20:RBX21"/>
    <mergeCell ref="RBB20:RBB21"/>
    <mergeCell ref="RBD20:RBD21"/>
    <mergeCell ref="RBF20:RBF21"/>
    <mergeCell ref="RBH20:RBH21"/>
    <mergeCell ref="RBJ20:RBJ21"/>
    <mergeCell ref="RBL20:RBL21"/>
    <mergeCell ref="RAP20:RAP21"/>
    <mergeCell ref="RAR20:RAR21"/>
    <mergeCell ref="RAT20:RAT21"/>
    <mergeCell ref="RAV20:RAV21"/>
    <mergeCell ref="RAX20:RAX21"/>
    <mergeCell ref="RAZ20:RAZ21"/>
    <mergeCell ref="RAD20:RAD21"/>
    <mergeCell ref="RAF20:RAF21"/>
    <mergeCell ref="RAH20:RAH21"/>
    <mergeCell ref="RAJ20:RAJ21"/>
    <mergeCell ref="RAL20:RAL21"/>
    <mergeCell ref="RAN20:RAN21"/>
    <mergeCell ref="QZR20:QZR21"/>
    <mergeCell ref="QZT20:QZT21"/>
    <mergeCell ref="QZV20:QZV21"/>
    <mergeCell ref="QZX20:QZX21"/>
    <mergeCell ref="QZZ20:QZZ21"/>
    <mergeCell ref="RAB20:RAB21"/>
    <mergeCell ref="QZF20:QZF21"/>
    <mergeCell ref="QZH20:QZH21"/>
    <mergeCell ref="QZJ20:QZJ21"/>
    <mergeCell ref="QZL20:QZL21"/>
    <mergeCell ref="QZN20:QZN21"/>
    <mergeCell ref="QZP20:QZP21"/>
    <mergeCell ref="QYT20:QYT21"/>
    <mergeCell ref="QYV20:QYV21"/>
    <mergeCell ref="QYX20:QYX21"/>
    <mergeCell ref="QYZ20:QYZ21"/>
    <mergeCell ref="QZB20:QZB21"/>
    <mergeCell ref="QZD20:QZD21"/>
    <mergeCell ref="QYH20:QYH21"/>
    <mergeCell ref="QYJ20:QYJ21"/>
    <mergeCell ref="QYL20:QYL21"/>
    <mergeCell ref="QYN20:QYN21"/>
    <mergeCell ref="QYP20:QYP21"/>
    <mergeCell ref="QYR20:QYR21"/>
    <mergeCell ref="QXV20:QXV21"/>
    <mergeCell ref="QXX20:QXX21"/>
    <mergeCell ref="QXZ20:QXZ21"/>
    <mergeCell ref="QYB20:QYB21"/>
    <mergeCell ref="QYD20:QYD21"/>
    <mergeCell ref="QYF20:QYF21"/>
    <mergeCell ref="QXJ20:QXJ21"/>
    <mergeCell ref="QXL20:QXL21"/>
    <mergeCell ref="QXN20:QXN21"/>
    <mergeCell ref="QXP20:QXP21"/>
    <mergeCell ref="QXR20:QXR21"/>
    <mergeCell ref="QXT20:QXT21"/>
    <mergeCell ref="QWX20:QWX21"/>
    <mergeCell ref="QWZ20:QWZ21"/>
    <mergeCell ref="QXB20:QXB21"/>
    <mergeCell ref="QXD20:QXD21"/>
    <mergeCell ref="QXF20:QXF21"/>
    <mergeCell ref="QXH20:QXH21"/>
    <mergeCell ref="QWL20:QWL21"/>
    <mergeCell ref="QWN20:QWN21"/>
    <mergeCell ref="QWP20:QWP21"/>
    <mergeCell ref="QWR20:QWR21"/>
    <mergeCell ref="QWT20:QWT21"/>
    <mergeCell ref="QWV20:QWV21"/>
    <mergeCell ref="QVZ20:QVZ21"/>
    <mergeCell ref="QWB20:QWB21"/>
    <mergeCell ref="QWD20:QWD21"/>
    <mergeCell ref="QWF20:QWF21"/>
    <mergeCell ref="QWH20:QWH21"/>
    <mergeCell ref="QWJ20:QWJ21"/>
    <mergeCell ref="QVN20:QVN21"/>
    <mergeCell ref="QVP20:QVP21"/>
    <mergeCell ref="QVR20:QVR21"/>
    <mergeCell ref="QVT20:QVT21"/>
    <mergeCell ref="QVV20:QVV21"/>
    <mergeCell ref="QVX20:QVX21"/>
    <mergeCell ref="QVB20:QVB21"/>
    <mergeCell ref="QVD20:QVD21"/>
    <mergeCell ref="QVF20:QVF21"/>
    <mergeCell ref="QVH20:QVH21"/>
    <mergeCell ref="QVJ20:QVJ21"/>
    <mergeCell ref="QVL20:QVL21"/>
    <mergeCell ref="QUP20:QUP21"/>
    <mergeCell ref="QUR20:QUR21"/>
    <mergeCell ref="QUT20:QUT21"/>
    <mergeCell ref="QUV20:QUV21"/>
    <mergeCell ref="QUX20:QUX21"/>
    <mergeCell ref="QUZ20:QUZ21"/>
    <mergeCell ref="QUD20:QUD21"/>
    <mergeCell ref="QUF20:QUF21"/>
    <mergeCell ref="QUH20:QUH21"/>
    <mergeCell ref="QUJ20:QUJ21"/>
    <mergeCell ref="QUL20:QUL21"/>
    <mergeCell ref="QUN20:QUN21"/>
    <mergeCell ref="QTR20:QTR21"/>
    <mergeCell ref="QTT20:QTT21"/>
    <mergeCell ref="QTV20:QTV21"/>
    <mergeCell ref="QTX20:QTX21"/>
    <mergeCell ref="QTZ20:QTZ21"/>
    <mergeCell ref="QUB20:QUB21"/>
    <mergeCell ref="QTF20:QTF21"/>
    <mergeCell ref="QTH20:QTH21"/>
    <mergeCell ref="QTJ20:QTJ21"/>
    <mergeCell ref="QTL20:QTL21"/>
    <mergeCell ref="QTN20:QTN21"/>
    <mergeCell ref="QTP20:QTP21"/>
    <mergeCell ref="QST20:QST21"/>
    <mergeCell ref="QSV20:QSV21"/>
    <mergeCell ref="QSX20:QSX21"/>
    <mergeCell ref="QSZ20:QSZ21"/>
    <mergeCell ref="QTB20:QTB21"/>
    <mergeCell ref="QTD20:QTD21"/>
    <mergeCell ref="QSH20:QSH21"/>
    <mergeCell ref="QSJ20:QSJ21"/>
    <mergeCell ref="QSL20:QSL21"/>
    <mergeCell ref="QSN20:QSN21"/>
    <mergeCell ref="QSP20:QSP21"/>
    <mergeCell ref="QSR20:QSR21"/>
    <mergeCell ref="QRV20:QRV21"/>
    <mergeCell ref="QRX20:QRX21"/>
    <mergeCell ref="QRZ20:QRZ21"/>
    <mergeCell ref="QSB20:QSB21"/>
    <mergeCell ref="QSD20:QSD21"/>
    <mergeCell ref="QSF20:QSF21"/>
    <mergeCell ref="QRJ20:QRJ21"/>
    <mergeCell ref="QRL20:QRL21"/>
    <mergeCell ref="QRN20:QRN21"/>
    <mergeCell ref="QRP20:QRP21"/>
    <mergeCell ref="QRR20:QRR21"/>
    <mergeCell ref="QRT20:QRT21"/>
    <mergeCell ref="QQX20:QQX21"/>
    <mergeCell ref="QQZ20:QQZ21"/>
    <mergeCell ref="QRB20:QRB21"/>
    <mergeCell ref="QRD20:QRD21"/>
    <mergeCell ref="QRF20:QRF21"/>
    <mergeCell ref="QRH20:QRH21"/>
    <mergeCell ref="QQL20:QQL21"/>
    <mergeCell ref="QQN20:QQN21"/>
    <mergeCell ref="QQP20:QQP21"/>
    <mergeCell ref="QQR20:QQR21"/>
    <mergeCell ref="QQT20:QQT21"/>
    <mergeCell ref="QQV20:QQV21"/>
    <mergeCell ref="QPZ20:QPZ21"/>
    <mergeCell ref="QQB20:QQB21"/>
    <mergeCell ref="QQD20:QQD21"/>
    <mergeCell ref="QQF20:QQF21"/>
    <mergeCell ref="QQH20:QQH21"/>
    <mergeCell ref="QQJ20:QQJ21"/>
    <mergeCell ref="QPN20:QPN21"/>
    <mergeCell ref="QPP20:QPP21"/>
    <mergeCell ref="QPR20:QPR21"/>
    <mergeCell ref="QPT20:QPT21"/>
    <mergeCell ref="QPV20:QPV21"/>
    <mergeCell ref="QPX20:QPX21"/>
    <mergeCell ref="QPB20:QPB21"/>
    <mergeCell ref="QPD20:QPD21"/>
    <mergeCell ref="QPF20:QPF21"/>
    <mergeCell ref="QPH20:QPH21"/>
    <mergeCell ref="QPJ20:QPJ21"/>
    <mergeCell ref="QPL20:QPL21"/>
    <mergeCell ref="QOP20:QOP21"/>
    <mergeCell ref="QOR20:QOR21"/>
    <mergeCell ref="QOT20:QOT21"/>
    <mergeCell ref="QOV20:QOV21"/>
    <mergeCell ref="QOX20:QOX21"/>
    <mergeCell ref="QOZ20:QOZ21"/>
    <mergeCell ref="QOD20:QOD21"/>
    <mergeCell ref="QOF20:QOF21"/>
    <mergeCell ref="QOH20:QOH21"/>
    <mergeCell ref="QOJ20:QOJ21"/>
    <mergeCell ref="QOL20:QOL21"/>
    <mergeCell ref="QON20:QON21"/>
    <mergeCell ref="QNR20:QNR21"/>
    <mergeCell ref="QNT20:QNT21"/>
    <mergeCell ref="QNV20:QNV21"/>
    <mergeCell ref="QNX20:QNX21"/>
    <mergeCell ref="QNZ20:QNZ21"/>
    <mergeCell ref="QOB20:QOB21"/>
    <mergeCell ref="QNF20:QNF21"/>
    <mergeCell ref="QNH20:QNH21"/>
    <mergeCell ref="QNJ20:QNJ21"/>
    <mergeCell ref="QNL20:QNL21"/>
    <mergeCell ref="QNN20:QNN21"/>
    <mergeCell ref="QNP20:QNP21"/>
    <mergeCell ref="QMT20:QMT21"/>
    <mergeCell ref="QMV20:QMV21"/>
    <mergeCell ref="QMX20:QMX21"/>
    <mergeCell ref="QMZ20:QMZ21"/>
    <mergeCell ref="QNB20:QNB21"/>
    <mergeCell ref="QND20:QND21"/>
    <mergeCell ref="QMH20:QMH21"/>
    <mergeCell ref="QMJ20:QMJ21"/>
    <mergeCell ref="QML20:QML21"/>
    <mergeCell ref="QMN20:QMN21"/>
    <mergeCell ref="QMP20:QMP21"/>
    <mergeCell ref="QMR20:QMR21"/>
    <mergeCell ref="QLV20:QLV21"/>
    <mergeCell ref="QLX20:QLX21"/>
    <mergeCell ref="QLZ20:QLZ21"/>
    <mergeCell ref="QMB20:QMB21"/>
    <mergeCell ref="QMD20:QMD21"/>
    <mergeCell ref="QMF20:QMF21"/>
    <mergeCell ref="QLJ20:QLJ21"/>
    <mergeCell ref="QLL20:QLL21"/>
    <mergeCell ref="QLN20:QLN21"/>
    <mergeCell ref="QLP20:QLP21"/>
    <mergeCell ref="QLR20:QLR21"/>
    <mergeCell ref="QLT20:QLT21"/>
    <mergeCell ref="QKX20:QKX21"/>
    <mergeCell ref="QKZ20:QKZ21"/>
    <mergeCell ref="QLB20:QLB21"/>
    <mergeCell ref="QLD20:QLD21"/>
    <mergeCell ref="QLF20:QLF21"/>
    <mergeCell ref="QLH20:QLH21"/>
    <mergeCell ref="QKL20:QKL21"/>
    <mergeCell ref="QKN20:QKN21"/>
    <mergeCell ref="QKP20:QKP21"/>
    <mergeCell ref="QKR20:QKR21"/>
    <mergeCell ref="QKT20:QKT21"/>
    <mergeCell ref="QKV20:QKV21"/>
    <mergeCell ref="QJZ20:QJZ21"/>
    <mergeCell ref="QKB20:QKB21"/>
    <mergeCell ref="QKD20:QKD21"/>
    <mergeCell ref="QKF20:QKF21"/>
    <mergeCell ref="QKH20:QKH21"/>
    <mergeCell ref="QKJ20:QKJ21"/>
    <mergeCell ref="QJN20:QJN21"/>
    <mergeCell ref="QJP20:QJP21"/>
    <mergeCell ref="QJR20:QJR21"/>
    <mergeCell ref="QJT20:QJT21"/>
    <mergeCell ref="QJV20:QJV21"/>
    <mergeCell ref="QJX20:QJX21"/>
    <mergeCell ref="QJB20:QJB21"/>
    <mergeCell ref="QJD20:QJD21"/>
    <mergeCell ref="QJF20:QJF21"/>
    <mergeCell ref="QJH20:QJH21"/>
    <mergeCell ref="QJJ20:QJJ21"/>
    <mergeCell ref="QJL20:QJL21"/>
    <mergeCell ref="QIP20:QIP21"/>
    <mergeCell ref="QIR20:QIR21"/>
    <mergeCell ref="QIT20:QIT21"/>
    <mergeCell ref="QIV20:QIV21"/>
    <mergeCell ref="QIX20:QIX21"/>
    <mergeCell ref="QIZ20:QIZ21"/>
    <mergeCell ref="QID20:QID21"/>
    <mergeCell ref="QIF20:QIF21"/>
    <mergeCell ref="QIH20:QIH21"/>
    <mergeCell ref="QIJ20:QIJ21"/>
    <mergeCell ref="QIL20:QIL21"/>
    <mergeCell ref="QIN20:QIN21"/>
    <mergeCell ref="QHR20:QHR21"/>
    <mergeCell ref="QHT20:QHT21"/>
    <mergeCell ref="QHV20:QHV21"/>
    <mergeCell ref="QHX20:QHX21"/>
    <mergeCell ref="QHZ20:QHZ21"/>
    <mergeCell ref="QIB20:QIB21"/>
    <mergeCell ref="QHF20:QHF21"/>
    <mergeCell ref="QHH20:QHH21"/>
    <mergeCell ref="QHJ20:QHJ21"/>
    <mergeCell ref="QHL20:QHL21"/>
    <mergeCell ref="QHN20:QHN21"/>
    <mergeCell ref="QHP20:QHP21"/>
    <mergeCell ref="QGT20:QGT21"/>
    <mergeCell ref="QGV20:QGV21"/>
    <mergeCell ref="QGX20:QGX21"/>
    <mergeCell ref="QGZ20:QGZ21"/>
    <mergeCell ref="QHB20:QHB21"/>
    <mergeCell ref="QHD20:QHD21"/>
    <mergeCell ref="QGH20:QGH21"/>
    <mergeCell ref="QGJ20:QGJ21"/>
    <mergeCell ref="QGL20:QGL21"/>
    <mergeCell ref="QGN20:QGN21"/>
    <mergeCell ref="QGP20:QGP21"/>
    <mergeCell ref="QGR20:QGR21"/>
    <mergeCell ref="QFV20:QFV21"/>
    <mergeCell ref="QFX20:QFX21"/>
    <mergeCell ref="QFZ20:QFZ21"/>
    <mergeCell ref="QGB20:QGB21"/>
    <mergeCell ref="QGD20:QGD21"/>
    <mergeCell ref="QGF20:QGF21"/>
    <mergeCell ref="QFJ20:QFJ21"/>
    <mergeCell ref="QFL20:QFL21"/>
    <mergeCell ref="QFN20:QFN21"/>
    <mergeCell ref="QFP20:QFP21"/>
    <mergeCell ref="QFR20:QFR21"/>
    <mergeCell ref="QFT20:QFT21"/>
    <mergeCell ref="QEX20:QEX21"/>
    <mergeCell ref="QEZ20:QEZ21"/>
    <mergeCell ref="QFB20:QFB21"/>
    <mergeCell ref="QFD20:QFD21"/>
    <mergeCell ref="QFF20:QFF21"/>
    <mergeCell ref="QFH20:QFH21"/>
    <mergeCell ref="QEL20:QEL21"/>
    <mergeCell ref="QEN20:QEN21"/>
    <mergeCell ref="QEP20:QEP21"/>
    <mergeCell ref="QER20:QER21"/>
    <mergeCell ref="QET20:QET21"/>
    <mergeCell ref="QEV20:QEV21"/>
    <mergeCell ref="QDZ20:QDZ21"/>
    <mergeCell ref="QEB20:QEB21"/>
    <mergeCell ref="QED20:QED21"/>
    <mergeCell ref="QEF20:QEF21"/>
    <mergeCell ref="QEH20:QEH21"/>
    <mergeCell ref="QEJ20:QEJ21"/>
    <mergeCell ref="QDN20:QDN21"/>
    <mergeCell ref="QDP20:QDP21"/>
    <mergeCell ref="QDR20:QDR21"/>
    <mergeCell ref="QDT20:QDT21"/>
    <mergeCell ref="QDV20:QDV21"/>
    <mergeCell ref="QDX20:QDX21"/>
    <mergeCell ref="QDB20:QDB21"/>
    <mergeCell ref="QDD20:QDD21"/>
    <mergeCell ref="QDF20:QDF21"/>
    <mergeCell ref="QDH20:QDH21"/>
    <mergeCell ref="QDJ20:QDJ21"/>
    <mergeCell ref="QDL20:QDL21"/>
    <mergeCell ref="QCP20:QCP21"/>
    <mergeCell ref="QCR20:QCR21"/>
    <mergeCell ref="QCT20:QCT21"/>
    <mergeCell ref="QCV20:QCV21"/>
    <mergeCell ref="QCX20:QCX21"/>
    <mergeCell ref="QCZ20:QCZ21"/>
    <mergeCell ref="QCD20:QCD21"/>
    <mergeCell ref="QCF20:QCF21"/>
    <mergeCell ref="QCH20:QCH21"/>
    <mergeCell ref="QCJ20:QCJ21"/>
    <mergeCell ref="QCL20:QCL21"/>
    <mergeCell ref="QCN20:QCN21"/>
    <mergeCell ref="QBR20:QBR21"/>
    <mergeCell ref="QBT20:QBT21"/>
    <mergeCell ref="QBV20:QBV21"/>
    <mergeCell ref="QBX20:QBX21"/>
    <mergeCell ref="QBZ20:QBZ21"/>
    <mergeCell ref="QCB20:QCB21"/>
    <mergeCell ref="QBF20:QBF21"/>
    <mergeCell ref="QBH20:QBH21"/>
    <mergeCell ref="QBJ20:QBJ21"/>
    <mergeCell ref="QBL20:QBL21"/>
    <mergeCell ref="QBN20:QBN21"/>
    <mergeCell ref="QBP20:QBP21"/>
    <mergeCell ref="QAT20:QAT21"/>
    <mergeCell ref="QAV20:QAV21"/>
    <mergeCell ref="QAX20:QAX21"/>
    <mergeCell ref="QAZ20:QAZ21"/>
    <mergeCell ref="QBB20:QBB21"/>
    <mergeCell ref="QBD20:QBD21"/>
    <mergeCell ref="QAH20:QAH21"/>
    <mergeCell ref="QAJ20:QAJ21"/>
    <mergeCell ref="QAL20:QAL21"/>
    <mergeCell ref="QAN20:QAN21"/>
    <mergeCell ref="QAP20:QAP21"/>
    <mergeCell ref="QAR20:QAR21"/>
    <mergeCell ref="PZV20:PZV21"/>
    <mergeCell ref="PZX20:PZX21"/>
    <mergeCell ref="PZZ20:PZZ21"/>
    <mergeCell ref="QAB20:QAB21"/>
    <mergeCell ref="QAD20:QAD21"/>
    <mergeCell ref="QAF20:QAF21"/>
    <mergeCell ref="PZJ20:PZJ21"/>
    <mergeCell ref="PZL20:PZL21"/>
    <mergeCell ref="PZN20:PZN21"/>
    <mergeCell ref="PZP20:PZP21"/>
    <mergeCell ref="PZR20:PZR21"/>
    <mergeCell ref="PZT20:PZT21"/>
    <mergeCell ref="PYX20:PYX21"/>
    <mergeCell ref="PYZ20:PYZ21"/>
    <mergeCell ref="PZB20:PZB21"/>
    <mergeCell ref="PZD20:PZD21"/>
    <mergeCell ref="PZF20:PZF21"/>
    <mergeCell ref="PZH20:PZH21"/>
    <mergeCell ref="PYL20:PYL21"/>
    <mergeCell ref="PYN20:PYN21"/>
    <mergeCell ref="PYP20:PYP21"/>
    <mergeCell ref="PYR20:PYR21"/>
    <mergeCell ref="PYT20:PYT21"/>
    <mergeCell ref="PYV20:PYV21"/>
    <mergeCell ref="PXZ20:PXZ21"/>
    <mergeCell ref="PYB20:PYB21"/>
    <mergeCell ref="PYD20:PYD21"/>
    <mergeCell ref="PYF20:PYF21"/>
    <mergeCell ref="PYH20:PYH21"/>
    <mergeCell ref="PYJ20:PYJ21"/>
    <mergeCell ref="PXN20:PXN21"/>
    <mergeCell ref="PXP20:PXP21"/>
    <mergeCell ref="PXR20:PXR21"/>
    <mergeCell ref="PXT20:PXT21"/>
    <mergeCell ref="PXV20:PXV21"/>
    <mergeCell ref="PXX20:PXX21"/>
    <mergeCell ref="PXB20:PXB21"/>
    <mergeCell ref="PXD20:PXD21"/>
    <mergeCell ref="PXF20:PXF21"/>
    <mergeCell ref="PXH20:PXH21"/>
    <mergeCell ref="PXJ20:PXJ21"/>
    <mergeCell ref="PXL20:PXL21"/>
    <mergeCell ref="PWP20:PWP21"/>
    <mergeCell ref="PWR20:PWR21"/>
    <mergeCell ref="PWT20:PWT21"/>
    <mergeCell ref="PWV20:PWV21"/>
    <mergeCell ref="PWX20:PWX21"/>
    <mergeCell ref="PWZ20:PWZ21"/>
    <mergeCell ref="PWD20:PWD21"/>
    <mergeCell ref="PWF20:PWF21"/>
    <mergeCell ref="PWH20:PWH21"/>
    <mergeCell ref="PWJ20:PWJ21"/>
    <mergeCell ref="PWL20:PWL21"/>
    <mergeCell ref="PWN20:PWN21"/>
    <mergeCell ref="PVR20:PVR21"/>
    <mergeCell ref="PVT20:PVT21"/>
    <mergeCell ref="PVV20:PVV21"/>
    <mergeCell ref="PVX20:PVX21"/>
    <mergeCell ref="PVZ20:PVZ21"/>
    <mergeCell ref="PWB20:PWB21"/>
    <mergeCell ref="PVF20:PVF21"/>
    <mergeCell ref="PVH20:PVH21"/>
    <mergeCell ref="PVJ20:PVJ21"/>
    <mergeCell ref="PVL20:PVL21"/>
    <mergeCell ref="PVN20:PVN21"/>
    <mergeCell ref="PVP20:PVP21"/>
    <mergeCell ref="PUT20:PUT21"/>
    <mergeCell ref="PUV20:PUV21"/>
    <mergeCell ref="PUX20:PUX21"/>
    <mergeCell ref="PUZ20:PUZ21"/>
    <mergeCell ref="PVB20:PVB21"/>
    <mergeCell ref="PVD20:PVD21"/>
    <mergeCell ref="PUH20:PUH21"/>
    <mergeCell ref="PUJ20:PUJ21"/>
    <mergeCell ref="PUL20:PUL21"/>
    <mergeCell ref="PUN20:PUN21"/>
    <mergeCell ref="PUP20:PUP21"/>
    <mergeCell ref="PUR20:PUR21"/>
    <mergeCell ref="PTV20:PTV21"/>
    <mergeCell ref="PTX20:PTX21"/>
    <mergeCell ref="PTZ20:PTZ21"/>
    <mergeCell ref="PUB20:PUB21"/>
    <mergeCell ref="PUD20:PUD21"/>
    <mergeCell ref="PUF20:PUF21"/>
    <mergeCell ref="PTJ20:PTJ21"/>
    <mergeCell ref="PTL20:PTL21"/>
    <mergeCell ref="PTN20:PTN21"/>
    <mergeCell ref="PTP20:PTP21"/>
    <mergeCell ref="PTR20:PTR21"/>
    <mergeCell ref="PTT20:PTT21"/>
    <mergeCell ref="PSX20:PSX21"/>
    <mergeCell ref="PSZ20:PSZ21"/>
    <mergeCell ref="PTB20:PTB21"/>
    <mergeCell ref="PTD20:PTD21"/>
    <mergeCell ref="PTF20:PTF21"/>
    <mergeCell ref="PTH20:PTH21"/>
    <mergeCell ref="PSL20:PSL21"/>
    <mergeCell ref="PSN20:PSN21"/>
    <mergeCell ref="PSP20:PSP21"/>
    <mergeCell ref="PSR20:PSR21"/>
    <mergeCell ref="PST20:PST21"/>
    <mergeCell ref="PSV20:PSV21"/>
    <mergeCell ref="PRZ20:PRZ21"/>
    <mergeCell ref="PSB20:PSB21"/>
    <mergeCell ref="PSD20:PSD21"/>
    <mergeCell ref="PSF20:PSF21"/>
    <mergeCell ref="PSH20:PSH21"/>
    <mergeCell ref="PSJ20:PSJ21"/>
    <mergeCell ref="PRN20:PRN21"/>
    <mergeCell ref="PRP20:PRP21"/>
    <mergeCell ref="PRR20:PRR21"/>
    <mergeCell ref="PRT20:PRT21"/>
    <mergeCell ref="PRV20:PRV21"/>
    <mergeCell ref="PRX20:PRX21"/>
    <mergeCell ref="PRB20:PRB21"/>
    <mergeCell ref="PRD20:PRD21"/>
    <mergeCell ref="PRF20:PRF21"/>
    <mergeCell ref="PRH20:PRH21"/>
    <mergeCell ref="PRJ20:PRJ21"/>
    <mergeCell ref="PRL20:PRL21"/>
    <mergeCell ref="PQP20:PQP21"/>
    <mergeCell ref="PQR20:PQR21"/>
    <mergeCell ref="PQT20:PQT21"/>
    <mergeCell ref="PQV20:PQV21"/>
    <mergeCell ref="PQX20:PQX21"/>
    <mergeCell ref="PQZ20:PQZ21"/>
    <mergeCell ref="PQD20:PQD21"/>
    <mergeCell ref="PQF20:PQF21"/>
    <mergeCell ref="PQH20:PQH21"/>
    <mergeCell ref="PQJ20:PQJ21"/>
    <mergeCell ref="PQL20:PQL21"/>
    <mergeCell ref="PQN20:PQN21"/>
    <mergeCell ref="PPR20:PPR21"/>
    <mergeCell ref="PPT20:PPT21"/>
    <mergeCell ref="PPV20:PPV21"/>
    <mergeCell ref="PPX20:PPX21"/>
    <mergeCell ref="PPZ20:PPZ21"/>
    <mergeCell ref="PQB20:PQB21"/>
    <mergeCell ref="PPF20:PPF21"/>
    <mergeCell ref="PPH20:PPH21"/>
    <mergeCell ref="PPJ20:PPJ21"/>
    <mergeCell ref="PPL20:PPL21"/>
    <mergeCell ref="PPN20:PPN21"/>
    <mergeCell ref="PPP20:PPP21"/>
    <mergeCell ref="POT20:POT21"/>
    <mergeCell ref="POV20:POV21"/>
    <mergeCell ref="POX20:POX21"/>
    <mergeCell ref="POZ20:POZ21"/>
    <mergeCell ref="PPB20:PPB21"/>
    <mergeCell ref="PPD20:PPD21"/>
    <mergeCell ref="POH20:POH21"/>
    <mergeCell ref="POJ20:POJ21"/>
    <mergeCell ref="POL20:POL21"/>
    <mergeCell ref="PON20:PON21"/>
    <mergeCell ref="POP20:POP21"/>
    <mergeCell ref="POR20:POR21"/>
    <mergeCell ref="PNV20:PNV21"/>
    <mergeCell ref="PNX20:PNX21"/>
    <mergeCell ref="PNZ20:PNZ21"/>
    <mergeCell ref="POB20:POB21"/>
    <mergeCell ref="POD20:POD21"/>
    <mergeCell ref="POF20:POF21"/>
    <mergeCell ref="PNJ20:PNJ21"/>
    <mergeCell ref="PNL20:PNL21"/>
    <mergeCell ref="PNN20:PNN21"/>
    <mergeCell ref="PNP20:PNP21"/>
    <mergeCell ref="PNR20:PNR21"/>
    <mergeCell ref="PNT20:PNT21"/>
    <mergeCell ref="PMX20:PMX21"/>
    <mergeCell ref="PMZ20:PMZ21"/>
    <mergeCell ref="PNB20:PNB21"/>
    <mergeCell ref="PND20:PND21"/>
    <mergeCell ref="PNF20:PNF21"/>
    <mergeCell ref="PNH20:PNH21"/>
    <mergeCell ref="PML20:PML21"/>
    <mergeCell ref="PMN20:PMN21"/>
    <mergeCell ref="PMP20:PMP21"/>
    <mergeCell ref="PMR20:PMR21"/>
    <mergeCell ref="PMT20:PMT21"/>
    <mergeCell ref="PMV20:PMV21"/>
    <mergeCell ref="PLZ20:PLZ21"/>
    <mergeCell ref="PMB20:PMB21"/>
    <mergeCell ref="PMD20:PMD21"/>
    <mergeCell ref="PMF20:PMF21"/>
    <mergeCell ref="PMH20:PMH21"/>
    <mergeCell ref="PMJ20:PMJ21"/>
    <mergeCell ref="PLN20:PLN21"/>
    <mergeCell ref="PLP20:PLP21"/>
    <mergeCell ref="PLR20:PLR21"/>
    <mergeCell ref="PLT20:PLT21"/>
    <mergeCell ref="PLV20:PLV21"/>
    <mergeCell ref="PLX20:PLX21"/>
    <mergeCell ref="PLB20:PLB21"/>
    <mergeCell ref="PLD20:PLD21"/>
    <mergeCell ref="PLF20:PLF21"/>
    <mergeCell ref="PLH20:PLH21"/>
    <mergeCell ref="PLJ20:PLJ21"/>
    <mergeCell ref="PLL20:PLL21"/>
    <mergeCell ref="PKP20:PKP21"/>
    <mergeCell ref="PKR20:PKR21"/>
    <mergeCell ref="PKT20:PKT21"/>
    <mergeCell ref="PKV20:PKV21"/>
    <mergeCell ref="PKX20:PKX21"/>
    <mergeCell ref="PKZ20:PKZ21"/>
    <mergeCell ref="PKD20:PKD21"/>
    <mergeCell ref="PKF20:PKF21"/>
    <mergeCell ref="PKH20:PKH21"/>
    <mergeCell ref="PKJ20:PKJ21"/>
    <mergeCell ref="PKL20:PKL21"/>
    <mergeCell ref="PKN20:PKN21"/>
    <mergeCell ref="PJR20:PJR21"/>
    <mergeCell ref="PJT20:PJT21"/>
    <mergeCell ref="PJV20:PJV21"/>
    <mergeCell ref="PJX20:PJX21"/>
    <mergeCell ref="PJZ20:PJZ21"/>
    <mergeCell ref="PKB20:PKB21"/>
    <mergeCell ref="PJF20:PJF21"/>
    <mergeCell ref="PJH20:PJH21"/>
    <mergeCell ref="PJJ20:PJJ21"/>
    <mergeCell ref="PJL20:PJL21"/>
    <mergeCell ref="PJN20:PJN21"/>
    <mergeCell ref="PJP20:PJP21"/>
    <mergeCell ref="PIT20:PIT21"/>
    <mergeCell ref="PIV20:PIV21"/>
    <mergeCell ref="PIX20:PIX21"/>
    <mergeCell ref="PIZ20:PIZ21"/>
    <mergeCell ref="PJB20:PJB21"/>
    <mergeCell ref="PJD20:PJD21"/>
    <mergeCell ref="PIH20:PIH21"/>
    <mergeCell ref="PIJ20:PIJ21"/>
    <mergeCell ref="PIL20:PIL21"/>
    <mergeCell ref="PIN20:PIN21"/>
    <mergeCell ref="PIP20:PIP21"/>
    <mergeCell ref="PIR20:PIR21"/>
    <mergeCell ref="PHV20:PHV21"/>
    <mergeCell ref="PHX20:PHX21"/>
    <mergeCell ref="PHZ20:PHZ21"/>
    <mergeCell ref="PIB20:PIB21"/>
    <mergeCell ref="PID20:PID21"/>
    <mergeCell ref="PIF20:PIF21"/>
    <mergeCell ref="PHJ20:PHJ21"/>
    <mergeCell ref="PHL20:PHL21"/>
    <mergeCell ref="PHN20:PHN21"/>
    <mergeCell ref="PHP20:PHP21"/>
    <mergeCell ref="PHR20:PHR21"/>
    <mergeCell ref="PHT20:PHT21"/>
    <mergeCell ref="PGX20:PGX21"/>
    <mergeCell ref="PGZ20:PGZ21"/>
    <mergeCell ref="PHB20:PHB21"/>
    <mergeCell ref="PHD20:PHD21"/>
    <mergeCell ref="PHF20:PHF21"/>
    <mergeCell ref="PHH20:PHH21"/>
    <mergeCell ref="PGL20:PGL21"/>
    <mergeCell ref="PGN20:PGN21"/>
    <mergeCell ref="PGP20:PGP21"/>
    <mergeCell ref="PGR20:PGR21"/>
    <mergeCell ref="PGT20:PGT21"/>
    <mergeCell ref="PGV20:PGV21"/>
    <mergeCell ref="PFZ20:PFZ21"/>
    <mergeCell ref="PGB20:PGB21"/>
    <mergeCell ref="PGD20:PGD21"/>
    <mergeCell ref="PGF20:PGF21"/>
    <mergeCell ref="PGH20:PGH21"/>
    <mergeCell ref="PGJ20:PGJ21"/>
    <mergeCell ref="PFN20:PFN21"/>
    <mergeCell ref="PFP20:PFP21"/>
    <mergeCell ref="PFR20:PFR21"/>
    <mergeCell ref="PFT20:PFT21"/>
    <mergeCell ref="PFV20:PFV21"/>
    <mergeCell ref="PFX20:PFX21"/>
    <mergeCell ref="PFB20:PFB21"/>
    <mergeCell ref="PFD20:PFD21"/>
    <mergeCell ref="PFF20:PFF21"/>
    <mergeCell ref="PFH20:PFH21"/>
    <mergeCell ref="PFJ20:PFJ21"/>
    <mergeCell ref="PFL20:PFL21"/>
    <mergeCell ref="PEP20:PEP21"/>
    <mergeCell ref="PER20:PER21"/>
    <mergeCell ref="PET20:PET21"/>
    <mergeCell ref="PEV20:PEV21"/>
    <mergeCell ref="PEX20:PEX21"/>
    <mergeCell ref="PEZ20:PEZ21"/>
    <mergeCell ref="PED20:PED21"/>
    <mergeCell ref="PEF20:PEF21"/>
    <mergeCell ref="PEH20:PEH21"/>
    <mergeCell ref="PEJ20:PEJ21"/>
    <mergeCell ref="PEL20:PEL21"/>
    <mergeCell ref="PEN20:PEN21"/>
    <mergeCell ref="PDR20:PDR21"/>
    <mergeCell ref="PDT20:PDT21"/>
    <mergeCell ref="PDV20:PDV21"/>
    <mergeCell ref="PDX20:PDX21"/>
    <mergeCell ref="PDZ20:PDZ21"/>
    <mergeCell ref="PEB20:PEB21"/>
    <mergeCell ref="PDF20:PDF21"/>
    <mergeCell ref="PDH20:PDH21"/>
    <mergeCell ref="PDJ20:PDJ21"/>
    <mergeCell ref="PDL20:PDL21"/>
    <mergeCell ref="PDN20:PDN21"/>
    <mergeCell ref="PDP20:PDP21"/>
    <mergeCell ref="PCT20:PCT21"/>
    <mergeCell ref="PCV20:PCV21"/>
    <mergeCell ref="PCX20:PCX21"/>
    <mergeCell ref="PCZ20:PCZ21"/>
    <mergeCell ref="PDB20:PDB21"/>
    <mergeCell ref="PDD20:PDD21"/>
    <mergeCell ref="PCH20:PCH21"/>
    <mergeCell ref="PCJ20:PCJ21"/>
    <mergeCell ref="PCL20:PCL21"/>
    <mergeCell ref="PCN20:PCN21"/>
    <mergeCell ref="PCP20:PCP21"/>
    <mergeCell ref="PCR20:PCR21"/>
    <mergeCell ref="PBV20:PBV21"/>
    <mergeCell ref="PBX20:PBX21"/>
    <mergeCell ref="PBZ20:PBZ21"/>
    <mergeCell ref="PCB20:PCB21"/>
    <mergeCell ref="PCD20:PCD21"/>
    <mergeCell ref="PCF20:PCF21"/>
    <mergeCell ref="PBJ20:PBJ21"/>
    <mergeCell ref="PBL20:PBL21"/>
    <mergeCell ref="PBN20:PBN21"/>
    <mergeCell ref="PBP20:PBP21"/>
    <mergeCell ref="PBR20:PBR21"/>
    <mergeCell ref="PBT20:PBT21"/>
    <mergeCell ref="PAX20:PAX21"/>
    <mergeCell ref="PAZ20:PAZ21"/>
    <mergeCell ref="PBB20:PBB21"/>
    <mergeCell ref="PBD20:PBD21"/>
    <mergeCell ref="PBF20:PBF21"/>
    <mergeCell ref="PBH20:PBH21"/>
    <mergeCell ref="PAL20:PAL21"/>
    <mergeCell ref="PAN20:PAN21"/>
    <mergeCell ref="PAP20:PAP21"/>
    <mergeCell ref="PAR20:PAR21"/>
    <mergeCell ref="PAT20:PAT21"/>
    <mergeCell ref="PAV20:PAV21"/>
    <mergeCell ref="OZZ20:OZZ21"/>
    <mergeCell ref="PAB20:PAB21"/>
    <mergeCell ref="PAD20:PAD21"/>
    <mergeCell ref="PAF20:PAF21"/>
    <mergeCell ref="PAH20:PAH21"/>
    <mergeCell ref="PAJ20:PAJ21"/>
    <mergeCell ref="OZN20:OZN21"/>
    <mergeCell ref="OZP20:OZP21"/>
    <mergeCell ref="OZR20:OZR21"/>
    <mergeCell ref="OZT20:OZT21"/>
    <mergeCell ref="OZV20:OZV21"/>
    <mergeCell ref="OZX20:OZX21"/>
    <mergeCell ref="OZB20:OZB21"/>
    <mergeCell ref="OZD20:OZD21"/>
    <mergeCell ref="OZF20:OZF21"/>
    <mergeCell ref="OZH20:OZH21"/>
    <mergeCell ref="OZJ20:OZJ21"/>
    <mergeCell ref="OZL20:OZL21"/>
    <mergeCell ref="OYP20:OYP21"/>
    <mergeCell ref="OYR20:OYR21"/>
    <mergeCell ref="OYT20:OYT21"/>
    <mergeCell ref="OYV20:OYV21"/>
    <mergeCell ref="OYX20:OYX21"/>
    <mergeCell ref="OYZ20:OYZ21"/>
    <mergeCell ref="OYD20:OYD21"/>
    <mergeCell ref="OYF20:OYF21"/>
    <mergeCell ref="OYH20:OYH21"/>
    <mergeCell ref="OYJ20:OYJ21"/>
    <mergeCell ref="OYL20:OYL21"/>
    <mergeCell ref="OYN20:OYN21"/>
    <mergeCell ref="OXR20:OXR21"/>
    <mergeCell ref="OXT20:OXT21"/>
    <mergeCell ref="OXV20:OXV21"/>
    <mergeCell ref="OXX20:OXX21"/>
    <mergeCell ref="OXZ20:OXZ21"/>
    <mergeCell ref="OYB20:OYB21"/>
    <mergeCell ref="OXF20:OXF21"/>
    <mergeCell ref="OXH20:OXH21"/>
    <mergeCell ref="OXJ20:OXJ21"/>
    <mergeCell ref="OXL20:OXL21"/>
    <mergeCell ref="OXN20:OXN21"/>
    <mergeCell ref="OXP20:OXP21"/>
    <mergeCell ref="OWT20:OWT21"/>
    <mergeCell ref="OWV20:OWV21"/>
    <mergeCell ref="OWX20:OWX21"/>
    <mergeCell ref="OWZ20:OWZ21"/>
    <mergeCell ref="OXB20:OXB21"/>
    <mergeCell ref="OXD20:OXD21"/>
    <mergeCell ref="OWH20:OWH21"/>
    <mergeCell ref="OWJ20:OWJ21"/>
    <mergeCell ref="OWL20:OWL21"/>
    <mergeCell ref="OWN20:OWN21"/>
    <mergeCell ref="OWP20:OWP21"/>
    <mergeCell ref="OWR20:OWR21"/>
    <mergeCell ref="OVV20:OVV21"/>
    <mergeCell ref="OVX20:OVX21"/>
    <mergeCell ref="OVZ20:OVZ21"/>
    <mergeCell ref="OWB20:OWB21"/>
    <mergeCell ref="OWD20:OWD21"/>
    <mergeCell ref="OWF20:OWF21"/>
    <mergeCell ref="OVJ20:OVJ21"/>
    <mergeCell ref="OVL20:OVL21"/>
    <mergeCell ref="OVN20:OVN21"/>
    <mergeCell ref="OVP20:OVP21"/>
    <mergeCell ref="OVR20:OVR21"/>
    <mergeCell ref="OVT20:OVT21"/>
    <mergeCell ref="OUX20:OUX21"/>
    <mergeCell ref="OUZ20:OUZ21"/>
    <mergeCell ref="OVB20:OVB21"/>
    <mergeCell ref="OVD20:OVD21"/>
    <mergeCell ref="OVF20:OVF21"/>
    <mergeCell ref="OVH20:OVH21"/>
    <mergeCell ref="OUL20:OUL21"/>
    <mergeCell ref="OUN20:OUN21"/>
    <mergeCell ref="OUP20:OUP21"/>
    <mergeCell ref="OUR20:OUR21"/>
    <mergeCell ref="OUT20:OUT21"/>
    <mergeCell ref="OUV20:OUV21"/>
    <mergeCell ref="OTZ20:OTZ21"/>
    <mergeCell ref="OUB20:OUB21"/>
    <mergeCell ref="OUD20:OUD21"/>
    <mergeCell ref="OUF20:OUF21"/>
    <mergeCell ref="OUH20:OUH21"/>
    <mergeCell ref="OUJ20:OUJ21"/>
    <mergeCell ref="OTN20:OTN21"/>
    <mergeCell ref="OTP20:OTP21"/>
    <mergeCell ref="OTR20:OTR21"/>
    <mergeCell ref="OTT20:OTT21"/>
    <mergeCell ref="OTV20:OTV21"/>
    <mergeCell ref="OTX20:OTX21"/>
    <mergeCell ref="OTB20:OTB21"/>
    <mergeCell ref="OTD20:OTD21"/>
    <mergeCell ref="OTF20:OTF21"/>
    <mergeCell ref="OTH20:OTH21"/>
    <mergeCell ref="OTJ20:OTJ21"/>
    <mergeCell ref="OTL20:OTL21"/>
    <mergeCell ref="OSP20:OSP21"/>
    <mergeCell ref="OSR20:OSR21"/>
    <mergeCell ref="OST20:OST21"/>
    <mergeCell ref="OSV20:OSV21"/>
    <mergeCell ref="OSX20:OSX21"/>
    <mergeCell ref="OSZ20:OSZ21"/>
    <mergeCell ref="OSD20:OSD21"/>
    <mergeCell ref="OSF20:OSF21"/>
    <mergeCell ref="OSH20:OSH21"/>
    <mergeCell ref="OSJ20:OSJ21"/>
    <mergeCell ref="OSL20:OSL21"/>
    <mergeCell ref="OSN20:OSN21"/>
    <mergeCell ref="ORR20:ORR21"/>
    <mergeCell ref="ORT20:ORT21"/>
    <mergeCell ref="ORV20:ORV21"/>
    <mergeCell ref="ORX20:ORX21"/>
    <mergeCell ref="ORZ20:ORZ21"/>
    <mergeCell ref="OSB20:OSB21"/>
    <mergeCell ref="ORF20:ORF21"/>
    <mergeCell ref="ORH20:ORH21"/>
    <mergeCell ref="ORJ20:ORJ21"/>
    <mergeCell ref="ORL20:ORL21"/>
    <mergeCell ref="ORN20:ORN21"/>
    <mergeCell ref="ORP20:ORP21"/>
    <mergeCell ref="OQT20:OQT21"/>
    <mergeCell ref="OQV20:OQV21"/>
    <mergeCell ref="OQX20:OQX21"/>
    <mergeCell ref="OQZ20:OQZ21"/>
    <mergeCell ref="ORB20:ORB21"/>
    <mergeCell ref="ORD20:ORD21"/>
    <mergeCell ref="OQH20:OQH21"/>
    <mergeCell ref="OQJ20:OQJ21"/>
    <mergeCell ref="OQL20:OQL21"/>
    <mergeCell ref="OQN20:OQN21"/>
    <mergeCell ref="OQP20:OQP21"/>
    <mergeCell ref="OQR20:OQR21"/>
    <mergeCell ref="OPV20:OPV21"/>
    <mergeCell ref="OPX20:OPX21"/>
    <mergeCell ref="OPZ20:OPZ21"/>
    <mergeCell ref="OQB20:OQB21"/>
    <mergeCell ref="OQD20:OQD21"/>
    <mergeCell ref="OQF20:OQF21"/>
    <mergeCell ref="OPJ20:OPJ21"/>
    <mergeCell ref="OPL20:OPL21"/>
    <mergeCell ref="OPN20:OPN21"/>
    <mergeCell ref="OPP20:OPP21"/>
    <mergeCell ref="OPR20:OPR21"/>
    <mergeCell ref="OPT20:OPT21"/>
    <mergeCell ref="OOX20:OOX21"/>
    <mergeCell ref="OOZ20:OOZ21"/>
    <mergeCell ref="OPB20:OPB21"/>
    <mergeCell ref="OPD20:OPD21"/>
    <mergeCell ref="OPF20:OPF21"/>
    <mergeCell ref="OPH20:OPH21"/>
    <mergeCell ref="OOL20:OOL21"/>
    <mergeCell ref="OON20:OON21"/>
    <mergeCell ref="OOP20:OOP21"/>
    <mergeCell ref="OOR20:OOR21"/>
    <mergeCell ref="OOT20:OOT21"/>
    <mergeCell ref="OOV20:OOV21"/>
    <mergeCell ref="ONZ20:ONZ21"/>
    <mergeCell ref="OOB20:OOB21"/>
    <mergeCell ref="OOD20:OOD21"/>
    <mergeCell ref="OOF20:OOF21"/>
    <mergeCell ref="OOH20:OOH21"/>
    <mergeCell ref="OOJ20:OOJ21"/>
    <mergeCell ref="ONN20:ONN21"/>
    <mergeCell ref="ONP20:ONP21"/>
    <mergeCell ref="ONR20:ONR21"/>
    <mergeCell ref="ONT20:ONT21"/>
    <mergeCell ref="ONV20:ONV21"/>
    <mergeCell ref="ONX20:ONX21"/>
    <mergeCell ref="ONB20:ONB21"/>
    <mergeCell ref="OND20:OND21"/>
    <mergeCell ref="ONF20:ONF21"/>
    <mergeCell ref="ONH20:ONH21"/>
    <mergeCell ref="ONJ20:ONJ21"/>
    <mergeCell ref="ONL20:ONL21"/>
    <mergeCell ref="OMP20:OMP21"/>
    <mergeCell ref="OMR20:OMR21"/>
    <mergeCell ref="OMT20:OMT21"/>
    <mergeCell ref="OMV20:OMV21"/>
    <mergeCell ref="OMX20:OMX21"/>
    <mergeCell ref="OMZ20:OMZ21"/>
    <mergeCell ref="OMD20:OMD21"/>
    <mergeCell ref="OMF20:OMF21"/>
    <mergeCell ref="OMH20:OMH21"/>
    <mergeCell ref="OMJ20:OMJ21"/>
    <mergeCell ref="OML20:OML21"/>
    <mergeCell ref="OMN20:OMN21"/>
    <mergeCell ref="OLR20:OLR21"/>
    <mergeCell ref="OLT20:OLT21"/>
    <mergeCell ref="OLV20:OLV21"/>
    <mergeCell ref="OLX20:OLX21"/>
    <mergeCell ref="OLZ20:OLZ21"/>
    <mergeCell ref="OMB20:OMB21"/>
    <mergeCell ref="OLF20:OLF21"/>
    <mergeCell ref="OLH20:OLH21"/>
    <mergeCell ref="OLJ20:OLJ21"/>
    <mergeCell ref="OLL20:OLL21"/>
    <mergeCell ref="OLN20:OLN21"/>
    <mergeCell ref="OLP20:OLP21"/>
    <mergeCell ref="OKT20:OKT21"/>
    <mergeCell ref="OKV20:OKV21"/>
    <mergeCell ref="OKX20:OKX21"/>
    <mergeCell ref="OKZ20:OKZ21"/>
    <mergeCell ref="OLB20:OLB21"/>
    <mergeCell ref="OLD20:OLD21"/>
    <mergeCell ref="OKH20:OKH21"/>
    <mergeCell ref="OKJ20:OKJ21"/>
    <mergeCell ref="OKL20:OKL21"/>
    <mergeCell ref="OKN20:OKN21"/>
    <mergeCell ref="OKP20:OKP21"/>
    <mergeCell ref="OKR20:OKR21"/>
    <mergeCell ref="OJV20:OJV21"/>
    <mergeCell ref="OJX20:OJX21"/>
    <mergeCell ref="OJZ20:OJZ21"/>
    <mergeCell ref="OKB20:OKB21"/>
    <mergeCell ref="OKD20:OKD21"/>
    <mergeCell ref="OKF20:OKF21"/>
    <mergeCell ref="OJJ20:OJJ21"/>
    <mergeCell ref="OJL20:OJL21"/>
    <mergeCell ref="OJN20:OJN21"/>
    <mergeCell ref="OJP20:OJP21"/>
    <mergeCell ref="OJR20:OJR21"/>
    <mergeCell ref="OJT20:OJT21"/>
    <mergeCell ref="OIX20:OIX21"/>
    <mergeCell ref="OIZ20:OIZ21"/>
    <mergeCell ref="OJB20:OJB21"/>
    <mergeCell ref="OJD20:OJD21"/>
    <mergeCell ref="OJF20:OJF21"/>
    <mergeCell ref="OJH20:OJH21"/>
    <mergeCell ref="OIL20:OIL21"/>
    <mergeCell ref="OIN20:OIN21"/>
    <mergeCell ref="OIP20:OIP21"/>
    <mergeCell ref="OIR20:OIR21"/>
    <mergeCell ref="OIT20:OIT21"/>
    <mergeCell ref="OIV20:OIV21"/>
    <mergeCell ref="OHZ20:OHZ21"/>
    <mergeCell ref="OIB20:OIB21"/>
    <mergeCell ref="OID20:OID21"/>
    <mergeCell ref="OIF20:OIF21"/>
    <mergeCell ref="OIH20:OIH21"/>
    <mergeCell ref="OIJ20:OIJ21"/>
    <mergeCell ref="OHN20:OHN21"/>
    <mergeCell ref="OHP20:OHP21"/>
    <mergeCell ref="OHR20:OHR21"/>
    <mergeCell ref="OHT20:OHT21"/>
    <mergeCell ref="OHV20:OHV21"/>
    <mergeCell ref="OHX20:OHX21"/>
    <mergeCell ref="OHB20:OHB21"/>
    <mergeCell ref="OHD20:OHD21"/>
    <mergeCell ref="OHF20:OHF21"/>
    <mergeCell ref="OHH20:OHH21"/>
    <mergeCell ref="OHJ20:OHJ21"/>
    <mergeCell ref="OHL20:OHL21"/>
    <mergeCell ref="OGP20:OGP21"/>
    <mergeCell ref="OGR20:OGR21"/>
    <mergeCell ref="OGT20:OGT21"/>
    <mergeCell ref="OGV20:OGV21"/>
    <mergeCell ref="OGX20:OGX21"/>
    <mergeCell ref="OGZ20:OGZ21"/>
    <mergeCell ref="OGD20:OGD21"/>
    <mergeCell ref="OGF20:OGF21"/>
    <mergeCell ref="OGH20:OGH21"/>
    <mergeCell ref="OGJ20:OGJ21"/>
    <mergeCell ref="OGL20:OGL21"/>
    <mergeCell ref="OGN20:OGN21"/>
    <mergeCell ref="OFR20:OFR21"/>
    <mergeCell ref="OFT20:OFT21"/>
    <mergeCell ref="OFV20:OFV21"/>
    <mergeCell ref="OFX20:OFX21"/>
    <mergeCell ref="OFZ20:OFZ21"/>
    <mergeCell ref="OGB20:OGB21"/>
    <mergeCell ref="OFF20:OFF21"/>
    <mergeCell ref="OFH20:OFH21"/>
    <mergeCell ref="OFJ20:OFJ21"/>
    <mergeCell ref="OFL20:OFL21"/>
    <mergeCell ref="OFN20:OFN21"/>
    <mergeCell ref="OFP20:OFP21"/>
    <mergeCell ref="OET20:OET21"/>
    <mergeCell ref="OEV20:OEV21"/>
    <mergeCell ref="OEX20:OEX21"/>
    <mergeCell ref="OEZ20:OEZ21"/>
    <mergeCell ref="OFB20:OFB21"/>
    <mergeCell ref="OFD20:OFD21"/>
    <mergeCell ref="OEH20:OEH21"/>
    <mergeCell ref="OEJ20:OEJ21"/>
    <mergeCell ref="OEL20:OEL21"/>
    <mergeCell ref="OEN20:OEN21"/>
    <mergeCell ref="OEP20:OEP21"/>
    <mergeCell ref="OER20:OER21"/>
    <mergeCell ref="ODV20:ODV21"/>
    <mergeCell ref="ODX20:ODX21"/>
    <mergeCell ref="ODZ20:ODZ21"/>
    <mergeCell ref="OEB20:OEB21"/>
    <mergeCell ref="OED20:OED21"/>
    <mergeCell ref="OEF20:OEF21"/>
    <mergeCell ref="ODJ20:ODJ21"/>
    <mergeCell ref="ODL20:ODL21"/>
    <mergeCell ref="ODN20:ODN21"/>
    <mergeCell ref="ODP20:ODP21"/>
    <mergeCell ref="ODR20:ODR21"/>
    <mergeCell ref="ODT20:ODT21"/>
    <mergeCell ref="OCX20:OCX21"/>
    <mergeCell ref="OCZ20:OCZ21"/>
    <mergeCell ref="ODB20:ODB21"/>
    <mergeCell ref="ODD20:ODD21"/>
    <mergeCell ref="ODF20:ODF21"/>
    <mergeCell ref="ODH20:ODH21"/>
    <mergeCell ref="OCL20:OCL21"/>
    <mergeCell ref="OCN20:OCN21"/>
    <mergeCell ref="OCP20:OCP21"/>
    <mergeCell ref="OCR20:OCR21"/>
    <mergeCell ref="OCT20:OCT21"/>
    <mergeCell ref="OCV20:OCV21"/>
    <mergeCell ref="OBZ20:OBZ21"/>
    <mergeCell ref="OCB20:OCB21"/>
    <mergeCell ref="OCD20:OCD21"/>
    <mergeCell ref="OCF20:OCF21"/>
    <mergeCell ref="OCH20:OCH21"/>
    <mergeCell ref="OCJ20:OCJ21"/>
    <mergeCell ref="OBN20:OBN21"/>
    <mergeCell ref="OBP20:OBP21"/>
    <mergeCell ref="OBR20:OBR21"/>
    <mergeCell ref="OBT20:OBT21"/>
    <mergeCell ref="OBV20:OBV21"/>
    <mergeCell ref="OBX20:OBX21"/>
    <mergeCell ref="OBB20:OBB21"/>
    <mergeCell ref="OBD20:OBD21"/>
    <mergeCell ref="OBF20:OBF21"/>
    <mergeCell ref="OBH20:OBH21"/>
    <mergeCell ref="OBJ20:OBJ21"/>
    <mergeCell ref="OBL20:OBL21"/>
    <mergeCell ref="OAP20:OAP21"/>
    <mergeCell ref="OAR20:OAR21"/>
    <mergeCell ref="OAT20:OAT21"/>
    <mergeCell ref="OAV20:OAV21"/>
    <mergeCell ref="OAX20:OAX21"/>
    <mergeCell ref="OAZ20:OAZ21"/>
    <mergeCell ref="OAD20:OAD21"/>
    <mergeCell ref="OAF20:OAF21"/>
    <mergeCell ref="OAH20:OAH21"/>
    <mergeCell ref="OAJ20:OAJ21"/>
    <mergeCell ref="OAL20:OAL21"/>
    <mergeCell ref="OAN20:OAN21"/>
    <mergeCell ref="NZR20:NZR21"/>
    <mergeCell ref="NZT20:NZT21"/>
    <mergeCell ref="NZV20:NZV21"/>
    <mergeCell ref="NZX20:NZX21"/>
    <mergeCell ref="NZZ20:NZZ21"/>
    <mergeCell ref="OAB20:OAB21"/>
    <mergeCell ref="NZF20:NZF21"/>
    <mergeCell ref="NZH20:NZH21"/>
    <mergeCell ref="NZJ20:NZJ21"/>
    <mergeCell ref="NZL20:NZL21"/>
    <mergeCell ref="NZN20:NZN21"/>
    <mergeCell ref="NZP20:NZP21"/>
    <mergeCell ref="NYT20:NYT21"/>
    <mergeCell ref="NYV20:NYV21"/>
    <mergeCell ref="NYX20:NYX21"/>
    <mergeCell ref="NYZ20:NYZ21"/>
    <mergeCell ref="NZB20:NZB21"/>
    <mergeCell ref="NZD20:NZD21"/>
    <mergeCell ref="NYH20:NYH21"/>
    <mergeCell ref="NYJ20:NYJ21"/>
    <mergeCell ref="NYL20:NYL21"/>
    <mergeCell ref="NYN20:NYN21"/>
    <mergeCell ref="NYP20:NYP21"/>
    <mergeCell ref="NYR20:NYR21"/>
    <mergeCell ref="NXV20:NXV21"/>
    <mergeCell ref="NXX20:NXX21"/>
    <mergeCell ref="NXZ20:NXZ21"/>
    <mergeCell ref="NYB20:NYB21"/>
    <mergeCell ref="NYD20:NYD21"/>
    <mergeCell ref="NYF20:NYF21"/>
    <mergeCell ref="NXJ20:NXJ21"/>
    <mergeCell ref="NXL20:NXL21"/>
    <mergeCell ref="NXN20:NXN21"/>
    <mergeCell ref="NXP20:NXP21"/>
    <mergeCell ref="NXR20:NXR21"/>
    <mergeCell ref="NXT20:NXT21"/>
    <mergeCell ref="NWX20:NWX21"/>
    <mergeCell ref="NWZ20:NWZ21"/>
    <mergeCell ref="NXB20:NXB21"/>
    <mergeCell ref="NXD20:NXD21"/>
    <mergeCell ref="NXF20:NXF21"/>
    <mergeCell ref="NXH20:NXH21"/>
    <mergeCell ref="NWL20:NWL21"/>
    <mergeCell ref="NWN20:NWN21"/>
    <mergeCell ref="NWP20:NWP21"/>
    <mergeCell ref="NWR20:NWR21"/>
    <mergeCell ref="NWT20:NWT21"/>
    <mergeCell ref="NWV20:NWV21"/>
    <mergeCell ref="NVZ20:NVZ21"/>
    <mergeCell ref="NWB20:NWB21"/>
    <mergeCell ref="NWD20:NWD21"/>
    <mergeCell ref="NWF20:NWF21"/>
    <mergeCell ref="NWH20:NWH21"/>
    <mergeCell ref="NWJ20:NWJ21"/>
    <mergeCell ref="NVN20:NVN21"/>
    <mergeCell ref="NVP20:NVP21"/>
    <mergeCell ref="NVR20:NVR21"/>
    <mergeCell ref="NVT20:NVT21"/>
    <mergeCell ref="NVV20:NVV21"/>
    <mergeCell ref="NVX20:NVX21"/>
    <mergeCell ref="NVB20:NVB21"/>
    <mergeCell ref="NVD20:NVD21"/>
    <mergeCell ref="NVF20:NVF21"/>
    <mergeCell ref="NVH20:NVH21"/>
    <mergeCell ref="NVJ20:NVJ21"/>
    <mergeCell ref="NVL20:NVL21"/>
    <mergeCell ref="NUP20:NUP21"/>
    <mergeCell ref="NUR20:NUR21"/>
    <mergeCell ref="NUT20:NUT21"/>
    <mergeCell ref="NUV20:NUV21"/>
    <mergeCell ref="NUX20:NUX21"/>
    <mergeCell ref="NUZ20:NUZ21"/>
    <mergeCell ref="NUD20:NUD21"/>
    <mergeCell ref="NUF20:NUF21"/>
    <mergeCell ref="NUH20:NUH21"/>
    <mergeCell ref="NUJ20:NUJ21"/>
    <mergeCell ref="NUL20:NUL21"/>
    <mergeCell ref="NUN20:NUN21"/>
    <mergeCell ref="NTR20:NTR21"/>
    <mergeCell ref="NTT20:NTT21"/>
    <mergeCell ref="NTV20:NTV21"/>
    <mergeCell ref="NTX20:NTX21"/>
    <mergeCell ref="NTZ20:NTZ21"/>
    <mergeCell ref="NUB20:NUB21"/>
    <mergeCell ref="NTF20:NTF21"/>
    <mergeCell ref="NTH20:NTH21"/>
    <mergeCell ref="NTJ20:NTJ21"/>
    <mergeCell ref="NTL20:NTL21"/>
    <mergeCell ref="NTN20:NTN21"/>
    <mergeCell ref="NTP20:NTP21"/>
    <mergeCell ref="NST20:NST21"/>
    <mergeCell ref="NSV20:NSV21"/>
    <mergeCell ref="NSX20:NSX21"/>
    <mergeCell ref="NSZ20:NSZ21"/>
    <mergeCell ref="NTB20:NTB21"/>
    <mergeCell ref="NTD20:NTD21"/>
    <mergeCell ref="NSH20:NSH21"/>
    <mergeCell ref="NSJ20:NSJ21"/>
    <mergeCell ref="NSL20:NSL21"/>
    <mergeCell ref="NSN20:NSN21"/>
    <mergeCell ref="NSP20:NSP21"/>
    <mergeCell ref="NSR20:NSR21"/>
    <mergeCell ref="NRV20:NRV21"/>
    <mergeCell ref="NRX20:NRX21"/>
    <mergeCell ref="NRZ20:NRZ21"/>
    <mergeCell ref="NSB20:NSB21"/>
    <mergeCell ref="NSD20:NSD21"/>
    <mergeCell ref="NSF20:NSF21"/>
    <mergeCell ref="NRJ20:NRJ21"/>
    <mergeCell ref="NRL20:NRL21"/>
    <mergeCell ref="NRN20:NRN21"/>
    <mergeCell ref="NRP20:NRP21"/>
    <mergeCell ref="NRR20:NRR21"/>
    <mergeCell ref="NRT20:NRT21"/>
    <mergeCell ref="NQX20:NQX21"/>
    <mergeCell ref="NQZ20:NQZ21"/>
    <mergeCell ref="NRB20:NRB21"/>
    <mergeCell ref="NRD20:NRD21"/>
    <mergeCell ref="NRF20:NRF21"/>
    <mergeCell ref="NRH20:NRH21"/>
    <mergeCell ref="NQL20:NQL21"/>
    <mergeCell ref="NQN20:NQN21"/>
    <mergeCell ref="NQP20:NQP21"/>
    <mergeCell ref="NQR20:NQR21"/>
    <mergeCell ref="NQT20:NQT21"/>
    <mergeCell ref="NQV20:NQV21"/>
    <mergeCell ref="NPZ20:NPZ21"/>
    <mergeCell ref="NQB20:NQB21"/>
    <mergeCell ref="NQD20:NQD21"/>
    <mergeCell ref="NQF20:NQF21"/>
    <mergeCell ref="NQH20:NQH21"/>
    <mergeCell ref="NQJ20:NQJ21"/>
    <mergeCell ref="NPN20:NPN21"/>
    <mergeCell ref="NPP20:NPP21"/>
    <mergeCell ref="NPR20:NPR21"/>
    <mergeCell ref="NPT20:NPT21"/>
    <mergeCell ref="NPV20:NPV21"/>
    <mergeCell ref="NPX20:NPX21"/>
    <mergeCell ref="NPB20:NPB21"/>
    <mergeCell ref="NPD20:NPD21"/>
    <mergeCell ref="NPF20:NPF21"/>
    <mergeCell ref="NPH20:NPH21"/>
    <mergeCell ref="NPJ20:NPJ21"/>
    <mergeCell ref="NPL20:NPL21"/>
    <mergeCell ref="NOP20:NOP21"/>
    <mergeCell ref="NOR20:NOR21"/>
    <mergeCell ref="NOT20:NOT21"/>
    <mergeCell ref="NOV20:NOV21"/>
    <mergeCell ref="NOX20:NOX21"/>
    <mergeCell ref="NOZ20:NOZ21"/>
    <mergeCell ref="NOD20:NOD21"/>
    <mergeCell ref="NOF20:NOF21"/>
    <mergeCell ref="NOH20:NOH21"/>
    <mergeCell ref="NOJ20:NOJ21"/>
    <mergeCell ref="NOL20:NOL21"/>
    <mergeCell ref="NON20:NON21"/>
    <mergeCell ref="NNR20:NNR21"/>
    <mergeCell ref="NNT20:NNT21"/>
    <mergeCell ref="NNV20:NNV21"/>
    <mergeCell ref="NNX20:NNX21"/>
    <mergeCell ref="NNZ20:NNZ21"/>
    <mergeCell ref="NOB20:NOB21"/>
    <mergeCell ref="NNF20:NNF21"/>
    <mergeCell ref="NNH20:NNH21"/>
    <mergeCell ref="NNJ20:NNJ21"/>
    <mergeCell ref="NNL20:NNL21"/>
    <mergeCell ref="NNN20:NNN21"/>
    <mergeCell ref="NNP20:NNP21"/>
    <mergeCell ref="NMT20:NMT21"/>
    <mergeCell ref="NMV20:NMV21"/>
    <mergeCell ref="NMX20:NMX21"/>
    <mergeCell ref="NMZ20:NMZ21"/>
    <mergeCell ref="NNB20:NNB21"/>
    <mergeCell ref="NND20:NND21"/>
    <mergeCell ref="NMH20:NMH21"/>
    <mergeCell ref="NMJ20:NMJ21"/>
    <mergeCell ref="NML20:NML21"/>
    <mergeCell ref="NMN20:NMN21"/>
    <mergeCell ref="NMP20:NMP21"/>
    <mergeCell ref="NMR20:NMR21"/>
    <mergeCell ref="NLV20:NLV21"/>
    <mergeCell ref="NLX20:NLX21"/>
    <mergeCell ref="NLZ20:NLZ21"/>
    <mergeCell ref="NMB20:NMB21"/>
    <mergeCell ref="NMD20:NMD21"/>
    <mergeCell ref="NMF20:NMF21"/>
    <mergeCell ref="NLJ20:NLJ21"/>
    <mergeCell ref="NLL20:NLL21"/>
    <mergeCell ref="NLN20:NLN21"/>
    <mergeCell ref="NLP20:NLP21"/>
    <mergeCell ref="NLR20:NLR21"/>
    <mergeCell ref="NLT20:NLT21"/>
    <mergeCell ref="NKX20:NKX21"/>
    <mergeCell ref="NKZ20:NKZ21"/>
    <mergeCell ref="NLB20:NLB21"/>
    <mergeCell ref="NLD20:NLD21"/>
    <mergeCell ref="NLF20:NLF21"/>
    <mergeCell ref="NLH20:NLH21"/>
    <mergeCell ref="NKL20:NKL21"/>
    <mergeCell ref="NKN20:NKN21"/>
    <mergeCell ref="NKP20:NKP21"/>
    <mergeCell ref="NKR20:NKR21"/>
    <mergeCell ref="NKT20:NKT21"/>
    <mergeCell ref="NKV20:NKV21"/>
    <mergeCell ref="NJZ20:NJZ21"/>
    <mergeCell ref="NKB20:NKB21"/>
    <mergeCell ref="NKD20:NKD21"/>
    <mergeCell ref="NKF20:NKF21"/>
    <mergeCell ref="NKH20:NKH21"/>
    <mergeCell ref="NKJ20:NKJ21"/>
    <mergeCell ref="NJN20:NJN21"/>
    <mergeCell ref="NJP20:NJP21"/>
    <mergeCell ref="NJR20:NJR21"/>
    <mergeCell ref="NJT20:NJT21"/>
    <mergeCell ref="NJV20:NJV21"/>
    <mergeCell ref="NJX20:NJX21"/>
    <mergeCell ref="NJB20:NJB21"/>
    <mergeCell ref="NJD20:NJD21"/>
    <mergeCell ref="NJF20:NJF21"/>
    <mergeCell ref="NJH20:NJH21"/>
    <mergeCell ref="NJJ20:NJJ21"/>
    <mergeCell ref="NJL20:NJL21"/>
    <mergeCell ref="NIP20:NIP21"/>
    <mergeCell ref="NIR20:NIR21"/>
    <mergeCell ref="NIT20:NIT21"/>
    <mergeCell ref="NIV20:NIV21"/>
    <mergeCell ref="NIX20:NIX21"/>
    <mergeCell ref="NIZ20:NIZ21"/>
    <mergeCell ref="NID20:NID21"/>
    <mergeCell ref="NIF20:NIF21"/>
    <mergeCell ref="NIH20:NIH21"/>
    <mergeCell ref="NIJ20:NIJ21"/>
    <mergeCell ref="NIL20:NIL21"/>
    <mergeCell ref="NIN20:NIN21"/>
    <mergeCell ref="NHR20:NHR21"/>
    <mergeCell ref="NHT20:NHT21"/>
    <mergeCell ref="NHV20:NHV21"/>
    <mergeCell ref="NHX20:NHX21"/>
    <mergeCell ref="NHZ20:NHZ21"/>
    <mergeCell ref="NIB20:NIB21"/>
    <mergeCell ref="NHF20:NHF21"/>
    <mergeCell ref="NHH20:NHH21"/>
    <mergeCell ref="NHJ20:NHJ21"/>
    <mergeCell ref="NHL20:NHL21"/>
    <mergeCell ref="NHN20:NHN21"/>
    <mergeCell ref="NHP20:NHP21"/>
    <mergeCell ref="NGT20:NGT21"/>
    <mergeCell ref="NGV20:NGV21"/>
    <mergeCell ref="NGX20:NGX21"/>
    <mergeCell ref="NGZ20:NGZ21"/>
    <mergeCell ref="NHB20:NHB21"/>
    <mergeCell ref="NHD20:NHD21"/>
    <mergeCell ref="NGH20:NGH21"/>
    <mergeCell ref="NGJ20:NGJ21"/>
    <mergeCell ref="NGL20:NGL21"/>
    <mergeCell ref="NGN20:NGN21"/>
    <mergeCell ref="NGP20:NGP21"/>
    <mergeCell ref="NGR20:NGR21"/>
    <mergeCell ref="NFV20:NFV21"/>
    <mergeCell ref="NFX20:NFX21"/>
    <mergeCell ref="NFZ20:NFZ21"/>
    <mergeCell ref="NGB20:NGB21"/>
    <mergeCell ref="NGD20:NGD21"/>
    <mergeCell ref="NGF20:NGF21"/>
    <mergeCell ref="NFJ20:NFJ21"/>
    <mergeCell ref="NFL20:NFL21"/>
    <mergeCell ref="NFN20:NFN21"/>
    <mergeCell ref="NFP20:NFP21"/>
    <mergeCell ref="NFR20:NFR21"/>
    <mergeCell ref="NFT20:NFT21"/>
    <mergeCell ref="NEX20:NEX21"/>
    <mergeCell ref="NEZ20:NEZ21"/>
    <mergeCell ref="NFB20:NFB21"/>
    <mergeCell ref="NFD20:NFD21"/>
    <mergeCell ref="NFF20:NFF21"/>
    <mergeCell ref="NFH20:NFH21"/>
    <mergeCell ref="NEL20:NEL21"/>
    <mergeCell ref="NEN20:NEN21"/>
    <mergeCell ref="NEP20:NEP21"/>
    <mergeCell ref="NER20:NER21"/>
    <mergeCell ref="NET20:NET21"/>
    <mergeCell ref="NEV20:NEV21"/>
    <mergeCell ref="NDZ20:NDZ21"/>
    <mergeCell ref="NEB20:NEB21"/>
    <mergeCell ref="NED20:NED21"/>
    <mergeCell ref="NEF20:NEF21"/>
    <mergeCell ref="NEH20:NEH21"/>
    <mergeCell ref="NEJ20:NEJ21"/>
    <mergeCell ref="NDN20:NDN21"/>
    <mergeCell ref="NDP20:NDP21"/>
    <mergeCell ref="NDR20:NDR21"/>
    <mergeCell ref="NDT20:NDT21"/>
    <mergeCell ref="NDV20:NDV21"/>
    <mergeCell ref="NDX20:NDX21"/>
    <mergeCell ref="NDB20:NDB21"/>
    <mergeCell ref="NDD20:NDD21"/>
    <mergeCell ref="NDF20:NDF21"/>
    <mergeCell ref="NDH20:NDH21"/>
    <mergeCell ref="NDJ20:NDJ21"/>
    <mergeCell ref="NDL20:NDL21"/>
    <mergeCell ref="NCP20:NCP21"/>
    <mergeCell ref="NCR20:NCR21"/>
    <mergeCell ref="NCT20:NCT21"/>
    <mergeCell ref="NCV20:NCV21"/>
    <mergeCell ref="NCX20:NCX21"/>
    <mergeCell ref="NCZ20:NCZ21"/>
    <mergeCell ref="NCD20:NCD21"/>
    <mergeCell ref="NCF20:NCF21"/>
    <mergeCell ref="NCH20:NCH21"/>
    <mergeCell ref="NCJ20:NCJ21"/>
    <mergeCell ref="NCL20:NCL21"/>
    <mergeCell ref="NCN20:NCN21"/>
    <mergeCell ref="NBR20:NBR21"/>
    <mergeCell ref="NBT20:NBT21"/>
    <mergeCell ref="NBV20:NBV21"/>
    <mergeCell ref="NBX20:NBX21"/>
    <mergeCell ref="NBZ20:NBZ21"/>
    <mergeCell ref="NCB20:NCB21"/>
    <mergeCell ref="NBF20:NBF21"/>
    <mergeCell ref="NBH20:NBH21"/>
    <mergeCell ref="NBJ20:NBJ21"/>
    <mergeCell ref="NBL20:NBL21"/>
    <mergeCell ref="NBN20:NBN21"/>
    <mergeCell ref="NBP20:NBP21"/>
    <mergeCell ref="NAT20:NAT21"/>
    <mergeCell ref="NAV20:NAV21"/>
    <mergeCell ref="NAX20:NAX21"/>
    <mergeCell ref="NAZ20:NAZ21"/>
    <mergeCell ref="NBB20:NBB21"/>
    <mergeCell ref="NBD20:NBD21"/>
    <mergeCell ref="NAH20:NAH21"/>
    <mergeCell ref="NAJ20:NAJ21"/>
    <mergeCell ref="NAL20:NAL21"/>
    <mergeCell ref="NAN20:NAN21"/>
    <mergeCell ref="NAP20:NAP21"/>
    <mergeCell ref="NAR20:NAR21"/>
    <mergeCell ref="MZV20:MZV21"/>
    <mergeCell ref="MZX20:MZX21"/>
    <mergeCell ref="MZZ20:MZZ21"/>
    <mergeCell ref="NAB20:NAB21"/>
    <mergeCell ref="NAD20:NAD21"/>
    <mergeCell ref="NAF20:NAF21"/>
    <mergeCell ref="MZJ20:MZJ21"/>
    <mergeCell ref="MZL20:MZL21"/>
    <mergeCell ref="MZN20:MZN21"/>
    <mergeCell ref="MZP20:MZP21"/>
    <mergeCell ref="MZR20:MZR21"/>
    <mergeCell ref="MZT20:MZT21"/>
    <mergeCell ref="MYX20:MYX21"/>
    <mergeCell ref="MYZ20:MYZ21"/>
    <mergeCell ref="MZB20:MZB21"/>
    <mergeCell ref="MZD20:MZD21"/>
    <mergeCell ref="MZF20:MZF21"/>
    <mergeCell ref="MZH20:MZH21"/>
    <mergeCell ref="MYL20:MYL21"/>
    <mergeCell ref="MYN20:MYN21"/>
    <mergeCell ref="MYP20:MYP21"/>
    <mergeCell ref="MYR20:MYR21"/>
    <mergeCell ref="MYT20:MYT21"/>
    <mergeCell ref="MYV20:MYV21"/>
    <mergeCell ref="MXZ20:MXZ21"/>
    <mergeCell ref="MYB20:MYB21"/>
    <mergeCell ref="MYD20:MYD21"/>
    <mergeCell ref="MYF20:MYF21"/>
    <mergeCell ref="MYH20:MYH21"/>
    <mergeCell ref="MYJ20:MYJ21"/>
    <mergeCell ref="MXN20:MXN21"/>
    <mergeCell ref="MXP20:MXP21"/>
    <mergeCell ref="MXR20:MXR21"/>
    <mergeCell ref="MXT20:MXT21"/>
    <mergeCell ref="MXV20:MXV21"/>
    <mergeCell ref="MXX20:MXX21"/>
    <mergeCell ref="MXB20:MXB21"/>
    <mergeCell ref="MXD20:MXD21"/>
    <mergeCell ref="MXF20:MXF21"/>
    <mergeCell ref="MXH20:MXH21"/>
    <mergeCell ref="MXJ20:MXJ21"/>
    <mergeCell ref="MXL20:MXL21"/>
    <mergeCell ref="MWP20:MWP21"/>
    <mergeCell ref="MWR20:MWR21"/>
    <mergeCell ref="MWT20:MWT21"/>
    <mergeCell ref="MWV20:MWV21"/>
    <mergeCell ref="MWX20:MWX21"/>
    <mergeCell ref="MWZ20:MWZ21"/>
    <mergeCell ref="MWD20:MWD21"/>
    <mergeCell ref="MWF20:MWF21"/>
    <mergeCell ref="MWH20:MWH21"/>
    <mergeCell ref="MWJ20:MWJ21"/>
    <mergeCell ref="MWL20:MWL21"/>
    <mergeCell ref="MWN20:MWN21"/>
    <mergeCell ref="MVR20:MVR21"/>
    <mergeCell ref="MVT20:MVT21"/>
    <mergeCell ref="MVV20:MVV21"/>
    <mergeCell ref="MVX20:MVX21"/>
    <mergeCell ref="MVZ20:MVZ21"/>
    <mergeCell ref="MWB20:MWB21"/>
    <mergeCell ref="MVF20:MVF21"/>
    <mergeCell ref="MVH20:MVH21"/>
    <mergeCell ref="MVJ20:MVJ21"/>
    <mergeCell ref="MVL20:MVL21"/>
    <mergeCell ref="MVN20:MVN21"/>
    <mergeCell ref="MVP20:MVP21"/>
    <mergeCell ref="MUT20:MUT21"/>
    <mergeCell ref="MUV20:MUV21"/>
    <mergeCell ref="MUX20:MUX21"/>
    <mergeCell ref="MUZ20:MUZ21"/>
    <mergeCell ref="MVB20:MVB21"/>
    <mergeCell ref="MVD20:MVD21"/>
    <mergeCell ref="MUH20:MUH21"/>
    <mergeCell ref="MUJ20:MUJ21"/>
    <mergeCell ref="MUL20:MUL21"/>
    <mergeCell ref="MUN20:MUN21"/>
    <mergeCell ref="MUP20:MUP21"/>
    <mergeCell ref="MUR20:MUR21"/>
    <mergeCell ref="MTV20:MTV21"/>
    <mergeCell ref="MTX20:MTX21"/>
    <mergeCell ref="MTZ20:MTZ21"/>
    <mergeCell ref="MUB20:MUB21"/>
    <mergeCell ref="MUD20:MUD21"/>
    <mergeCell ref="MUF20:MUF21"/>
    <mergeCell ref="MTJ20:MTJ21"/>
    <mergeCell ref="MTL20:MTL21"/>
    <mergeCell ref="MTN20:MTN21"/>
    <mergeCell ref="MTP20:MTP21"/>
    <mergeCell ref="MTR20:MTR21"/>
    <mergeCell ref="MTT20:MTT21"/>
    <mergeCell ref="MSX20:MSX21"/>
    <mergeCell ref="MSZ20:MSZ21"/>
    <mergeCell ref="MTB20:MTB21"/>
    <mergeCell ref="MTD20:MTD21"/>
    <mergeCell ref="MTF20:MTF21"/>
    <mergeCell ref="MTH20:MTH21"/>
    <mergeCell ref="MSL20:MSL21"/>
    <mergeCell ref="MSN20:MSN21"/>
    <mergeCell ref="MSP20:MSP21"/>
    <mergeCell ref="MSR20:MSR21"/>
    <mergeCell ref="MST20:MST21"/>
    <mergeCell ref="MSV20:MSV21"/>
    <mergeCell ref="MRZ20:MRZ21"/>
    <mergeCell ref="MSB20:MSB21"/>
    <mergeCell ref="MSD20:MSD21"/>
    <mergeCell ref="MSF20:MSF21"/>
    <mergeCell ref="MSH20:MSH21"/>
    <mergeCell ref="MSJ20:MSJ21"/>
    <mergeCell ref="MRN20:MRN21"/>
    <mergeCell ref="MRP20:MRP21"/>
    <mergeCell ref="MRR20:MRR21"/>
    <mergeCell ref="MRT20:MRT21"/>
    <mergeCell ref="MRV20:MRV21"/>
    <mergeCell ref="MRX20:MRX21"/>
    <mergeCell ref="MRB20:MRB21"/>
    <mergeCell ref="MRD20:MRD21"/>
    <mergeCell ref="MRF20:MRF21"/>
    <mergeCell ref="MRH20:MRH21"/>
    <mergeCell ref="MRJ20:MRJ21"/>
    <mergeCell ref="MRL20:MRL21"/>
    <mergeCell ref="MQP20:MQP21"/>
    <mergeCell ref="MQR20:MQR21"/>
    <mergeCell ref="MQT20:MQT21"/>
    <mergeCell ref="MQV20:MQV21"/>
    <mergeCell ref="MQX20:MQX21"/>
    <mergeCell ref="MQZ20:MQZ21"/>
    <mergeCell ref="MQD20:MQD21"/>
    <mergeCell ref="MQF20:MQF21"/>
    <mergeCell ref="MQH20:MQH21"/>
    <mergeCell ref="MQJ20:MQJ21"/>
    <mergeCell ref="MQL20:MQL21"/>
    <mergeCell ref="MQN20:MQN21"/>
    <mergeCell ref="MPR20:MPR21"/>
    <mergeCell ref="MPT20:MPT21"/>
    <mergeCell ref="MPV20:MPV21"/>
    <mergeCell ref="MPX20:MPX21"/>
    <mergeCell ref="MPZ20:MPZ21"/>
    <mergeCell ref="MQB20:MQB21"/>
    <mergeCell ref="MPF20:MPF21"/>
    <mergeCell ref="MPH20:MPH21"/>
    <mergeCell ref="MPJ20:MPJ21"/>
    <mergeCell ref="MPL20:MPL21"/>
    <mergeCell ref="MPN20:MPN21"/>
    <mergeCell ref="MPP20:MPP21"/>
    <mergeCell ref="MOT20:MOT21"/>
    <mergeCell ref="MOV20:MOV21"/>
    <mergeCell ref="MOX20:MOX21"/>
    <mergeCell ref="MOZ20:MOZ21"/>
    <mergeCell ref="MPB20:MPB21"/>
    <mergeCell ref="MPD20:MPD21"/>
    <mergeCell ref="MOH20:MOH21"/>
    <mergeCell ref="MOJ20:MOJ21"/>
    <mergeCell ref="MOL20:MOL21"/>
    <mergeCell ref="MON20:MON21"/>
    <mergeCell ref="MOP20:MOP21"/>
    <mergeCell ref="MOR20:MOR21"/>
    <mergeCell ref="MNV20:MNV21"/>
    <mergeCell ref="MNX20:MNX21"/>
    <mergeCell ref="MNZ20:MNZ21"/>
    <mergeCell ref="MOB20:MOB21"/>
    <mergeCell ref="MOD20:MOD21"/>
    <mergeCell ref="MOF20:MOF21"/>
    <mergeCell ref="MNJ20:MNJ21"/>
    <mergeCell ref="MNL20:MNL21"/>
    <mergeCell ref="MNN20:MNN21"/>
    <mergeCell ref="MNP20:MNP21"/>
    <mergeCell ref="MNR20:MNR21"/>
    <mergeCell ref="MNT20:MNT21"/>
    <mergeCell ref="MMX20:MMX21"/>
    <mergeCell ref="MMZ20:MMZ21"/>
    <mergeCell ref="MNB20:MNB21"/>
    <mergeCell ref="MND20:MND21"/>
    <mergeCell ref="MNF20:MNF21"/>
    <mergeCell ref="MNH20:MNH21"/>
    <mergeCell ref="MML20:MML21"/>
    <mergeCell ref="MMN20:MMN21"/>
    <mergeCell ref="MMP20:MMP21"/>
    <mergeCell ref="MMR20:MMR21"/>
    <mergeCell ref="MMT20:MMT21"/>
    <mergeCell ref="MMV20:MMV21"/>
    <mergeCell ref="MLZ20:MLZ21"/>
    <mergeCell ref="MMB20:MMB21"/>
    <mergeCell ref="MMD20:MMD21"/>
    <mergeCell ref="MMF20:MMF21"/>
    <mergeCell ref="MMH20:MMH21"/>
    <mergeCell ref="MMJ20:MMJ21"/>
    <mergeCell ref="MLN20:MLN21"/>
    <mergeCell ref="MLP20:MLP21"/>
    <mergeCell ref="MLR20:MLR21"/>
    <mergeCell ref="MLT20:MLT21"/>
    <mergeCell ref="MLV20:MLV21"/>
    <mergeCell ref="MLX20:MLX21"/>
    <mergeCell ref="MLB20:MLB21"/>
    <mergeCell ref="MLD20:MLD21"/>
    <mergeCell ref="MLF20:MLF21"/>
    <mergeCell ref="MLH20:MLH21"/>
    <mergeCell ref="MLJ20:MLJ21"/>
    <mergeCell ref="MLL20:MLL21"/>
    <mergeCell ref="MKP20:MKP21"/>
    <mergeCell ref="MKR20:MKR21"/>
    <mergeCell ref="MKT20:MKT21"/>
    <mergeCell ref="MKV20:MKV21"/>
    <mergeCell ref="MKX20:MKX21"/>
    <mergeCell ref="MKZ20:MKZ21"/>
    <mergeCell ref="MKD20:MKD21"/>
    <mergeCell ref="MKF20:MKF21"/>
    <mergeCell ref="MKH20:MKH21"/>
    <mergeCell ref="MKJ20:MKJ21"/>
    <mergeCell ref="MKL20:MKL21"/>
    <mergeCell ref="MKN20:MKN21"/>
    <mergeCell ref="MJR20:MJR21"/>
    <mergeCell ref="MJT20:MJT21"/>
    <mergeCell ref="MJV20:MJV21"/>
    <mergeCell ref="MJX20:MJX21"/>
    <mergeCell ref="MJZ20:MJZ21"/>
    <mergeCell ref="MKB20:MKB21"/>
    <mergeCell ref="MJF20:MJF21"/>
    <mergeCell ref="MJH20:MJH21"/>
    <mergeCell ref="MJJ20:MJJ21"/>
    <mergeCell ref="MJL20:MJL21"/>
    <mergeCell ref="MJN20:MJN21"/>
    <mergeCell ref="MJP20:MJP21"/>
    <mergeCell ref="MIT20:MIT21"/>
    <mergeCell ref="MIV20:MIV21"/>
    <mergeCell ref="MIX20:MIX21"/>
    <mergeCell ref="MIZ20:MIZ21"/>
    <mergeCell ref="MJB20:MJB21"/>
    <mergeCell ref="MJD20:MJD21"/>
    <mergeCell ref="MIH20:MIH21"/>
    <mergeCell ref="MIJ20:MIJ21"/>
    <mergeCell ref="MIL20:MIL21"/>
    <mergeCell ref="MIN20:MIN21"/>
    <mergeCell ref="MIP20:MIP21"/>
    <mergeCell ref="MIR20:MIR21"/>
    <mergeCell ref="MHV20:MHV21"/>
    <mergeCell ref="MHX20:MHX21"/>
    <mergeCell ref="MHZ20:MHZ21"/>
    <mergeCell ref="MIB20:MIB21"/>
    <mergeCell ref="MID20:MID21"/>
    <mergeCell ref="MIF20:MIF21"/>
    <mergeCell ref="MHJ20:MHJ21"/>
    <mergeCell ref="MHL20:MHL21"/>
    <mergeCell ref="MHN20:MHN21"/>
    <mergeCell ref="MHP20:MHP21"/>
    <mergeCell ref="MHR20:MHR21"/>
    <mergeCell ref="MHT20:MHT21"/>
    <mergeCell ref="MGX20:MGX21"/>
    <mergeCell ref="MGZ20:MGZ21"/>
    <mergeCell ref="MHB20:MHB21"/>
    <mergeCell ref="MHD20:MHD21"/>
    <mergeCell ref="MHF20:MHF21"/>
    <mergeCell ref="MHH20:MHH21"/>
    <mergeCell ref="MGL20:MGL21"/>
    <mergeCell ref="MGN20:MGN21"/>
    <mergeCell ref="MGP20:MGP21"/>
    <mergeCell ref="MGR20:MGR21"/>
    <mergeCell ref="MGT20:MGT21"/>
    <mergeCell ref="MGV20:MGV21"/>
    <mergeCell ref="MFZ20:MFZ21"/>
    <mergeCell ref="MGB20:MGB21"/>
    <mergeCell ref="MGD20:MGD21"/>
    <mergeCell ref="MGF20:MGF21"/>
    <mergeCell ref="MGH20:MGH21"/>
    <mergeCell ref="MGJ20:MGJ21"/>
    <mergeCell ref="MFN20:MFN21"/>
    <mergeCell ref="MFP20:MFP21"/>
    <mergeCell ref="MFR20:MFR21"/>
    <mergeCell ref="MFT20:MFT21"/>
    <mergeCell ref="MFV20:MFV21"/>
    <mergeCell ref="MFX20:MFX21"/>
    <mergeCell ref="MFB20:MFB21"/>
    <mergeCell ref="MFD20:MFD21"/>
    <mergeCell ref="MFF20:MFF21"/>
    <mergeCell ref="MFH20:MFH21"/>
    <mergeCell ref="MFJ20:MFJ21"/>
    <mergeCell ref="MFL20:MFL21"/>
    <mergeCell ref="MEP20:MEP21"/>
    <mergeCell ref="MER20:MER21"/>
    <mergeCell ref="MET20:MET21"/>
    <mergeCell ref="MEV20:MEV21"/>
    <mergeCell ref="MEX20:MEX21"/>
    <mergeCell ref="MEZ20:MEZ21"/>
    <mergeCell ref="MED20:MED21"/>
    <mergeCell ref="MEF20:MEF21"/>
    <mergeCell ref="MEH20:MEH21"/>
    <mergeCell ref="MEJ20:MEJ21"/>
    <mergeCell ref="MEL20:MEL21"/>
    <mergeCell ref="MEN20:MEN21"/>
    <mergeCell ref="MDR20:MDR21"/>
    <mergeCell ref="MDT20:MDT21"/>
    <mergeCell ref="MDV20:MDV21"/>
    <mergeCell ref="MDX20:MDX21"/>
    <mergeCell ref="MDZ20:MDZ21"/>
    <mergeCell ref="MEB20:MEB21"/>
    <mergeCell ref="MDF20:MDF21"/>
    <mergeCell ref="MDH20:MDH21"/>
    <mergeCell ref="MDJ20:MDJ21"/>
    <mergeCell ref="MDL20:MDL21"/>
    <mergeCell ref="MDN20:MDN21"/>
    <mergeCell ref="MDP20:MDP21"/>
    <mergeCell ref="MCT20:MCT21"/>
    <mergeCell ref="MCV20:MCV21"/>
    <mergeCell ref="MCX20:MCX21"/>
    <mergeCell ref="MCZ20:MCZ21"/>
    <mergeCell ref="MDB20:MDB21"/>
    <mergeCell ref="MDD20:MDD21"/>
    <mergeCell ref="MCH20:MCH21"/>
    <mergeCell ref="MCJ20:MCJ21"/>
    <mergeCell ref="MCL20:MCL21"/>
    <mergeCell ref="MCN20:MCN21"/>
    <mergeCell ref="MCP20:MCP21"/>
    <mergeCell ref="MCR20:MCR21"/>
    <mergeCell ref="MBV20:MBV21"/>
    <mergeCell ref="MBX20:MBX21"/>
    <mergeCell ref="MBZ20:MBZ21"/>
    <mergeCell ref="MCB20:MCB21"/>
    <mergeCell ref="MCD20:MCD21"/>
    <mergeCell ref="MCF20:MCF21"/>
    <mergeCell ref="MBJ20:MBJ21"/>
    <mergeCell ref="MBL20:MBL21"/>
    <mergeCell ref="MBN20:MBN21"/>
    <mergeCell ref="MBP20:MBP21"/>
    <mergeCell ref="MBR20:MBR21"/>
    <mergeCell ref="MBT20:MBT21"/>
    <mergeCell ref="MAX20:MAX21"/>
    <mergeCell ref="MAZ20:MAZ21"/>
    <mergeCell ref="MBB20:MBB21"/>
    <mergeCell ref="MBD20:MBD21"/>
    <mergeCell ref="MBF20:MBF21"/>
    <mergeCell ref="MBH20:MBH21"/>
    <mergeCell ref="MAL20:MAL21"/>
    <mergeCell ref="MAN20:MAN21"/>
    <mergeCell ref="MAP20:MAP21"/>
    <mergeCell ref="MAR20:MAR21"/>
    <mergeCell ref="MAT20:MAT21"/>
    <mergeCell ref="MAV20:MAV21"/>
    <mergeCell ref="LZZ20:LZZ21"/>
    <mergeCell ref="MAB20:MAB21"/>
    <mergeCell ref="MAD20:MAD21"/>
    <mergeCell ref="MAF20:MAF21"/>
    <mergeCell ref="MAH20:MAH21"/>
    <mergeCell ref="MAJ20:MAJ21"/>
    <mergeCell ref="LZN20:LZN21"/>
    <mergeCell ref="LZP20:LZP21"/>
    <mergeCell ref="LZR20:LZR21"/>
    <mergeCell ref="LZT20:LZT21"/>
    <mergeCell ref="LZV20:LZV21"/>
    <mergeCell ref="LZX20:LZX21"/>
    <mergeCell ref="LZB20:LZB21"/>
    <mergeCell ref="LZD20:LZD21"/>
    <mergeCell ref="LZF20:LZF21"/>
    <mergeCell ref="LZH20:LZH21"/>
    <mergeCell ref="LZJ20:LZJ21"/>
    <mergeCell ref="LZL20:LZL21"/>
    <mergeCell ref="LYP20:LYP21"/>
    <mergeCell ref="LYR20:LYR21"/>
    <mergeCell ref="LYT20:LYT21"/>
    <mergeCell ref="LYV20:LYV21"/>
    <mergeCell ref="LYX20:LYX21"/>
    <mergeCell ref="LYZ20:LYZ21"/>
    <mergeCell ref="LYD20:LYD21"/>
    <mergeCell ref="LYF20:LYF21"/>
    <mergeCell ref="LYH20:LYH21"/>
    <mergeCell ref="LYJ20:LYJ21"/>
    <mergeCell ref="LYL20:LYL21"/>
    <mergeCell ref="LYN20:LYN21"/>
    <mergeCell ref="LXR20:LXR21"/>
    <mergeCell ref="LXT20:LXT21"/>
    <mergeCell ref="LXV20:LXV21"/>
    <mergeCell ref="LXX20:LXX21"/>
    <mergeCell ref="LXZ20:LXZ21"/>
    <mergeCell ref="LYB20:LYB21"/>
    <mergeCell ref="LXF20:LXF21"/>
    <mergeCell ref="LXH20:LXH21"/>
    <mergeCell ref="LXJ20:LXJ21"/>
    <mergeCell ref="LXL20:LXL21"/>
    <mergeCell ref="LXN20:LXN21"/>
    <mergeCell ref="LXP20:LXP21"/>
    <mergeCell ref="LWT20:LWT21"/>
    <mergeCell ref="LWV20:LWV21"/>
    <mergeCell ref="LWX20:LWX21"/>
    <mergeCell ref="LWZ20:LWZ21"/>
    <mergeCell ref="LXB20:LXB21"/>
    <mergeCell ref="LXD20:LXD21"/>
    <mergeCell ref="LWH20:LWH21"/>
    <mergeCell ref="LWJ20:LWJ21"/>
    <mergeCell ref="LWL20:LWL21"/>
    <mergeCell ref="LWN20:LWN21"/>
    <mergeCell ref="LWP20:LWP21"/>
    <mergeCell ref="LWR20:LWR21"/>
    <mergeCell ref="LVV20:LVV21"/>
    <mergeCell ref="LVX20:LVX21"/>
    <mergeCell ref="LVZ20:LVZ21"/>
    <mergeCell ref="LWB20:LWB21"/>
    <mergeCell ref="LWD20:LWD21"/>
    <mergeCell ref="LWF20:LWF21"/>
    <mergeCell ref="LVJ20:LVJ21"/>
    <mergeCell ref="LVL20:LVL21"/>
    <mergeCell ref="LVN20:LVN21"/>
    <mergeCell ref="LVP20:LVP21"/>
    <mergeCell ref="LVR20:LVR21"/>
    <mergeCell ref="LVT20:LVT21"/>
    <mergeCell ref="LUX20:LUX21"/>
    <mergeCell ref="LUZ20:LUZ21"/>
    <mergeCell ref="LVB20:LVB21"/>
    <mergeCell ref="LVD20:LVD21"/>
    <mergeCell ref="LVF20:LVF21"/>
    <mergeCell ref="LVH20:LVH21"/>
    <mergeCell ref="LUL20:LUL21"/>
    <mergeCell ref="LUN20:LUN21"/>
    <mergeCell ref="LUP20:LUP21"/>
    <mergeCell ref="LUR20:LUR21"/>
    <mergeCell ref="LUT20:LUT21"/>
    <mergeCell ref="LUV20:LUV21"/>
    <mergeCell ref="LTZ20:LTZ21"/>
    <mergeCell ref="LUB20:LUB21"/>
    <mergeCell ref="LUD20:LUD21"/>
    <mergeCell ref="LUF20:LUF21"/>
    <mergeCell ref="LUH20:LUH21"/>
    <mergeCell ref="LUJ20:LUJ21"/>
    <mergeCell ref="LTN20:LTN21"/>
    <mergeCell ref="LTP20:LTP21"/>
    <mergeCell ref="LTR20:LTR21"/>
    <mergeCell ref="LTT20:LTT21"/>
    <mergeCell ref="LTV20:LTV21"/>
    <mergeCell ref="LTX20:LTX21"/>
    <mergeCell ref="LTB20:LTB21"/>
    <mergeCell ref="LTD20:LTD21"/>
    <mergeCell ref="LTF20:LTF21"/>
    <mergeCell ref="LTH20:LTH21"/>
    <mergeCell ref="LTJ20:LTJ21"/>
    <mergeCell ref="LTL20:LTL21"/>
    <mergeCell ref="LSP20:LSP21"/>
    <mergeCell ref="LSR20:LSR21"/>
    <mergeCell ref="LST20:LST21"/>
    <mergeCell ref="LSV20:LSV21"/>
    <mergeCell ref="LSX20:LSX21"/>
    <mergeCell ref="LSZ20:LSZ21"/>
    <mergeCell ref="LSD20:LSD21"/>
    <mergeCell ref="LSF20:LSF21"/>
    <mergeCell ref="LSH20:LSH21"/>
    <mergeCell ref="LSJ20:LSJ21"/>
    <mergeCell ref="LSL20:LSL21"/>
    <mergeCell ref="LSN20:LSN21"/>
    <mergeCell ref="LRR20:LRR21"/>
    <mergeCell ref="LRT20:LRT21"/>
    <mergeCell ref="LRV20:LRV21"/>
    <mergeCell ref="LRX20:LRX21"/>
    <mergeCell ref="LRZ20:LRZ21"/>
    <mergeCell ref="LSB20:LSB21"/>
    <mergeCell ref="LRF20:LRF21"/>
    <mergeCell ref="LRH20:LRH21"/>
    <mergeCell ref="LRJ20:LRJ21"/>
    <mergeCell ref="LRL20:LRL21"/>
    <mergeCell ref="LRN20:LRN21"/>
    <mergeCell ref="LRP20:LRP21"/>
    <mergeCell ref="LQT20:LQT21"/>
    <mergeCell ref="LQV20:LQV21"/>
    <mergeCell ref="LQX20:LQX21"/>
    <mergeCell ref="LQZ20:LQZ21"/>
    <mergeCell ref="LRB20:LRB21"/>
    <mergeCell ref="LRD20:LRD21"/>
    <mergeCell ref="LQH20:LQH21"/>
    <mergeCell ref="LQJ20:LQJ21"/>
    <mergeCell ref="LQL20:LQL21"/>
    <mergeCell ref="LQN20:LQN21"/>
    <mergeCell ref="LQP20:LQP21"/>
    <mergeCell ref="LQR20:LQR21"/>
    <mergeCell ref="LPV20:LPV21"/>
    <mergeCell ref="LPX20:LPX21"/>
    <mergeCell ref="LPZ20:LPZ21"/>
    <mergeCell ref="LQB20:LQB21"/>
    <mergeCell ref="LQD20:LQD21"/>
    <mergeCell ref="LQF20:LQF21"/>
    <mergeCell ref="LPJ20:LPJ21"/>
    <mergeCell ref="LPL20:LPL21"/>
    <mergeCell ref="LPN20:LPN21"/>
    <mergeCell ref="LPP20:LPP21"/>
    <mergeCell ref="LPR20:LPR21"/>
    <mergeCell ref="LPT20:LPT21"/>
    <mergeCell ref="LOX20:LOX21"/>
    <mergeCell ref="LOZ20:LOZ21"/>
    <mergeCell ref="LPB20:LPB21"/>
    <mergeCell ref="LPD20:LPD21"/>
    <mergeCell ref="LPF20:LPF21"/>
    <mergeCell ref="LPH20:LPH21"/>
    <mergeCell ref="LOL20:LOL21"/>
    <mergeCell ref="LON20:LON21"/>
    <mergeCell ref="LOP20:LOP21"/>
    <mergeCell ref="LOR20:LOR21"/>
    <mergeCell ref="LOT20:LOT21"/>
    <mergeCell ref="LOV20:LOV21"/>
    <mergeCell ref="LNZ20:LNZ21"/>
    <mergeCell ref="LOB20:LOB21"/>
    <mergeCell ref="LOD20:LOD21"/>
    <mergeCell ref="LOF20:LOF21"/>
    <mergeCell ref="LOH20:LOH21"/>
    <mergeCell ref="LOJ20:LOJ21"/>
    <mergeCell ref="LNN20:LNN21"/>
    <mergeCell ref="LNP20:LNP21"/>
    <mergeCell ref="LNR20:LNR21"/>
    <mergeCell ref="LNT20:LNT21"/>
    <mergeCell ref="LNV20:LNV21"/>
    <mergeCell ref="LNX20:LNX21"/>
    <mergeCell ref="LNB20:LNB21"/>
    <mergeCell ref="LND20:LND21"/>
    <mergeCell ref="LNF20:LNF21"/>
    <mergeCell ref="LNH20:LNH21"/>
    <mergeCell ref="LNJ20:LNJ21"/>
    <mergeCell ref="LNL20:LNL21"/>
    <mergeCell ref="LMP20:LMP21"/>
    <mergeCell ref="LMR20:LMR21"/>
    <mergeCell ref="LMT20:LMT21"/>
    <mergeCell ref="LMV20:LMV21"/>
    <mergeCell ref="LMX20:LMX21"/>
    <mergeCell ref="LMZ20:LMZ21"/>
    <mergeCell ref="LMD20:LMD21"/>
    <mergeCell ref="LMF20:LMF21"/>
    <mergeCell ref="LMH20:LMH21"/>
    <mergeCell ref="LMJ20:LMJ21"/>
    <mergeCell ref="LML20:LML21"/>
    <mergeCell ref="LMN20:LMN21"/>
    <mergeCell ref="LLR20:LLR21"/>
    <mergeCell ref="LLT20:LLT21"/>
    <mergeCell ref="LLV20:LLV21"/>
    <mergeCell ref="LLX20:LLX21"/>
    <mergeCell ref="LLZ20:LLZ21"/>
    <mergeCell ref="LMB20:LMB21"/>
    <mergeCell ref="LLF20:LLF21"/>
    <mergeCell ref="LLH20:LLH21"/>
    <mergeCell ref="LLJ20:LLJ21"/>
    <mergeCell ref="LLL20:LLL21"/>
    <mergeCell ref="LLN20:LLN21"/>
    <mergeCell ref="LLP20:LLP21"/>
    <mergeCell ref="LKT20:LKT21"/>
    <mergeCell ref="LKV20:LKV21"/>
    <mergeCell ref="LKX20:LKX21"/>
    <mergeCell ref="LKZ20:LKZ21"/>
    <mergeCell ref="LLB20:LLB21"/>
    <mergeCell ref="LLD20:LLD21"/>
    <mergeCell ref="LKH20:LKH21"/>
    <mergeCell ref="LKJ20:LKJ21"/>
    <mergeCell ref="LKL20:LKL21"/>
    <mergeCell ref="LKN20:LKN21"/>
    <mergeCell ref="LKP20:LKP21"/>
    <mergeCell ref="LKR20:LKR21"/>
    <mergeCell ref="LJV20:LJV21"/>
    <mergeCell ref="LJX20:LJX21"/>
    <mergeCell ref="LJZ20:LJZ21"/>
    <mergeCell ref="LKB20:LKB21"/>
    <mergeCell ref="LKD20:LKD21"/>
    <mergeCell ref="LKF20:LKF21"/>
    <mergeCell ref="LJJ20:LJJ21"/>
    <mergeCell ref="LJL20:LJL21"/>
    <mergeCell ref="LJN20:LJN21"/>
    <mergeCell ref="LJP20:LJP21"/>
    <mergeCell ref="LJR20:LJR21"/>
    <mergeCell ref="LJT20:LJT21"/>
    <mergeCell ref="LIX20:LIX21"/>
    <mergeCell ref="LIZ20:LIZ21"/>
    <mergeCell ref="LJB20:LJB21"/>
    <mergeCell ref="LJD20:LJD21"/>
    <mergeCell ref="LJF20:LJF21"/>
    <mergeCell ref="LJH20:LJH21"/>
    <mergeCell ref="LIL20:LIL21"/>
    <mergeCell ref="LIN20:LIN21"/>
    <mergeCell ref="LIP20:LIP21"/>
    <mergeCell ref="LIR20:LIR21"/>
    <mergeCell ref="LIT20:LIT21"/>
    <mergeCell ref="LIV20:LIV21"/>
    <mergeCell ref="LHZ20:LHZ21"/>
    <mergeCell ref="LIB20:LIB21"/>
    <mergeCell ref="LID20:LID21"/>
    <mergeCell ref="LIF20:LIF21"/>
    <mergeCell ref="LIH20:LIH21"/>
    <mergeCell ref="LIJ20:LIJ21"/>
    <mergeCell ref="LHN20:LHN21"/>
    <mergeCell ref="LHP20:LHP21"/>
    <mergeCell ref="LHR20:LHR21"/>
    <mergeCell ref="LHT20:LHT21"/>
    <mergeCell ref="LHV20:LHV21"/>
    <mergeCell ref="LHX20:LHX21"/>
    <mergeCell ref="LHB20:LHB21"/>
    <mergeCell ref="LHD20:LHD21"/>
    <mergeCell ref="LHF20:LHF21"/>
    <mergeCell ref="LHH20:LHH21"/>
    <mergeCell ref="LHJ20:LHJ21"/>
    <mergeCell ref="LHL20:LHL21"/>
    <mergeCell ref="LGP20:LGP21"/>
    <mergeCell ref="LGR20:LGR21"/>
    <mergeCell ref="LGT20:LGT21"/>
    <mergeCell ref="LGV20:LGV21"/>
    <mergeCell ref="LGX20:LGX21"/>
    <mergeCell ref="LGZ20:LGZ21"/>
    <mergeCell ref="LGD20:LGD21"/>
    <mergeCell ref="LGF20:LGF21"/>
    <mergeCell ref="LGH20:LGH21"/>
    <mergeCell ref="LGJ20:LGJ21"/>
    <mergeCell ref="LGL20:LGL21"/>
    <mergeCell ref="LGN20:LGN21"/>
    <mergeCell ref="LFR20:LFR21"/>
    <mergeCell ref="LFT20:LFT21"/>
    <mergeCell ref="LFV20:LFV21"/>
    <mergeCell ref="LFX20:LFX21"/>
    <mergeCell ref="LFZ20:LFZ21"/>
    <mergeCell ref="LGB20:LGB21"/>
    <mergeCell ref="LFF20:LFF21"/>
    <mergeCell ref="LFH20:LFH21"/>
    <mergeCell ref="LFJ20:LFJ21"/>
    <mergeCell ref="LFL20:LFL21"/>
    <mergeCell ref="LFN20:LFN21"/>
    <mergeCell ref="LFP20:LFP21"/>
    <mergeCell ref="LET20:LET21"/>
    <mergeCell ref="LEV20:LEV21"/>
    <mergeCell ref="LEX20:LEX21"/>
    <mergeCell ref="LEZ20:LEZ21"/>
    <mergeCell ref="LFB20:LFB21"/>
    <mergeCell ref="LFD20:LFD21"/>
    <mergeCell ref="LEH20:LEH21"/>
    <mergeCell ref="LEJ20:LEJ21"/>
    <mergeCell ref="LEL20:LEL21"/>
    <mergeCell ref="LEN20:LEN21"/>
    <mergeCell ref="LEP20:LEP21"/>
    <mergeCell ref="LER20:LER21"/>
    <mergeCell ref="LDV20:LDV21"/>
    <mergeCell ref="LDX20:LDX21"/>
    <mergeCell ref="LDZ20:LDZ21"/>
    <mergeCell ref="LEB20:LEB21"/>
    <mergeCell ref="LED20:LED21"/>
    <mergeCell ref="LEF20:LEF21"/>
    <mergeCell ref="LDJ20:LDJ21"/>
    <mergeCell ref="LDL20:LDL21"/>
    <mergeCell ref="LDN20:LDN21"/>
    <mergeCell ref="LDP20:LDP21"/>
    <mergeCell ref="LDR20:LDR21"/>
    <mergeCell ref="LDT20:LDT21"/>
    <mergeCell ref="LCX20:LCX21"/>
    <mergeCell ref="LCZ20:LCZ21"/>
    <mergeCell ref="LDB20:LDB21"/>
    <mergeCell ref="LDD20:LDD21"/>
    <mergeCell ref="LDF20:LDF21"/>
    <mergeCell ref="LDH20:LDH21"/>
    <mergeCell ref="LCL20:LCL21"/>
    <mergeCell ref="LCN20:LCN21"/>
    <mergeCell ref="LCP20:LCP21"/>
    <mergeCell ref="LCR20:LCR21"/>
    <mergeCell ref="LCT20:LCT21"/>
    <mergeCell ref="LCV20:LCV21"/>
    <mergeCell ref="LBZ20:LBZ21"/>
    <mergeCell ref="LCB20:LCB21"/>
    <mergeCell ref="LCD20:LCD21"/>
    <mergeCell ref="LCF20:LCF21"/>
    <mergeCell ref="LCH20:LCH21"/>
    <mergeCell ref="LCJ20:LCJ21"/>
    <mergeCell ref="LBN20:LBN21"/>
    <mergeCell ref="LBP20:LBP21"/>
    <mergeCell ref="LBR20:LBR21"/>
    <mergeCell ref="LBT20:LBT21"/>
    <mergeCell ref="LBV20:LBV21"/>
    <mergeCell ref="LBX20:LBX21"/>
    <mergeCell ref="LBB20:LBB21"/>
    <mergeCell ref="LBD20:LBD21"/>
    <mergeCell ref="LBF20:LBF21"/>
    <mergeCell ref="LBH20:LBH21"/>
    <mergeCell ref="LBJ20:LBJ21"/>
    <mergeCell ref="LBL20:LBL21"/>
    <mergeCell ref="LAP20:LAP21"/>
    <mergeCell ref="LAR20:LAR21"/>
    <mergeCell ref="LAT20:LAT21"/>
    <mergeCell ref="LAV20:LAV21"/>
    <mergeCell ref="LAX20:LAX21"/>
    <mergeCell ref="LAZ20:LAZ21"/>
    <mergeCell ref="LAD20:LAD21"/>
    <mergeCell ref="LAF20:LAF21"/>
    <mergeCell ref="LAH20:LAH21"/>
    <mergeCell ref="LAJ20:LAJ21"/>
    <mergeCell ref="LAL20:LAL21"/>
    <mergeCell ref="LAN20:LAN21"/>
    <mergeCell ref="KZR20:KZR21"/>
    <mergeCell ref="KZT20:KZT21"/>
    <mergeCell ref="KZV20:KZV21"/>
    <mergeCell ref="KZX20:KZX21"/>
    <mergeCell ref="KZZ20:KZZ21"/>
    <mergeCell ref="LAB20:LAB21"/>
    <mergeCell ref="KZF20:KZF21"/>
    <mergeCell ref="KZH20:KZH21"/>
    <mergeCell ref="KZJ20:KZJ21"/>
    <mergeCell ref="KZL20:KZL21"/>
    <mergeCell ref="KZN20:KZN21"/>
    <mergeCell ref="KZP20:KZP21"/>
    <mergeCell ref="KYT20:KYT21"/>
    <mergeCell ref="KYV20:KYV21"/>
    <mergeCell ref="KYX20:KYX21"/>
    <mergeCell ref="KYZ20:KYZ21"/>
    <mergeCell ref="KZB20:KZB21"/>
    <mergeCell ref="KZD20:KZD21"/>
    <mergeCell ref="KYH20:KYH21"/>
    <mergeCell ref="KYJ20:KYJ21"/>
    <mergeCell ref="KYL20:KYL21"/>
    <mergeCell ref="KYN20:KYN21"/>
    <mergeCell ref="KYP20:KYP21"/>
    <mergeCell ref="KYR20:KYR21"/>
    <mergeCell ref="KXV20:KXV21"/>
    <mergeCell ref="KXX20:KXX21"/>
    <mergeCell ref="KXZ20:KXZ21"/>
    <mergeCell ref="KYB20:KYB21"/>
    <mergeCell ref="KYD20:KYD21"/>
    <mergeCell ref="KYF20:KYF21"/>
    <mergeCell ref="KXJ20:KXJ21"/>
    <mergeCell ref="KXL20:KXL21"/>
    <mergeCell ref="KXN20:KXN21"/>
    <mergeCell ref="KXP20:KXP21"/>
    <mergeCell ref="KXR20:KXR21"/>
    <mergeCell ref="KXT20:KXT21"/>
    <mergeCell ref="KWX20:KWX21"/>
    <mergeCell ref="KWZ20:KWZ21"/>
    <mergeCell ref="KXB20:KXB21"/>
    <mergeCell ref="KXD20:KXD21"/>
    <mergeCell ref="KXF20:KXF21"/>
    <mergeCell ref="KXH20:KXH21"/>
    <mergeCell ref="KWL20:KWL21"/>
    <mergeCell ref="KWN20:KWN21"/>
    <mergeCell ref="KWP20:KWP21"/>
    <mergeCell ref="KWR20:KWR21"/>
    <mergeCell ref="KWT20:KWT21"/>
    <mergeCell ref="KWV20:KWV21"/>
    <mergeCell ref="KVZ20:KVZ21"/>
    <mergeCell ref="KWB20:KWB21"/>
    <mergeCell ref="KWD20:KWD21"/>
    <mergeCell ref="KWF20:KWF21"/>
    <mergeCell ref="KWH20:KWH21"/>
    <mergeCell ref="KWJ20:KWJ21"/>
    <mergeCell ref="KVN20:KVN21"/>
    <mergeCell ref="KVP20:KVP21"/>
    <mergeCell ref="KVR20:KVR21"/>
    <mergeCell ref="KVT20:KVT21"/>
    <mergeCell ref="KVV20:KVV21"/>
    <mergeCell ref="KVX20:KVX21"/>
    <mergeCell ref="KVB20:KVB21"/>
    <mergeCell ref="KVD20:KVD21"/>
    <mergeCell ref="KVF20:KVF21"/>
    <mergeCell ref="KVH20:KVH21"/>
    <mergeCell ref="KVJ20:KVJ21"/>
    <mergeCell ref="KVL20:KVL21"/>
    <mergeCell ref="KUP20:KUP21"/>
    <mergeCell ref="KUR20:KUR21"/>
    <mergeCell ref="KUT20:KUT21"/>
    <mergeCell ref="KUV20:KUV21"/>
    <mergeCell ref="KUX20:KUX21"/>
    <mergeCell ref="KUZ20:KUZ21"/>
    <mergeCell ref="KUD20:KUD21"/>
    <mergeCell ref="KUF20:KUF21"/>
    <mergeCell ref="KUH20:KUH21"/>
    <mergeCell ref="KUJ20:KUJ21"/>
    <mergeCell ref="KUL20:KUL21"/>
    <mergeCell ref="KUN20:KUN21"/>
    <mergeCell ref="KTR20:KTR21"/>
    <mergeCell ref="KTT20:KTT21"/>
    <mergeCell ref="KTV20:KTV21"/>
    <mergeCell ref="KTX20:KTX21"/>
    <mergeCell ref="KTZ20:KTZ21"/>
    <mergeCell ref="KUB20:KUB21"/>
    <mergeCell ref="KTF20:KTF21"/>
    <mergeCell ref="KTH20:KTH21"/>
    <mergeCell ref="KTJ20:KTJ21"/>
    <mergeCell ref="KTL20:KTL21"/>
    <mergeCell ref="KTN20:KTN21"/>
    <mergeCell ref="KTP20:KTP21"/>
    <mergeCell ref="KST20:KST21"/>
    <mergeCell ref="KSV20:KSV21"/>
    <mergeCell ref="KSX20:KSX21"/>
    <mergeCell ref="KSZ20:KSZ21"/>
    <mergeCell ref="KTB20:KTB21"/>
    <mergeCell ref="KTD20:KTD21"/>
    <mergeCell ref="KSH20:KSH21"/>
    <mergeCell ref="KSJ20:KSJ21"/>
    <mergeCell ref="KSL20:KSL21"/>
    <mergeCell ref="KSN20:KSN21"/>
    <mergeCell ref="KSP20:KSP21"/>
    <mergeCell ref="KSR20:KSR21"/>
    <mergeCell ref="KRV20:KRV21"/>
    <mergeCell ref="KRX20:KRX21"/>
    <mergeCell ref="KRZ20:KRZ21"/>
    <mergeCell ref="KSB20:KSB21"/>
    <mergeCell ref="KSD20:KSD21"/>
    <mergeCell ref="KSF20:KSF21"/>
    <mergeCell ref="KRJ20:KRJ21"/>
    <mergeCell ref="KRL20:KRL21"/>
    <mergeCell ref="KRN20:KRN21"/>
    <mergeCell ref="KRP20:KRP21"/>
    <mergeCell ref="KRR20:KRR21"/>
    <mergeCell ref="KRT20:KRT21"/>
    <mergeCell ref="KQX20:KQX21"/>
    <mergeCell ref="KQZ20:KQZ21"/>
    <mergeCell ref="KRB20:KRB21"/>
    <mergeCell ref="KRD20:KRD21"/>
    <mergeCell ref="KRF20:KRF21"/>
    <mergeCell ref="KRH20:KRH21"/>
    <mergeCell ref="KQL20:KQL21"/>
    <mergeCell ref="KQN20:KQN21"/>
    <mergeCell ref="KQP20:KQP21"/>
    <mergeCell ref="KQR20:KQR21"/>
    <mergeCell ref="KQT20:KQT21"/>
    <mergeCell ref="KQV20:KQV21"/>
    <mergeCell ref="KPZ20:KPZ21"/>
    <mergeCell ref="KQB20:KQB21"/>
    <mergeCell ref="KQD20:KQD21"/>
    <mergeCell ref="KQF20:KQF21"/>
    <mergeCell ref="KQH20:KQH21"/>
    <mergeCell ref="KQJ20:KQJ21"/>
    <mergeCell ref="KPN20:KPN21"/>
    <mergeCell ref="KPP20:KPP21"/>
    <mergeCell ref="KPR20:KPR21"/>
    <mergeCell ref="KPT20:KPT21"/>
    <mergeCell ref="KPV20:KPV21"/>
    <mergeCell ref="KPX20:KPX21"/>
    <mergeCell ref="KPB20:KPB21"/>
    <mergeCell ref="KPD20:KPD21"/>
    <mergeCell ref="KPF20:KPF21"/>
    <mergeCell ref="KPH20:KPH21"/>
    <mergeCell ref="KPJ20:KPJ21"/>
    <mergeCell ref="KPL20:KPL21"/>
    <mergeCell ref="KOP20:KOP21"/>
    <mergeCell ref="KOR20:KOR21"/>
    <mergeCell ref="KOT20:KOT21"/>
    <mergeCell ref="KOV20:KOV21"/>
    <mergeCell ref="KOX20:KOX21"/>
    <mergeCell ref="KOZ20:KOZ21"/>
    <mergeCell ref="KOD20:KOD21"/>
    <mergeCell ref="KOF20:KOF21"/>
    <mergeCell ref="KOH20:KOH21"/>
    <mergeCell ref="KOJ20:KOJ21"/>
    <mergeCell ref="KOL20:KOL21"/>
    <mergeCell ref="KON20:KON21"/>
    <mergeCell ref="KNR20:KNR21"/>
    <mergeCell ref="KNT20:KNT21"/>
    <mergeCell ref="KNV20:KNV21"/>
    <mergeCell ref="KNX20:KNX21"/>
    <mergeCell ref="KNZ20:KNZ21"/>
    <mergeCell ref="KOB20:KOB21"/>
    <mergeCell ref="KNF20:KNF21"/>
    <mergeCell ref="KNH20:KNH21"/>
    <mergeCell ref="KNJ20:KNJ21"/>
    <mergeCell ref="KNL20:KNL21"/>
    <mergeCell ref="KNN20:KNN21"/>
    <mergeCell ref="KNP20:KNP21"/>
    <mergeCell ref="KMT20:KMT21"/>
    <mergeCell ref="KMV20:KMV21"/>
    <mergeCell ref="KMX20:KMX21"/>
    <mergeCell ref="KMZ20:KMZ21"/>
    <mergeCell ref="KNB20:KNB21"/>
    <mergeCell ref="KND20:KND21"/>
    <mergeCell ref="KMH20:KMH21"/>
    <mergeCell ref="KMJ20:KMJ21"/>
    <mergeCell ref="KML20:KML21"/>
    <mergeCell ref="KMN20:KMN21"/>
    <mergeCell ref="KMP20:KMP21"/>
    <mergeCell ref="KMR20:KMR21"/>
    <mergeCell ref="KLV20:KLV21"/>
    <mergeCell ref="KLX20:KLX21"/>
    <mergeCell ref="KLZ20:KLZ21"/>
    <mergeCell ref="KMB20:KMB21"/>
    <mergeCell ref="KMD20:KMD21"/>
    <mergeCell ref="KMF20:KMF21"/>
    <mergeCell ref="KLJ20:KLJ21"/>
    <mergeCell ref="KLL20:KLL21"/>
    <mergeCell ref="KLN20:KLN21"/>
    <mergeCell ref="KLP20:KLP21"/>
    <mergeCell ref="KLR20:KLR21"/>
    <mergeCell ref="KLT20:KLT21"/>
    <mergeCell ref="KKX20:KKX21"/>
    <mergeCell ref="KKZ20:KKZ21"/>
    <mergeCell ref="KLB20:KLB21"/>
    <mergeCell ref="KLD20:KLD21"/>
    <mergeCell ref="KLF20:KLF21"/>
    <mergeCell ref="KLH20:KLH21"/>
    <mergeCell ref="KKL20:KKL21"/>
    <mergeCell ref="KKN20:KKN21"/>
    <mergeCell ref="KKP20:KKP21"/>
    <mergeCell ref="KKR20:KKR21"/>
    <mergeCell ref="KKT20:KKT21"/>
    <mergeCell ref="KKV20:KKV21"/>
    <mergeCell ref="KJZ20:KJZ21"/>
    <mergeCell ref="KKB20:KKB21"/>
    <mergeCell ref="KKD20:KKD21"/>
    <mergeCell ref="KKF20:KKF21"/>
    <mergeCell ref="KKH20:KKH21"/>
    <mergeCell ref="KKJ20:KKJ21"/>
    <mergeCell ref="KJN20:KJN21"/>
    <mergeCell ref="KJP20:KJP21"/>
    <mergeCell ref="KJR20:KJR21"/>
    <mergeCell ref="KJT20:KJT21"/>
    <mergeCell ref="KJV20:KJV21"/>
    <mergeCell ref="KJX20:KJX21"/>
    <mergeCell ref="KJB20:KJB21"/>
    <mergeCell ref="KJD20:KJD21"/>
    <mergeCell ref="KJF20:KJF21"/>
    <mergeCell ref="KJH20:KJH21"/>
    <mergeCell ref="KJJ20:KJJ21"/>
    <mergeCell ref="KJL20:KJL21"/>
    <mergeCell ref="KIP20:KIP21"/>
    <mergeCell ref="KIR20:KIR21"/>
    <mergeCell ref="KIT20:KIT21"/>
    <mergeCell ref="KIV20:KIV21"/>
    <mergeCell ref="KIX20:KIX21"/>
    <mergeCell ref="KIZ20:KIZ21"/>
    <mergeCell ref="KID20:KID21"/>
    <mergeCell ref="KIF20:KIF21"/>
    <mergeCell ref="KIH20:KIH21"/>
    <mergeCell ref="KIJ20:KIJ21"/>
    <mergeCell ref="KIL20:KIL21"/>
    <mergeCell ref="KIN20:KIN21"/>
    <mergeCell ref="KHR20:KHR21"/>
    <mergeCell ref="KHT20:KHT21"/>
    <mergeCell ref="KHV20:KHV21"/>
    <mergeCell ref="KHX20:KHX21"/>
    <mergeCell ref="KHZ20:KHZ21"/>
    <mergeCell ref="KIB20:KIB21"/>
    <mergeCell ref="KHF20:KHF21"/>
    <mergeCell ref="KHH20:KHH21"/>
    <mergeCell ref="KHJ20:KHJ21"/>
    <mergeCell ref="KHL20:KHL21"/>
    <mergeCell ref="KHN20:KHN21"/>
    <mergeCell ref="KHP20:KHP21"/>
    <mergeCell ref="KGT20:KGT21"/>
    <mergeCell ref="KGV20:KGV21"/>
    <mergeCell ref="KGX20:KGX21"/>
    <mergeCell ref="KGZ20:KGZ21"/>
    <mergeCell ref="KHB20:KHB21"/>
    <mergeCell ref="KHD20:KHD21"/>
    <mergeCell ref="KGH20:KGH21"/>
    <mergeCell ref="KGJ20:KGJ21"/>
    <mergeCell ref="KGL20:KGL21"/>
    <mergeCell ref="KGN20:KGN21"/>
    <mergeCell ref="KGP20:KGP21"/>
    <mergeCell ref="KGR20:KGR21"/>
    <mergeCell ref="KFV20:KFV21"/>
    <mergeCell ref="KFX20:KFX21"/>
    <mergeCell ref="KFZ20:KFZ21"/>
    <mergeCell ref="KGB20:KGB21"/>
    <mergeCell ref="KGD20:KGD21"/>
    <mergeCell ref="KGF20:KGF21"/>
    <mergeCell ref="KFJ20:KFJ21"/>
    <mergeCell ref="KFL20:KFL21"/>
    <mergeCell ref="KFN20:KFN21"/>
    <mergeCell ref="KFP20:KFP21"/>
    <mergeCell ref="KFR20:KFR21"/>
    <mergeCell ref="KFT20:KFT21"/>
    <mergeCell ref="KEX20:KEX21"/>
    <mergeCell ref="KEZ20:KEZ21"/>
    <mergeCell ref="KFB20:KFB21"/>
    <mergeCell ref="KFD20:KFD21"/>
    <mergeCell ref="KFF20:KFF21"/>
    <mergeCell ref="KFH20:KFH21"/>
    <mergeCell ref="KEL20:KEL21"/>
    <mergeCell ref="KEN20:KEN21"/>
    <mergeCell ref="KEP20:KEP21"/>
    <mergeCell ref="KER20:KER21"/>
    <mergeCell ref="KET20:KET21"/>
    <mergeCell ref="KEV20:KEV21"/>
    <mergeCell ref="KDZ20:KDZ21"/>
    <mergeCell ref="KEB20:KEB21"/>
    <mergeCell ref="KED20:KED21"/>
    <mergeCell ref="KEF20:KEF21"/>
    <mergeCell ref="KEH20:KEH21"/>
    <mergeCell ref="KEJ20:KEJ21"/>
    <mergeCell ref="KDN20:KDN21"/>
    <mergeCell ref="KDP20:KDP21"/>
    <mergeCell ref="KDR20:KDR21"/>
    <mergeCell ref="KDT20:KDT21"/>
    <mergeCell ref="KDV20:KDV21"/>
    <mergeCell ref="KDX20:KDX21"/>
    <mergeCell ref="KDB20:KDB21"/>
    <mergeCell ref="KDD20:KDD21"/>
    <mergeCell ref="KDF20:KDF21"/>
    <mergeCell ref="KDH20:KDH21"/>
    <mergeCell ref="KDJ20:KDJ21"/>
    <mergeCell ref="KDL20:KDL21"/>
    <mergeCell ref="KCP20:KCP21"/>
    <mergeCell ref="KCR20:KCR21"/>
    <mergeCell ref="KCT20:KCT21"/>
    <mergeCell ref="KCV20:KCV21"/>
    <mergeCell ref="KCX20:KCX21"/>
    <mergeCell ref="KCZ20:KCZ21"/>
    <mergeCell ref="KCD20:KCD21"/>
    <mergeCell ref="KCF20:KCF21"/>
    <mergeCell ref="KCH20:KCH21"/>
    <mergeCell ref="KCJ20:KCJ21"/>
    <mergeCell ref="KCL20:KCL21"/>
    <mergeCell ref="KCN20:KCN21"/>
    <mergeCell ref="KBR20:KBR21"/>
    <mergeCell ref="KBT20:KBT21"/>
    <mergeCell ref="KBV20:KBV21"/>
    <mergeCell ref="KBX20:KBX21"/>
    <mergeCell ref="KBZ20:KBZ21"/>
    <mergeCell ref="KCB20:KCB21"/>
    <mergeCell ref="KBF20:KBF21"/>
    <mergeCell ref="KBH20:KBH21"/>
    <mergeCell ref="KBJ20:KBJ21"/>
    <mergeCell ref="KBL20:KBL21"/>
    <mergeCell ref="KBN20:KBN21"/>
    <mergeCell ref="KBP20:KBP21"/>
    <mergeCell ref="KAT20:KAT21"/>
    <mergeCell ref="KAV20:KAV21"/>
    <mergeCell ref="KAX20:KAX21"/>
    <mergeCell ref="KAZ20:KAZ21"/>
    <mergeCell ref="KBB20:KBB21"/>
    <mergeCell ref="KBD20:KBD21"/>
    <mergeCell ref="KAH20:KAH21"/>
    <mergeCell ref="KAJ20:KAJ21"/>
    <mergeCell ref="KAL20:KAL21"/>
    <mergeCell ref="KAN20:KAN21"/>
    <mergeCell ref="KAP20:KAP21"/>
    <mergeCell ref="KAR20:KAR21"/>
    <mergeCell ref="JZV20:JZV21"/>
    <mergeCell ref="JZX20:JZX21"/>
    <mergeCell ref="JZZ20:JZZ21"/>
    <mergeCell ref="KAB20:KAB21"/>
    <mergeCell ref="KAD20:KAD21"/>
    <mergeCell ref="KAF20:KAF21"/>
    <mergeCell ref="JZJ20:JZJ21"/>
    <mergeCell ref="JZL20:JZL21"/>
    <mergeCell ref="JZN20:JZN21"/>
    <mergeCell ref="JZP20:JZP21"/>
    <mergeCell ref="JZR20:JZR21"/>
    <mergeCell ref="JZT20:JZT21"/>
    <mergeCell ref="JYX20:JYX21"/>
    <mergeCell ref="JYZ20:JYZ21"/>
    <mergeCell ref="JZB20:JZB21"/>
    <mergeCell ref="JZD20:JZD21"/>
    <mergeCell ref="JZF20:JZF21"/>
    <mergeCell ref="JZH20:JZH21"/>
    <mergeCell ref="JYL20:JYL21"/>
    <mergeCell ref="JYN20:JYN21"/>
    <mergeCell ref="JYP20:JYP21"/>
    <mergeCell ref="JYR20:JYR21"/>
    <mergeCell ref="JYT20:JYT21"/>
    <mergeCell ref="JYV20:JYV21"/>
    <mergeCell ref="JXZ20:JXZ21"/>
    <mergeCell ref="JYB20:JYB21"/>
    <mergeCell ref="JYD20:JYD21"/>
    <mergeCell ref="JYF20:JYF21"/>
    <mergeCell ref="JYH20:JYH21"/>
    <mergeCell ref="JYJ20:JYJ21"/>
    <mergeCell ref="JXN20:JXN21"/>
    <mergeCell ref="JXP20:JXP21"/>
    <mergeCell ref="JXR20:JXR21"/>
    <mergeCell ref="JXT20:JXT21"/>
    <mergeCell ref="JXV20:JXV21"/>
    <mergeCell ref="JXX20:JXX21"/>
    <mergeCell ref="JXB20:JXB21"/>
    <mergeCell ref="JXD20:JXD21"/>
    <mergeCell ref="JXF20:JXF21"/>
    <mergeCell ref="JXH20:JXH21"/>
    <mergeCell ref="JXJ20:JXJ21"/>
    <mergeCell ref="JXL20:JXL21"/>
    <mergeCell ref="JWP20:JWP21"/>
    <mergeCell ref="JWR20:JWR21"/>
    <mergeCell ref="JWT20:JWT21"/>
    <mergeCell ref="JWV20:JWV21"/>
    <mergeCell ref="JWX20:JWX21"/>
    <mergeCell ref="JWZ20:JWZ21"/>
    <mergeCell ref="JWD20:JWD21"/>
    <mergeCell ref="JWF20:JWF21"/>
    <mergeCell ref="JWH20:JWH21"/>
    <mergeCell ref="JWJ20:JWJ21"/>
    <mergeCell ref="JWL20:JWL21"/>
    <mergeCell ref="JWN20:JWN21"/>
    <mergeCell ref="JVR20:JVR21"/>
    <mergeCell ref="JVT20:JVT21"/>
    <mergeCell ref="JVV20:JVV21"/>
    <mergeCell ref="JVX20:JVX21"/>
    <mergeCell ref="JVZ20:JVZ21"/>
    <mergeCell ref="JWB20:JWB21"/>
    <mergeCell ref="JVF20:JVF21"/>
    <mergeCell ref="JVH20:JVH21"/>
    <mergeCell ref="JVJ20:JVJ21"/>
    <mergeCell ref="JVL20:JVL21"/>
    <mergeCell ref="JVN20:JVN21"/>
    <mergeCell ref="JVP20:JVP21"/>
    <mergeCell ref="JUT20:JUT21"/>
    <mergeCell ref="JUV20:JUV21"/>
    <mergeCell ref="JUX20:JUX21"/>
    <mergeCell ref="JUZ20:JUZ21"/>
    <mergeCell ref="JVB20:JVB21"/>
    <mergeCell ref="JVD20:JVD21"/>
    <mergeCell ref="JUH20:JUH21"/>
    <mergeCell ref="JUJ20:JUJ21"/>
    <mergeCell ref="JUL20:JUL21"/>
    <mergeCell ref="JUN20:JUN21"/>
    <mergeCell ref="JUP20:JUP21"/>
    <mergeCell ref="JUR20:JUR21"/>
    <mergeCell ref="JTV20:JTV21"/>
    <mergeCell ref="JTX20:JTX21"/>
    <mergeCell ref="JTZ20:JTZ21"/>
    <mergeCell ref="JUB20:JUB21"/>
    <mergeCell ref="JUD20:JUD21"/>
    <mergeCell ref="JUF20:JUF21"/>
    <mergeCell ref="JTJ20:JTJ21"/>
    <mergeCell ref="JTL20:JTL21"/>
    <mergeCell ref="JTN20:JTN21"/>
    <mergeCell ref="JTP20:JTP21"/>
    <mergeCell ref="JTR20:JTR21"/>
    <mergeCell ref="JTT20:JTT21"/>
    <mergeCell ref="JSX20:JSX21"/>
    <mergeCell ref="JSZ20:JSZ21"/>
    <mergeCell ref="JTB20:JTB21"/>
    <mergeCell ref="JTD20:JTD21"/>
    <mergeCell ref="JTF20:JTF21"/>
    <mergeCell ref="JTH20:JTH21"/>
    <mergeCell ref="JSL20:JSL21"/>
    <mergeCell ref="JSN20:JSN21"/>
    <mergeCell ref="JSP20:JSP21"/>
    <mergeCell ref="JSR20:JSR21"/>
    <mergeCell ref="JST20:JST21"/>
    <mergeCell ref="JSV20:JSV21"/>
    <mergeCell ref="JRZ20:JRZ21"/>
    <mergeCell ref="JSB20:JSB21"/>
    <mergeCell ref="JSD20:JSD21"/>
    <mergeCell ref="JSF20:JSF21"/>
    <mergeCell ref="JSH20:JSH21"/>
    <mergeCell ref="JSJ20:JSJ21"/>
    <mergeCell ref="JRN20:JRN21"/>
    <mergeCell ref="JRP20:JRP21"/>
    <mergeCell ref="JRR20:JRR21"/>
    <mergeCell ref="JRT20:JRT21"/>
    <mergeCell ref="JRV20:JRV21"/>
    <mergeCell ref="JRX20:JRX21"/>
    <mergeCell ref="JRB20:JRB21"/>
    <mergeCell ref="JRD20:JRD21"/>
    <mergeCell ref="JRF20:JRF21"/>
    <mergeCell ref="JRH20:JRH21"/>
    <mergeCell ref="JRJ20:JRJ21"/>
    <mergeCell ref="JRL20:JRL21"/>
    <mergeCell ref="JQP20:JQP21"/>
    <mergeCell ref="JQR20:JQR21"/>
    <mergeCell ref="JQT20:JQT21"/>
    <mergeCell ref="JQV20:JQV21"/>
    <mergeCell ref="JQX20:JQX21"/>
    <mergeCell ref="JQZ20:JQZ21"/>
    <mergeCell ref="JQD20:JQD21"/>
    <mergeCell ref="JQF20:JQF21"/>
    <mergeCell ref="JQH20:JQH21"/>
    <mergeCell ref="JQJ20:JQJ21"/>
    <mergeCell ref="JQL20:JQL21"/>
    <mergeCell ref="JQN20:JQN21"/>
    <mergeCell ref="JPR20:JPR21"/>
    <mergeCell ref="JPT20:JPT21"/>
    <mergeCell ref="JPV20:JPV21"/>
    <mergeCell ref="JPX20:JPX21"/>
    <mergeCell ref="JPZ20:JPZ21"/>
    <mergeCell ref="JQB20:JQB21"/>
    <mergeCell ref="JPF20:JPF21"/>
    <mergeCell ref="JPH20:JPH21"/>
    <mergeCell ref="JPJ20:JPJ21"/>
    <mergeCell ref="JPL20:JPL21"/>
    <mergeCell ref="JPN20:JPN21"/>
    <mergeCell ref="JPP20:JPP21"/>
    <mergeCell ref="JOT20:JOT21"/>
    <mergeCell ref="JOV20:JOV21"/>
    <mergeCell ref="JOX20:JOX21"/>
    <mergeCell ref="JOZ20:JOZ21"/>
    <mergeCell ref="JPB20:JPB21"/>
    <mergeCell ref="JPD20:JPD21"/>
    <mergeCell ref="JOH20:JOH21"/>
    <mergeCell ref="JOJ20:JOJ21"/>
    <mergeCell ref="JOL20:JOL21"/>
    <mergeCell ref="JON20:JON21"/>
    <mergeCell ref="JOP20:JOP21"/>
    <mergeCell ref="JOR20:JOR21"/>
    <mergeCell ref="JNV20:JNV21"/>
    <mergeCell ref="JNX20:JNX21"/>
    <mergeCell ref="JNZ20:JNZ21"/>
    <mergeCell ref="JOB20:JOB21"/>
    <mergeCell ref="JOD20:JOD21"/>
    <mergeCell ref="JOF20:JOF21"/>
    <mergeCell ref="JNJ20:JNJ21"/>
    <mergeCell ref="JNL20:JNL21"/>
    <mergeCell ref="JNN20:JNN21"/>
    <mergeCell ref="JNP20:JNP21"/>
    <mergeCell ref="JNR20:JNR21"/>
    <mergeCell ref="JNT20:JNT21"/>
    <mergeCell ref="JMX20:JMX21"/>
    <mergeCell ref="JMZ20:JMZ21"/>
    <mergeCell ref="JNB20:JNB21"/>
    <mergeCell ref="JND20:JND21"/>
    <mergeCell ref="JNF20:JNF21"/>
    <mergeCell ref="JNH20:JNH21"/>
    <mergeCell ref="JML20:JML21"/>
    <mergeCell ref="JMN20:JMN21"/>
    <mergeCell ref="JMP20:JMP21"/>
    <mergeCell ref="JMR20:JMR21"/>
    <mergeCell ref="JMT20:JMT21"/>
    <mergeCell ref="JMV20:JMV21"/>
    <mergeCell ref="JLZ20:JLZ21"/>
    <mergeCell ref="JMB20:JMB21"/>
    <mergeCell ref="JMD20:JMD21"/>
    <mergeCell ref="JMF20:JMF21"/>
    <mergeCell ref="JMH20:JMH21"/>
    <mergeCell ref="JMJ20:JMJ21"/>
    <mergeCell ref="JLN20:JLN21"/>
    <mergeCell ref="JLP20:JLP21"/>
    <mergeCell ref="JLR20:JLR21"/>
    <mergeCell ref="JLT20:JLT21"/>
    <mergeCell ref="JLV20:JLV21"/>
    <mergeCell ref="JLX20:JLX21"/>
    <mergeCell ref="JLB20:JLB21"/>
    <mergeCell ref="JLD20:JLD21"/>
    <mergeCell ref="JLF20:JLF21"/>
    <mergeCell ref="JLH20:JLH21"/>
    <mergeCell ref="JLJ20:JLJ21"/>
    <mergeCell ref="JLL20:JLL21"/>
    <mergeCell ref="JKP20:JKP21"/>
    <mergeCell ref="JKR20:JKR21"/>
    <mergeCell ref="JKT20:JKT21"/>
    <mergeCell ref="JKV20:JKV21"/>
    <mergeCell ref="JKX20:JKX21"/>
    <mergeCell ref="JKZ20:JKZ21"/>
    <mergeCell ref="JKD20:JKD21"/>
    <mergeCell ref="JKF20:JKF21"/>
    <mergeCell ref="JKH20:JKH21"/>
    <mergeCell ref="JKJ20:JKJ21"/>
    <mergeCell ref="JKL20:JKL21"/>
    <mergeCell ref="JKN20:JKN21"/>
    <mergeCell ref="JJR20:JJR21"/>
    <mergeCell ref="JJT20:JJT21"/>
    <mergeCell ref="JJV20:JJV21"/>
    <mergeCell ref="JJX20:JJX21"/>
    <mergeCell ref="JJZ20:JJZ21"/>
    <mergeCell ref="JKB20:JKB21"/>
    <mergeCell ref="JJF20:JJF21"/>
    <mergeCell ref="JJH20:JJH21"/>
    <mergeCell ref="JJJ20:JJJ21"/>
    <mergeCell ref="JJL20:JJL21"/>
    <mergeCell ref="JJN20:JJN21"/>
    <mergeCell ref="JJP20:JJP21"/>
    <mergeCell ref="JIT20:JIT21"/>
    <mergeCell ref="JIV20:JIV21"/>
    <mergeCell ref="JIX20:JIX21"/>
    <mergeCell ref="JIZ20:JIZ21"/>
    <mergeCell ref="JJB20:JJB21"/>
    <mergeCell ref="JJD20:JJD21"/>
    <mergeCell ref="JIH20:JIH21"/>
    <mergeCell ref="JIJ20:JIJ21"/>
    <mergeCell ref="JIL20:JIL21"/>
    <mergeCell ref="JIN20:JIN21"/>
    <mergeCell ref="JIP20:JIP21"/>
    <mergeCell ref="JIR20:JIR21"/>
    <mergeCell ref="JHV20:JHV21"/>
    <mergeCell ref="JHX20:JHX21"/>
    <mergeCell ref="JHZ20:JHZ21"/>
    <mergeCell ref="JIB20:JIB21"/>
    <mergeCell ref="JID20:JID21"/>
    <mergeCell ref="JIF20:JIF21"/>
    <mergeCell ref="JHJ20:JHJ21"/>
    <mergeCell ref="JHL20:JHL21"/>
    <mergeCell ref="JHN20:JHN21"/>
    <mergeCell ref="JHP20:JHP21"/>
    <mergeCell ref="JHR20:JHR21"/>
    <mergeCell ref="JHT20:JHT21"/>
    <mergeCell ref="JGX20:JGX21"/>
    <mergeCell ref="JGZ20:JGZ21"/>
    <mergeCell ref="JHB20:JHB21"/>
    <mergeCell ref="JHD20:JHD21"/>
    <mergeCell ref="JHF20:JHF21"/>
    <mergeCell ref="JHH20:JHH21"/>
    <mergeCell ref="JGL20:JGL21"/>
    <mergeCell ref="JGN20:JGN21"/>
    <mergeCell ref="JGP20:JGP21"/>
    <mergeCell ref="JGR20:JGR21"/>
    <mergeCell ref="JGT20:JGT21"/>
    <mergeCell ref="JGV20:JGV21"/>
    <mergeCell ref="JFZ20:JFZ21"/>
    <mergeCell ref="JGB20:JGB21"/>
    <mergeCell ref="JGD20:JGD21"/>
    <mergeCell ref="JGF20:JGF21"/>
    <mergeCell ref="JGH20:JGH21"/>
    <mergeCell ref="JGJ20:JGJ21"/>
    <mergeCell ref="JFN20:JFN21"/>
    <mergeCell ref="JFP20:JFP21"/>
    <mergeCell ref="JFR20:JFR21"/>
    <mergeCell ref="JFT20:JFT21"/>
    <mergeCell ref="JFV20:JFV21"/>
    <mergeCell ref="JFX20:JFX21"/>
    <mergeCell ref="JFB20:JFB21"/>
    <mergeCell ref="JFD20:JFD21"/>
    <mergeCell ref="JFF20:JFF21"/>
    <mergeCell ref="JFH20:JFH21"/>
    <mergeCell ref="JFJ20:JFJ21"/>
    <mergeCell ref="JFL20:JFL21"/>
    <mergeCell ref="JEP20:JEP21"/>
    <mergeCell ref="JER20:JER21"/>
    <mergeCell ref="JET20:JET21"/>
    <mergeCell ref="JEV20:JEV21"/>
    <mergeCell ref="JEX20:JEX21"/>
    <mergeCell ref="JEZ20:JEZ21"/>
    <mergeCell ref="JED20:JED21"/>
    <mergeCell ref="JEF20:JEF21"/>
    <mergeCell ref="JEH20:JEH21"/>
    <mergeCell ref="JEJ20:JEJ21"/>
    <mergeCell ref="JEL20:JEL21"/>
    <mergeCell ref="JEN20:JEN21"/>
    <mergeCell ref="JDR20:JDR21"/>
    <mergeCell ref="JDT20:JDT21"/>
    <mergeCell ref="JDV20:JDV21"/>
    <mergeCell ref="JDX20:JDX21"/>
    <mergeCell ref="JDZ20:JDZ21"/>
    <mergeCell ref="JEB20:JEB21"/>
    <mergeCell ref="JDF20:JDF21"/>
    <mergeCell ref="JDH20:JDH21"/>
    <mergeCell ref="JDJ20:JDJ21"/>
    <mergeCell ref="JDL20:JDL21"/>
    <mergeCell ref="JDN20:JDN21"/>
    <mergeCell ref="JDP20:JDP21"/>
    <mergeCell ref="JCT20:JCT21"/>
    <mergeCell ref="JCV20:JCV21"/>
    <mergeCell ref="JCX20:JCX21"/>
    <mergeCell ref="JCZ20:JCZ21"/>
    <mergeCell ref="JDB20:JDB21"/>
    <mergeCell ref="JDD20:JDD21"/>
    <mergeCell ref="JCH20:JCH21"/>
    <mergeCell ref="JCJ20:JCJ21"/>
    <mergeCell ref="JCL20:JCL21"/>
    <mergeCell ref="JCN20:JCN21"/>
    <mergeCell ref="JCP20:JCP21"/>
    <mergeCell ref="JCR20:JCR21"/>
    <mergeCell ref="JBV20:JBV21"/>
    <mergeCell ref="JBX20:JBX21"/>
    <mergeCell ref="JBZ20:JBZ21"/>
    <mergeCell ref="JCB20:JCB21"/>
    <mergeCell ref="JCD20:JCD21"/>
    <mergeCell ref="JCF20:JCF21"/>
    <mergeCell ref="JBJ20:JBJ21"/>
    <mergeCell ref="JBL20:JBL21"/>
    <mergeCell ref="JBN20:JBN21"/>
    <mergeCell ref="JBP20:JBP21"/>
    <mergeCell ref="JBR20:JBR21"/>
    <mergeCell ref="JBT20:JBT21"/>
    <mergeCell ref="JAX20:JAX21"/>
    <mergeCell ref="JAZ20:JAZ21"/>
    <mergeCell ref="JBB20:JBB21"/>
    <mergeCell ref="JBD20:JBD21"/>
    <mergeCell ref="JBF20:JBF21"/>
    <mergeCell ref="JBH20:JBH21"/>
    <mergeCell ref="JAL20:JAL21"/>
    <mergeCell ref="JAN20:JAN21"/>
    <mergeCell ref="JAP20:JAP21"/>
    <mergeCell ref="JAR20:JAR21"/>
    <mergeCell ref="JAT20:JAT21"/>
    <mergeCell ref="JAV20:JAV21"/>
    <mergeCell ref="IZZ20:IZZ21"/>
    <mergeCell ref="JAB20:JAB21"/>
    <mergeCell ref="JAD20:JAD21"/>
    <mergeCell ref="JAF20:JAF21"/>
    <mergeCell ref="JAH20:JAH21"/>
    <mergeCell ref="JAJ20:JAJ21"/>
    <mergeCell ref="IZN20:IZN21"/>
    <mergeCell ref="IZP20:IZP21"/>
    <mergeCell ref="IZR20:IZR21"/>
    <mergeCell ref="IZT20:IZT21"/>
    <mergeCell ref="IZV20:IZV21"/>
    <mergeCell ref="IZX20:IZX21"/>
    <mergeCell ref="IZB20:IZB21"/>
    <mergeCell ref="IZD20:IZD21"/>
    <mergeCell ref="IZF20:IZF21"/>
    <mergeCell ref="IZH20:IZH21"/>
    <mergeCell ref="IZJ20:IZJ21"/>
    <mergeCell ref="IZL20:IZL21"/>
    <mergeCell ref="IYP20:IYP21"/>
    <mergeCell ref="IYR20:IYR21"/>
    <mergeCell ref="IYT20:IYT21"/>
    <mergeCell ref="IYV20:IYV21"/>
    <mergeCell ref="IYX20:IYX21"/>
    <mergeCell ref="IYZ20:IYZ21"/>
    <mergeCell ref="IYD20:IYD21"/>
    <mergeCell ref="IYF20:IYF21"/>
    <mergeCell ref="IYH20:IYH21"/>
    <mergeCell ref="IYJ20:IYJ21"/>
    <mergeCell ref="IYL20:IYL21"/>
    <mergeCell ref="IYN20:IYN21"/>
    <mergeCell ref="IXR20:IXR21"/>
    <mergeCell ref="IXT20:IXT21"/>
    <mergeCell ref="IXV20:IXV21"/>
    <mergeCell ref="IXX20:IXX21"/>
    <mergeCell ref="IXZ20:IXZ21"/>
    <mergeCell ref="IYB20:IYB21"/>
    <mergeCell ref="IXF20:IXF21"/>
    <mergeCell ref="IXH20:IXH21"/>
    <mergeCell ref="IXJ20:IXJ21"/>
    <mergeCell ref="IXL20:IXL21"/>
    <mergeCell ref="IXN20:IXN21"/>
    <mergeCell ref="IXP20:IXP21"/>
    <mergeCell ref="IWT20:IWT21"/>
    <mergeCell ref="IWV20:IWV21"/>
    <mergeCell ref="IWX20:IWX21"/>
    <mergeCell ref="IWZ20:IWZ21"/>
    <mergeCell ref="IXB20:IXB21"/>
    <mergeCell ref="IXD20:IXD21"/>
    <mergeCell ref="IWH20:IWH21"/>
    <mergeCell ref="IWJ20:IWJ21"/>
    <mergeCell ref="IWL20:IWL21"/>
    <mergeCell ref="IWN20:IWN21"/>
    <mergeCell ref="IWP20:IWP21"/>
    <mergeCell ref="IWR20:IWR21"/>
    <mergeCell ref="IVV20:IVV21"/>
    <mergeCell ref="IVX20:IVX21"/>
    <mergeCell ref="IVZ20:IVZ21"/>
    <mergeCell ref="IWB20:IWB21"/>
    <mergeCell ref="IWD20:IWD21"/>
    <mergeCell ref="IWF20:IWF21"/>
    <mergeCell ref="IVJ20:IVJ21"/>
    <mergeCell ref="IVL20:IVL21"/>
    <mergeCell ref="IVN20:IVN21"/>
    <mergeCell ref="IVP20:IVP21"/>
    <mergeCell ref="IVR20:IVR21"/>
    <mergeCell ref="IVT20:IVT21"/>
    <mergeCell ref="IUX20:IUX21"/>
    <mergeCell ref="IUZ20:IUZ21"/>
    <mergeCell ref="IVB20:IVB21"/>
    <mergeCell ref="IVD20:IVD21"/>
    <mergeCell ref="IVF20:IVF21"/>
    <mergeCell ref="IVH20:IVH21"/>
    <mergeCell ref="IUL20:IUL21"/>
    <mergeCell ref="IUN20:IUN21"/>
    <mergeCell ref="IUP20:IUP21"/>
    <mergeCell ref="IUR20:IUR21"/>
    <mergeCell ref="IUT20:IUT21"/>
    <mergeCell ref="IUV20:IUV21"/>
    <mergeCell ref="ITZ20:ITZ21"/>
    <mergeCell ref="IUB20:IUB21"/>
    <mergeCell ref="IUD20:IUD21"/>
    <mergeCell ref="IUF20:IUF21"/>
    <mergeCell ref="IUH20:IUH21"/>
    <mergeCell ref="IUJ20:IUJ21"/>
    <mergeCell ref="ITN20:ITN21"/>
    <mergeCell ref="ITP20:ITP21"/>
    <mergeCell ref="ITR20:ITR21"/>
    <mergeCell ref="ITT20:ITT21"/>
    <mergeCell ref="ITV20:ITV21"/>
    <mergeCell ref="ITX20:ITX21"/>
    <mergeCell ref="ITB20:ITB21"/>
    <mergeCell ref="ITD20:ITD21"/>
    <mergeCell ref="ITF20:ITF21"/>
    <mergeCell ref="ITH20:ITH21"/>
    <mergeCell ref="ITJ20:ITJ21"/>
    <mergeCell ref="ITL20:ITL21"/>
    <mergeCell ref="ISP20:ISP21"/>
    <mergeCell ref="ISR20:ISR21"/>
    <mergeCell ref="IST20:IST21"/>
    <mergeCell ref="ISV20:ISV21"/>
    <mergeCell ref="ISX20:ISX21"/>
    <mergeCell ref="ISZ20:ISZ21"/>
    <mergeCell ref="ISD20:ISD21"/>
    <mergeCell ref="ISF20:ISF21"/>
    <mergeCell ref="ISH20:ISH21"/>
    <mergeCell ref="ISJ20:ISJ21"/>
    <mergeCell ref="ISL20:ISL21"/>
    <mergeCell ref="ISN20:ISN21"/>
    <mergeCell ref="IRR20:IRR21"/>
    <mergeCell ref="IRT20:IRT21"/>
    <mergeCell ref="IRV20:IRV21"/>
    <mergeCell ref="IRX20:IRX21"/>
    <mergeCell ref="IRZ20:IRZ21"/>
    <mergeCell ref="ISB20:ISB21"/>
    <mergeCell ref="IRF20:IRF21"/>
    <mergeCell ref="IRH20:IRH21"/>
    <mergeCell ref="IRJ20:IRJ21"/>
    <mergeCell ref="IRL20:IRL21"/>
    <mergeCell ref="IRN20:IRN21"/>
    <mergeCell ref="IRP20:IRP21"/>
    <mergeCell ref="IQT20:IQT21"/>
    <mergeCell ref="IQV20:IQV21"/>
    <mergeCell ref="IQX20:IQX21"/>
    <mergeCell ref="IQZ20:IQZ21"/>
    <mergeCell ref="IRB20:IRB21"/>
    <mergeCell ref="IRD20:IRD21"/>
    <mergeCell ref="IQH20:IQH21"/>
    <mergeCell ref="IQJ20:IQJ21"/>
    <mergeCell ref="IQL20:IQL21"/>
    <mergeCell ref="IQN20:IQN21"/>
    <mergeCell ref="IQP20:IQP21"/>
    <mergeCell ref="IQR20:IQR21"/>
    <mergeCell ref="IPV20:IPV21"/>
    <mergeCell ref="IPX20:IPX21"/>
    <mergeCell ref="IPZ20:IPZ21"/>
    <mergeCell ref="IQB20:IQB21"/>
    <mergeCell ref="IQD20:IQD21"/>
    <mergeCell ref="IQF20:IQF21"/>
    <mergeCell ref="IPJ20:IPJ21"/>
    <mergeCell ref="IPL20:IPL21"/>
    <mergeCell ref="IPN20:IPN21"/>
    <mergeCell ref="IPP20:IPP21"/>
    <mergeCell ref="IPR20:IPR21"/>
    <mergeCell ref="IPT20:IPT21"/>
    <mergeCell ref="IOX20:IOX21"/>
    <mergeCell ref="IOZ20:IOZ21"/>
    <mergeCell ref="IPB20:IPB21"/>
    <mergeCell ref="IPD20:IPD21"/>
    <mergeCell ref="IPF20:IPF21"/>
    <mergeCell ref="IPH20:IPH21"/>
    <mergeCell ref="IOL20:IOL21"/>
    <mergeCell ref="ION20:ION21"/>
    <mergeCell ref="IOP20:IOP21"/>
    <mergeCell ref="IOR20:IOR21"/>
    <mergeCell ref="IOT20:IOT21"/>
    <mergeCell ref="IOV20:IOV21"/>
    <mergeCell ref="INZ20:INZ21"/>
    <mergeCell ref="IOB20:IOB21"/>
    <mergeCell ref="IOD20:IOD21"/>
    <mergeCell ref="IOF20:IOF21"/>
    <mergeCell ref="IOH20:IOH21"/>
    <mergeCell ref="IOJ20:IOJ21"/>
    <mergeCell ref="INN20:INN21"/>
    <mergeCell ref="INP20:INP21"/>
    <mergeCell ref="INR20:INR21"/>
    <mergeCell ref="INT20:INT21"/>
    <mergeCell ref="INV20:INV21"/>
    <mergeCell ref="INX20:INX21"/>
    <mergeCell ref="INB20:INB21"/>
    <mergeCell ref="IND20:IND21"/>
    <mergeCell ref="INF20:INF21"/>
    <mergeCell ref="INH20:INH21"/>
    <mergeCell ref="INJ20:INJ21"/>
    <mergeCell ref="INL20:INL21"/>
    <mergeCell ref="IMP20:IMP21"/>
    <mergeCell ref="IMR20:IMR21"/>
    <mergeCell ref="IMT20:IMT21"/>
    <mergeCell ref="IMV20:IMV21"/>
    <mergeCell ref="IMX20:IMX21"/>
    <mergeCell ref="IMZ20:IMZ21"/>
    <mergeCell ref="IMD20:IMD21"/>
    <mergeCell ref="IMF20:IMF21"/>
    <mergeCell ref="IMH20:IMH21"/>
    <mergeCell ref="IMJ20:IMJ21"/>
    <mergeCell ref="IML20:IML21"/>
    <mergeCell ref="IMN20:IMN21"/>
    <mergeCell ref="ILR20:ILR21"/>
    <mergeCell ref="ILT20:ILT21"/>
    <mergeCell ref="ILV20:ILV21"/>
    <mergeCell ref="ILX20:ILX21"/>
    <mergeCell ref="ILZ20:ILZ21"/>
    <mergeCell ref="IMB20:IMB21"/>
    <mergeCell ref="ILF20:ILF21"/>
    <mergeCell ref="ILH20:ILH21"/>
    <mergeCell ref="ILJ20:ILJ21"/>
    <mergeCell ref="ILL20:ILL21"/>
    <mergeCell ref="ILN20:ILN21"/>
    <mergeCell ref="ILP20:ILP21"/>
    <mergeCell ref="IKT20:IKT21"/>
    <mergeCell ref="IKV20:IKV21"/>
    <mergeCell ref="IKX20:IKX21"/>
    <mergeCell ref="IKZ20:IKZ21"/>
    <mergeCell ref="ILB20:ILB21"/>
    <mergeCell ref="ILD20:ILD21"/>
    <mergeCell ref="IKH20:IKH21"/>
    <mergeCell ref="IKJ20:IKJ21"/>
    <mergeCell ref="IKL20:IKL21"/>
    <mergeCell ref="IKN20:IKN21"/>
    <mergeCell ref="IKP20:IKP21"/>
    <mergeCell ref="IKR20:IKR21"/>
    <mergeCell ref="IJV20:IJV21"/>
    <mergeCell ref="IJX20:IJX21"/>
    <mergeCell ref="IJZ20:IJZ21"/>
    <mergeCell ref="IKB20:IKB21"/>
    <mergeCell ref="IKD20:IKD21"/>
    <mergeCell ref="IKF20:IKF21"/>
    <mergeCell ref="IJJ20:IJJ21"/>
    <mergeCell ref="IJL20:IJL21"/>
    <mergeCell ref="IJN20:IJN21"/>
    <mergeCell ref="IJP20:IJP21"/>
    <mergeCell ref="IJR20:IJR21"/>
    <mergeCell ref="IJT20:IJT21"/>
    <mergeCell ref="IIX20:IIX21"/>
    <mergeCell ref="IIZ20:IIZ21"/>
    <mergeCell ref="IJB20:IJB21"/>
    <mergeCell ref="IJD20:IJD21"/>
    <mergeCell ref="IJF20:IJF21"/>
    <mergeCell ref="IJH20:IJH21"/>
    <mergeCell ref="IIL20:IIL21"/>
    <mergeCell ref="IIN20:IIN21"/>
    <mergeCell ref="IIP20:IIP21"/>
    <mergeCell ref="IIR20:IIR21"/>
    <mergeCell ref="IIT20:IIT21"/>
    <mergeCell ref="IIV20:IIV21"/>
    <mergeCell ref="IHZ20:IHZ21"/>
    <mergeCell ref="IIB20:IIB21"/>
    <mergeCell ref="IID20:IID21"/>
    <mergeCell ref="IIF20:IIF21"/>
    <mergeCell ref="IIH20:IIH21"/>
    <mergeCell ref="IIJ20:IIJ21"/>
    <mergeCell ref="IHN20:IHN21"/>
    <mergeCell ref="IHP20:IHP21"/>
    <mergeCell ref="IHR20:IHR21"/>
    <mergeCell ref="IHT20:IHT21"/>
    <mergeCell ref="IHV20:IHV21"/>
    <mergeCell ref="IHX20:IHX21"/>
    <mergeCell ref="IHB20:IHB21"/>
    <mergeCell ref="IHD20:IHD21"/>
    <mergeCell ref="IHF20:IHF21"/>
    <mergeCell ref="IHH20:IHH21"/>
    <mergeCell ref="IHJ20:IHJ21"/>
    <mergeCell ref="IHL20:IHL21"/>
    <mergeCell ref="IGP20:IGP21"/>
    <mergeCell ref="IGR20:IGR21"/>
    <mergeCell ref="IGT20:IGT21"/>
    <mergeCell ref="IGV20:IGV21"/>
    <mergeCell ref="IGX20:IGX21"/>
    <mergeCell ref="IGZ20:IGZ21"/>
    <mergeCell ref="IGD20:IGD21"/>
    <mergeCell ref="IGF20:IGF21"/>
    <mergeCell ref="IGH20:IGH21"/>
    <mergeCell ref="IGJ20:IGJ21"/>
    <mergeCell ref="IGL20:IGL21"/>
    <mergeCell ref="IGN20:IGN21"/>
    <mergeCell ref="IFR20:IFR21"/>
    <mergeCell ref="IFT20:IFT21"/>
    <mergeCell ref="IFV20:IFV21"/>
    <mergeCell ref="IFX20:IFX21"/>
    <mergeCell ref="IFZ20:IFZ21"/>
    <mergeCell ref="IGB20:IGB21"/>
    <mergeCell ref="IFF20:IFF21"/>
    <mergeCell ref="IFH20:IFH21"/>
    <mergeCell ref="IFJ20:IFJ21"/>
    <mergeCell ref="IFL20:IFL21"/>
    <mergeCell ref="IFN20:IFN21"/>
    <mergeCell ref="IFP20:IFP21"/>
    <mergeCell ref="IET20:IET21"/>
    <mergeCell ref="IEV20:IEV21"/>
    <mergeCell ref="IEX20:IEX21"/>
    <mergeCell ref="IEZ20:IEZ21"/>
    <mergeCell ref="IFB20:IFB21"/>
    <mergeCell ref="IFD20:IFD21"/>
    <mergeCell ref="IEH20:IEH21"/>
    <mergeCell ref="IEJ20:IEJ21"/>
    <mergeCell ref="IEL20:IEL21"/>
    <mergeCell ref="IEN20:IEN21"/>
    <mergeCell ref="IEP20:IEP21"/>
    <mergeCell ref="IER20:IER21"/>
    <mergeCell ref="IDV20:IDV21"/>
    <mergeCell ref="IDX20:IDX21"/>
    <mergeCell ref="IDZ20:IDZ21"/>
    <mergeCell ref="IEB20:IEB21"/>
    <mergeCell ref="IED20:IED21"/>
    <mergeCell ref="IEF20:IEF21"/>
    <mergeCell ref="IDJ20:IDJ21"/>
    <mergeCell ref="IDL20:IDL21"/>
    <mergeCell ref="IDN20:IDN21"/>
    <mergeCell ref="IDP20:IDP21"/>
    <mergeCell ref="IDR20:IDR21"/>
    <mergeCell ref="IDT20:IDT21"/>
    <mergeCell ref="ICX20:ICX21"/>
    <mergeCell ref="ICZ20:ICZ21"/>
    <mergeCell ref="IDB20:IDB21"/>
    <mergeCell ref="IDD20:IDD21"/>
    <mergeCell ref="IDF20:IDF21"/>
    <mergeCell ref="IDH20:IDH21"/>
    <mergeCell ref="ICL20:ICL21"/>
    <mergeCell ref="ICN20:ICN21"/>
    <mergeCell ref="ICP20:ICP21"/>
    <mergeCell ref="ICR20:ICR21"/>
    <mergeCell ref="ICT20:ICT21"/>
    <mergeCell ref="ICV20:ICV21"/>
    <mergeCell ref="IBZ20:IBZ21"/>
    <mergeCell ref="ICB20:ICB21"/>
    <mergeCell ref="ICD20:ICD21"/>
    <mergeCell ref="ICF20:ICF21"/>
    <mergeCell ref="ICH20:ICH21"/>
    <mergeCell ref="ICJ20:ICJ21"/>
    <mergeCell ref="IBN20:IBN21"/>
    <mergeCell ref="IBP20:IBP21"/>
    <mergeCell ref="IBR20:IBR21"/>
    <mergeCell ref="IBT20:IBT21"/>
    <mergeCell ref="IBV20:IBV21"/>
    <mergeCell ref="IBX20:IBX21"/>
    <mergeCell ref="IBB20:IBB21"/>
    <mergeCell ref="IBD20:IBD21"/>
    <mergeCell ref="IBF20:IBF21"/>
    <mergeCell ref="IBH20:IBH21"/>
    <mergeCell ref="IBJ20:IBJ21"/>
    <mergeCell ref="IBL20:IBL21"/>
    <mergeCell ref="IAP20:IAP21"/>
    <mergeCell ref="IAR20:IAR21"/>
    <mergeCell ref="IAT20:IAT21"/>
    <mergeCell ref="IAV20:IAV21"/>
    <mergeCell ref="IAX20:IAX21"/>
    <mergeCell ref="IAZ20:IAZ21"/>
    <mergeCell ref="IAD20:IAD21"/>
    <mergeCell ref="IAF20:IAF21"/>
    <mergeCell ref="IAH20:IAH21"/>
    <mergeCell ref="IAJ20:IAJ21"/>
    <mergeCell ref="IAL20:IAL21"/>
    <mergeCell ref="IAN20:IAN21"/>
    <mergeCell ref="HZR20:HZR21"/>
    <mergeCell ref="HZT20:HZT21"/>
    <mergeCell ref="HZV20:HZV21"/>
    <mergeCell ref="HZX20:HZX21"/>
    <mergeCell ref="HZZ20:HZZ21"/>
    <mergeCell ref="IAB20:IAB21"/>
    <mergeCell ref="HZF20:HZF21"/>
    <mergeCell ref="HZH20:HZH21"/>
    <mergeCell ref="HZJ20:HZJ21"/>
    <mergeCell ref="HZL20:HZL21"/>
    <mergeCell ref="HZN20:HZN21"/>
    <mergeCell ref="HZP20:HZP21"/>
    <mergeCell ref="HYT20:HYT21"/>
    <mergeCell ref="HYV20:HYV21"/>
    <mergeCell ref="HYX20:HYX21"/>
    <mergeCell ref="HYZ20:HYZ21"/>
    <mergeCell ref="HZB20:HZB21"/>
    <mergeCell ref="HZD20:HZD21"/>
    <mergeCell ref="HYH20:HYH21"/>
    <mergeCell ref="HYJ20:HYJ21"/>
    <mergeCell ref="HYL20:HYL21"/>
    <mergeCell ref="HYN20:HYN21"/>
    <mergeCell ref="HYP20:HYP21"/>
    <mergeCell ref="HYR20:HYR21"/>
    <mergeCell ref="HXV20:HXV21"/>
    <mergeCell ref="HXX20:HXX21"/>
    <mergeCell ref="HXZ20:HXZ21"/>
    <mergeCell ref="HYB20:HYB21"/>
    <mergeCell ref="HYD20:HYD21"/>
    <mergeCell ref="HYF20:HYF21"/>
    <mergeCell ref="HXJ20:HXJ21"/>
    <mergeCell ref="HXL20:HXL21"/>
    <mergeCell ref="HXN20:HXN21"/>
    <mergeCell ref="HXP20:HXP21"/>
    <mergeCell ref="HXR20:HXR21"/>
    <mergeCell ref="HXT20:HXT21"/>
    <mergeCell ref="HWX20:HWX21"/>
    <mergeCell ref="HWZ20:HWZ21"/>
    <mergeCell ref="HXB20:HXB21"/>
    <mergeCell ref="HXD20:HXD21"/>
    <mergeCell ref="HXF20:HXF21"/>
    <mergeCell ref="HXH20:HXH21"/>
    <mergeCell ref="HWL20:HWL21"/>
    <mergeCell ref="HWN20:HWN21"/>
    <mergeCell ref="HWP20:HWP21"/>
    <mergeCell ref="HWR20:HWR21"/>
    <mergeCell ref="HWT20:HWT21"/>
    <mergeCell ref="HWV20:HWV21"/>
    <mergeCell ref="HVZ20:HVZ21"/>
    <mergeCell ref="HWB20:HWB21"/>
    <mergeCell ref="HWD20:HWD21"/>
    <mergeCell ref="HWF20:HWF21"/>
    <mergeCell ref="HWH20:HWH21"/>
    <mergeCell ref="HWJ20:HWJ21"/>
    <mergeCell ref="HVN20:HVN21"/>
    <mergeCell ref="HVP20:HVP21"/>
    <mergeCell ref="HVR20:HVR21"/>
    <mergeCell ref="HVT20:HVT21"/>
    <mergeCell ref="HVV20:HVV21"/>
    <mergeCell ref="HVX20:HVX21"/>
    <mergeCell ref="HVB20:HVB21"/>
    <mergeCell ref="HVD20:HVD21"/>
    <mergeCell ref="HVF20:HVF21"/>
    <mergeCell ref="HVH20:HVH21"/>
    <mergeCell ref="HVJ20:HVJ21"/>
    <mergeCell ref="HVL20:HVL21"/>
    <mergeCell ref="HUP20:HUP21"/>
    <mergeCell ref="HUR20:HUR21"/>
    <mergeCell ref="HUT20:HUT21"/>
    <mergeCell ref="HUV20:HUV21"/>
    <mergeCell ref="HUX20:HUX21"/>
    <mergeCell ref="HUZ20:HUZ21"/>
    <mergeCell ref="HUD20:HUD21"/>
    <mergeCell ref="HUF20:HUF21"/>
    <mergeCell ref="HUH20:HUH21"/>
    <mergeCell ref="HUJ20:HUJ21"/>
    <mergeCell ref="HUL20:HUL21"/>
    <mergeCell ref="HUN20:HUN21"/>
    <mergeCell ref="HTR20:HTR21"/>
    <mergeCell ref="HTT20:HTT21"/>
    <mergeCell ref="HTV20:HTV21"/>
    <mergeCell ref="HTX20:HTX21"/>
    <mergeCell ref="HTZ20:HTZ21"/>
    <mergeCell ref="HUB20:HUB21"/>
    <mergeCell ref="HTF20:HTF21"/>
    <mergeCell ref="HTH20:HTH21"/>
    <mergeCell ref="HTJ20:HTJ21"/>
    <mergeCell ref="HTL20:HTL21"/>
    <mergeCell ref="HTN20:HTN21"/>
    <mergeCell ref="HTP20:HTP21"/>
    <mergeCell ref="HST20:HST21"/>
    <mergeCell ref="HSV20:HSV21"/>
    <mergeCell ref="HSX20:HSX21"/>
    <mergeCell ref="HSZ20:HSZ21"/>
    <mergeCell ref="HTB20:HTB21"/>
    <mergeCell ref="HTD20:HTD21"/>
    <mergeCell ref="HSH20:HSH21"/>
    <mergeCell ref="HSJ20:HSJ21"/>
    <mergeCell ref="HSL20:HSL21"/>
    <mergeCell ref="HSN20:HSN21"/>
    <mergeCell ref="HSP20:HSP21"/>
    <mergeCell ref="HSR20:HSR21"/>
    <mergeCell ref="HRV20:HRV21"/>
    <mergeCell ref="HRX20:HRX21"/>
    <mergeCell ref="HRZ20:HRZ21"/>
    <mergeCell ref="HSB20:HSB21"/>
    <mergeCell ref="HSD20:HSD21"/>
    <mergeCell ref="HSF20:HSF21"/>
    <mergeCell ref="HRJ20:HRJ21"/>
    <mergeCell ref="HRL20:HRL21"/>
    <mergeCell ref="HRN20:HRN21"/>
    <mergeCell ref="HRP20:HRP21"/>
    <mergeCell ref="HRR20:HRR21"/>
    <mergeCell ref="HRT20:HRT21"/>
    <mergeCell ref="HQX20:HQX21"/>
    <mergeCell ref="HQZ20:HQZ21"/>
    <mergeCell ref="HRB20:HRB21"/>
    <mergeCell ref="HRD20:HRD21"/>
    <mergeCell ref="HRF20:HRF21"/>
    <mergeCell ref="HRH20:HRH21"/>
    <mergeCell ref="HQL20:HQL21"/>
    <mergeCell ref="HQN20:HQN21"/>
    <mergeCell ref="HQP20:HQP21"/>
    <mergeCell ref="HQR20:HQR21"/>
    <mergeCell ref="HQT20:HQT21"/>
    <mergeCell ref="HQV20:HQV21"/>
    <mergeCell ref="HPZ20:HPZ21"/>
    <mergeCell ref="HQB20:HQB21"/>
    <mergeCell ref="HQD20:HQD21"/>
    <mergeCell ref="HQF20:HQF21"/>
    <mergeCell ref="HQH20:HQH21"/>
    <mergeCell ref="HQJ20:HQJ21"/>
    <mergeCell ref="HPN20:HPN21"/>
    <mergeCell ref="HPP20:HPP21"/>
    <mergeCell ref="HPR20:HPR21"/>
    <mergeCell ref="HPT20:HPT21"/>
    <mergeCell ref="HPV20:HPV21"/>
    <mergeCell ref="HPX20:HPX21"/>
    <mergeCell ref="HPB20:HPB21"/>
    <mergeCell ref="HPD20:HPD21"/>
    <mergeCell ref="HPF20:HPF21"/>
    <mergeCell ref="HPH20:HPH21"/>
    <mergeCell ref="HPJ20:HPJ21"/>
    <mergeCell ref="HPL20:HPL21"/>
    <mergeCell ref="HOP20:HOP21"/>
    <mergeCell ref="HOR20:HOR21"/>
    <mergeCell ref="HOT20:HOT21"/>
    <mergeCell ref="HOV20:HOV21"/>
    <mergeCell ref="HOX20:HOX21"/>
    <mergeCell ref="HOZ20:HOZ21"/>
    <mergeCell ref="HOD20:HOD21"/>
    <mergeCell ref="HOF20:HOF21"/>
    <mergeCell ref="HOH20:HOH21"/>
    <mergeCell ref="HOJ20:HOJ21"/>
    <mergeCell ref="HOL20:HOL21"/>
    <mergeCell ref="HON20:HON21"/>
    <mergeCell ref="HNR20:HNR21"/>
    <mergeCell ref="HNT20:HNT21"/>
    <mergeCell ref="HNV20:HNV21"/>
    <mergeCell ref="HNX20:HNX21"/>
    <mergeCell ref="HNZ20:HNZ21"/>
    <mergeCell ref="HOB20:HOB21"/>
    <mergeCell ref="HNF20:HNF21"/>
    <mergeCell ref="HNH20:HNH21"/>
    <mergeCell ref="HNJ20:HNJ21"/>
    <mergeCell ref="HNL20:HNL21"/>
    <mergeCell ref="HNN20:HNN21"/>
    <mergeCell ref="HNP20:HNP21"/>
    <mergeCell ref="HMT20:HMT21"/>
    <mergeCell ref="HMV20:HMV21"/>
    <mergeCell ref="HMX20:HMX21"/>
    <mergeCell ref="HMZ20:HMZ21"/>
    <mergeCell ref="HNB20:HNB21"/>
    <mergeCell ref="HND20:HND21"/>
    <mergeCell ref="HMH20:HMH21"/>
    <mergeCell ref="HMJ20:HMJ21"/>
    <mergeCell ref="HML20:HML21"/>
    <mergeCell ref="HMN20:HMN21"/>
    <mergeCell ref="HMP20:HMP21"/>
    <mergeCell ref="HMR20:HMR21"/>
    <mergeCell ref="HLV20:HLV21"/>
    <mergeCell ref="HLX20:HLX21"/>
    <mergeCell ref="HLZ20:HLZ21"/>
    <mergeCell ref="HMB20:HMB21"/>
    <mergeCell ref="HMD20:HMD21"/>
    <mergeCell ref="HMF20:HMF21"/>
    <mergeCell ref="HLJ20:HLJ21"/>
    <mergeCell ref="HLL20:HLL21"/>
    <mergeCell ref="HLN20:HLN21"/>
    <mergeCell ref="HLP20:HLP21"/>
    <mergeCell ref="HLR20:HLR21"/>
    <mergeCell ref="HLT20:HLT21"/>
    <mergeCell ref="HKX20:HKX21"/>
    <mergeCell ref="HKZ20:HKZ21"/>
    <mergeCell ref="HLB20:HLB21"/>
    <mergeCell ref="HLD20:HLD21"/>
    <mergeCell ref="HLF20:HLF21"/>
    <mergeCell ref="HLH20:HLH21"/>
    <mergeCell ref="HKL20:HKL21"/>
    <mergeCell ref="HKN20:HKN21"/>
    <mergeCell ref="HKP20:HKP21"/>
    <mergeCell ref="HKR20:HKR21"/>
    <mergeCell ref="HKT20:HKT21"/>
    <mergeCell ref="HKV20:HKV21"/>
    <mergeCell ref="HJZ20:HJZ21"/>
    <mergeCell ref="HKB20:HKB21"/>
    <mergeCell ref="HKD20:HKD21"/>
    <mergeCell ref="HKF20:HKF21"/>
    <mergeCell ref="HKH20:HKH21"/>
    <mergeCell ref="HKJ20:HKJ21"/>
    <mergeCell ref="HJN20:HJN21"/>
    <mergeCell ref="HJP20:HJP21"/>
    <mergeCell ref="HJR20:HJR21"/>
    <mergeCell ref="HJT20:HJT21"/>
    <mergeCell ref="HJV20:HJV21"/>
    <mergeCell ref="HJX20:HJX21"/>
    <mergeCell ref="HJB20:HJB21"/>
    <mergeCell ref="HJD20:HJD21"/>
    <mergeCell ref="HJF20:HJF21"/>
    <mergeCell ref="HJH20:HJH21"/>
    <mergeCell ref="HJJ20:HJJ21"/>
    <mergeCell ref="HJL20:HJL21"/>
    <mergeCell ref="HIP20:HIP21"/>
    <mergeCell ref="HIR20:HIR21"/>
    <mergeCell ref="HIT20:HIT21"/>
    <mergeCell ref="HIV20:HIV21"/>
    <mergeCell ref="HIX20:HIX21"/>
    <mergeCell ref="HIZ20:HIZ21"/>
    <mergeCell ref="HID20:HID21"/>
    <mergeCell ref="HIF20:HIF21"/>
    <mergeCell ref="HIH20:HIH21"/>
    <mergeCell ref="HIJ20:HIJ21"/>
    <mergeCell ref="HIL20:HIL21"/>
    <mergeCell ref="HIN20:HIN21"/>
    <mergeCell ref="HHR20:HHR21"/>
    <mergeCell ref="HHT20:HHT21"/>
    <mergeCell ref="HHV20:HHV21"/>
    <mergeCell ref="HHX20:HHX21"/>
    <mergeCell ref="HHZ20:HHZ21"/>
    <mergeCell ref="HIB20:HIB21"/>
    <mergeCell ref="HHF20:HHF21"/>
    <mergeCell ref="HHH20:HHH21"/>
    <mergeCell ref="HHJ20:HHJ21"/>
    <mergeCell ref="HHL20:HHL21"/>
    <mergeCell ref="HHN20:HHN21"/>
    <mergeCell ref="HHP20:HHP21"/>
    <mergeCell ref="HGT20:HGT21"/>
    <mergeCell ref="HGV20:HGV21"/>
    <mergeCell ref="HGX20:HGX21"/>
    <mergeCell ref="HGZ20:HGZ21"/>
    <mergeCell ref="HHB20:HHB21"/>
    <mergeCell ref="HHD20:HHD21"/>
    <mergeCell ref="HGH20:HGH21"/>
    <mergeCell ref="HGJ20:HGJ21"/>
    <mergeCell ref="HGL20:HGL21"/>
    <mergeCell ref="HGN20:HGN21"/>
    <mergeCell ref="HGP20:HGP21"/>
    <mergeCell ref="HGR20:HGR21"/>
    <mergeCell ref="HFV20:HFV21"/>
    <mergeCell ref="HFX20:HFX21"/>
    <mergeCell ref="HFZ20:HFZ21"/>
    <mergeCell ref="HGB20:HGB21"/>
    <mergeCell ref="HGD20:HGD21"/>
    <mergeCell ref="HGF20:HGF21"/>
    <mergeCell ref="HFJ20:HFJ21"/>
    <mergeCell ref="HFL20:HFL21"/>
    <mergeCell ref="HFN20:HFN21"/>
    <mergeCell ref="HFP20:HFP21"/>
    <mergeCell ref="HFR20:HFR21"/>
    <mergeCell ref="HFT20:HFT21"/>
    <mergeCell ref="HEX20:HEX21"/>
    <mergeCell ref="HEZ20:HEZ21"/>
    <mergeCell ref="HFB20:HFB21"/>
    <mergeCell ref="HFD20:HFD21"/>
    <mergeCell ref="HFF20:HFF21"/>
    <mergeCell ref="HFH20:HFH21"/>
    <mergeCell ref="HEL20:HEL21"/>
    <mergeCell ref="HEN20:HEN21"/>
    <mergeCell ref="HEP20:HEP21"/>
    <mergeCell ref="HER20:HER21"/>
    <mergeCell ref="HET20:HET21"/>
    <mergeCell ref="HEV20:HEV21"/>
    <mergeCell ref="HDZ20:HDZ21"/>
    <mergeCell ref="HEB20:HEB21"/>
    <mergeCell ref="HED20:HED21"/>
    <mergeCell ref="HEF20:HEF21"/>
    <mergeCell ref="HEH20:HEH21"/>
    <mergeCell ref="HEJ20:HEJ21"/>
    <mergeCell ref="HDN20:HDN21"/>
    <mergeCell ref="HDP20:HDP21"/>
    <mergeCell ref="HDR20:HDR21"/>
    <mergeCell ref="HDT20:HDT21"/>
    <mergeCell ref="HDV20:HDV21"/>
    <mergeCell ref="HDX20:HDX21"/>
    <mergeCell ref="HDB20:HDB21"/>
    <mergeCell ref="HDD20:HDD21"/>
    <mergeCell ref="HDF20:HDF21"/>
    <mergeCell ref="HDH20:HDH21"/>
    <mergeCell ref="HDJ20:HDJ21"/>
    <mergeCell ref="HDL20:HDL21"/>
    <mergeCell ref="HCP20:HCP21"/>
    <mergeCell ref="HCR20:HCR21"/>
    <mergeCell ref="HCT20:HCT21"/>
    <mergeCell ref="HCV20:HCV21"/>
    <mergeCell ref="HCX20:HCX21"/>
    <mergeCell ref="HCZ20:HCZ21"/>
    <mergeCell ref="HCD20:HCD21"/>
    <mergeCell ref="HCF20:HCF21"/>
    <mergeCell ref="HCH20:HCH21"/>
    <mergeCell ref="HCJ20:HCJ21"/>
    <mergeCell ref="HCL20:HCL21"/>
    <mergeCell ref="HCN20:HCN21"/>
    <mergeCell ref="HBR20:HBR21"/>
    <mergeCell ref="HBT20:HBT21"/>
    <mergeCell ref="HBV20:HBV21"/>
    <mergeCell ref="HBX20:HBX21"/>
    <mergeCell ref="HBZ20:HBZ21"/>
    <mergeCell ref="HCB20:HCB21"/>
    <mergeCell ref="HBF20:HBF21"/>
    <mergeCell ref="HBH20:HBH21"/>
    <mergeCell ref="HBJ20:HBJ21"/>
    <mergeCell ref="HBL20:HBL21"/>
    <mergeCell ref="HBN20:HBN21"/>
    <mergeCell ref="HBP20:HBP21"/>
    <mergeCell ref="HAT20:HAT21"/>
    <mergeCell ref="HAV20:HAV21"/>
    <mergeCell ref="HAX20:HAX21"/>
    <mergeCell ref="HAZ20:HAZ21"/>
    <mergeCell ref="HBB20:HBB21"/>
    <mergeCell ref="HBD20:HBD21"/>
    <mergeCell ref="HAH20:HAH21"/>
    <mergeCell ref="HAJ20:HAJ21"/>
    <mergeCell ref="HAL20:HAL21"/>
    <mergeCell ref="HAN20:HAN21"/>
    <mergeCell ref="HAP20:HAP21"/>
    <mergeCell ref="HAR20:HAR21"/>
    <mergeCell ref="GZV20:GZV21"/>
    <mergeCell ref="GZX20:GZX21"/>
    <mergeCell ref="GZZ20:GZZ21"/>
    <mergeCell ref="HAB20:HAB21"/>
    <mergeCell ref="HAD20:HAD21"/>
    <mergeCell ref="HAF20:HAF21"/>
    <mergeCell ref="GZJ20:GZJ21"/>
    <mergeCell ref="GZL20:GZL21"/>
    <mergeCell ref="GZN20:GZN21"/>
    <mergeCell ref="GZP20:GZP21"/>
    <mergeCell ref="GZR20:GZR21"/>
    <mergeCell ref="GZT20:GZT21"/>
    <mergeCell ref="GYX20:GYX21"/>
    <mergeCell ref="GYZ20:GYZ21"/>
    <mergeCell ref="GZB20:GZB21"/>
    <mergeCell ref="GZD20:GZD21"/>
    <mergeCell ref="GZF20:GZF21"/>
    <mergeCell ref="GZH20:GZH21"/>
    <mergeCell ref="GYL20:GYL21"/>
    <mergeCell ref="GYN20:GYN21"/>
    <mergeCell ref="GYP20:GYP21"/>
    <mergeCell ref="GYR20:GYR21"/>
    <mergeCell ref="GYT20:GYT21"/>
    <mergeCell ref="GYV20:GYV21"/>
    <mergeCell ref="GXZ20:GXZ21"/>
    <mergeCell ref="GYB20:GYB21"/>
    <mergeCell ref="GYD20:GYD21"/>
    <mergeCell ref="GYF20:GYF21"/>
    <mergeCell ref="GYH20:GYH21"/>
    <mergeCell ref="GYJ20:GYJ21"/>
    <mergeCell ref="GXN20:GXN21"/>
    <mergeCell ref="GXP20:GXP21"/>
    <mergeCell ref="GXR20:GXR21"/>
    <mergeCell ref="GXT20:GXT21"/>
    <mergeCell ref="GXV20:GXV21"/>
    <mergeCell ref="GXX20:GXX21"/>
    <mergeCell ref="GXB20:GXB21"/>
    <mergeCell ref="GXD20:GXD21"/>
    <mergeCell ref="GXF20:GXF21"/>
    <mergeCell ref="GXH20:GXH21"/>
    <mergeCell ref="GXJ20:GXJ21"/>
    <mergeCell ref="GXL20:GXL21"/>
    <mergeCell ref="GWP20:GWP21"/>
    <mergeCell ref="GWR20:GWR21"/>
    <mergeCell ref="GWT20:GWT21"/>
    <mergeCell ref="GWV20:GWV21"/>
    <mergeCell ref="GWX20:GWX21"/>
    <mergeCell ref="GWZ20:GWZ21"/>
    <mergeCell ref="GWD20:GWD21"/>
    <mergeCell ref="GWF20:GWF21"/>
    <mergeCell ref="GWH20:GWH21"/>
    <mergeCell ref="GWJ20:GWJ21"/>
    <mergeCell ref="GWL20:GWL21"/>
    <mergeCell ref="GWN20:GWN21"/>
    <mergeCell ref="GVR20:GVR21"/>
    <mergeCell ref="GVT20:GVT21"/>
    <mergeCell ref="GVV20:GVV21"/>
    <mergeCell ref="GVX20:GVX21"/>
    <mergeCell ref="GVZ20:GVZ21"/>
    <mergeCell ref="GWB20:GWB21"/>
    <mergeCell ref="GVF20:GVF21"/>
    <mergeCell ref="GVH20:GVH21"/>
    <mergeCell ref="GVJ20:GVJ21"/>
    <mergeCell ref="GVL20:GVL21"/>
    <mergeCell ref="GVN20:GVN21"/>
    <mergeCell ref="GVP20:GVP21"/>
    <mergeCell ref="GUT20:GUT21"/>
    <mergeCell ref="GUV20:GUV21"/>
    <mergeCell ref="GUX20:GUX21"/>
    <mergeCell ref="GUZ20:GUZ21"/>
    <mergeCell ref="GVB20:GVB21"/>
    <mergeCell ref="GVD20:GVD21"/>
    <mergeCell ref="GUH20:GUH21"/>
    <mergeCell ref="GUJ20:GUJ21"/>
    <mergeCell ref="GUL20:GUL21"/>
    <mergeCell ref="GUN20:GUN21"/>
    <mergeCell ref="GUP20:GUP21"/>
    <mergeCell ref="GUR20:GUR21"/>
    <mergeCell ref="GTV20:GTV21"/>
    <mergeCell ref="GTX20:GTX21"/>
    <mergeCell ref="GTZ20:GTZ21"/>
    <mergeCell ref="GUB20:GUB21"/>
    <mergeCell ref="GUD20:GUD21"/>
    <mergeCell ref="GUF20:GUF21"/>
    <mergeCell ref="GTJ20:GTJ21"/>
    <mergeCell ref="GTL20:GTL21"/>
    <mergeCell ref="GTN20:GTN21"/>
    <mergeCell ref="GTP20:GTP21"/>
    <mergeCell ref="GTR20:GTR21"/>
    <mergeCell ref="GTT20:GTT21"/>
    <mergeCell ref="GSX20:GSX21"/>
    <mergeCell ref="GSZ20:GSZ21"/>
    <mergeCell ref="GTB20:GTB21"/>
    <mergeCell ref="GTD20:GTD21"/>
    <mergeCell ref="GTF20:GTF21"/>
    <mergeCell ref="GTH20:GTH21"/>
    <mergeCell ref="GSL20:GSL21"/>
    <mergeCell ref="GSN20:GSN21"/>
    <mergeCell ref="GSP20:GSP21"/>
    <mergeCell ref="GSR20:GSR21"/>
    <mergeCell ref="GST20:GST21"/>
    <mergeCell ref="GSV20:GSV21"/>
    <mergeCell ref="GRZ20:GRZ21"/>
    <mergeCell ref="GSB20:GSB21"/>
    <mergeCell ref="GSD20:GSD21"/>
    <mergeCell ref="GSF20:GSF21"/>
    <mergeCell ref="GSH20:GSH21"/>
    <mergeCell ref="GSJ20:GSJ21"/>
    <mergeCell ref="GRN20:GRN21"/>
    <mergeCell ref="GRP20:GRP21"/>
    <mergeCell ref="GRR20:GRR21"/>
    <mergeCell ref="GRT20:GRT21"/>
    <mergeCell ref="GRV20:GRV21"/>
    <mergeCell ref="GRX20:GRX21"/>
    <mergeCell ref="GRB20:GRB21"/>
    <mergeCell ref="GRD20:GRD21"/>
    <mergeCell ref="GRF20:GRF21"/>
    <mergeCell ref="GRH20:GRH21"/>
    <mergeCell ref="GRJ20:GRJ21"/>
    <mergeCell ref="GRL20:GRL21"/>
    <mergeCell ref="GQP20:GQP21"/>
    <mergeCell ref="GQR20:GQR21"/>
    <mergeCell ref="GQT20:GQT21"/>
    <mergeCell ref="GQV20:GQV21"/>
    <mergeCell ref="GQX20:GQX21"/>
    <mergeCell ref="GQZ20:GQZ21"/>
    <mergeCell ref="GQD20:GQD21"/>
    <mergeCell ref="GQF20:GQF21"/>
    <mergeCell ref="GQH20:GQH21"/>
    <mergeCell ref="GQJ20:GQJ21"/>
    <mergeCell ref="GQL20:GQL21"/>
    <mergeCell ref="GQN20:GQN21"/>
    <mergeCell ref="GPR20:GPR21"/>
    <mergeCell ref="GPT20:GPT21"/>
    <mergeCell ref="GPV20:GPV21"/>
    <mergeCell ref="GPX20:GPX21"/>
    <mergeCell ref="GPZ20:GPZ21"/>
    <mergeCell ref="GQB20:GQB21"/>
    <mergeCell ref="GPF20:GPF21"/>
    <mergeCell ref="GPH20:GPH21"/>
    <mergeCell ref="GPJ20:GPJ21"/>
    <mergeCell ref="GPL20:GPL21"/>
    <mergeCell ref="GPN20:GPN21"/>
    <mergeCell ref="GPP20:GPP21"/>
    <mergeCell ref="GOT20:GOT21"/>
    <mergeCell ref="GOV20:GOV21"/>
    <mergeCell ref="GOX20:GOX21"/>
    <mergeCell ref="GOZ20:GOZ21"/>
    <mergeCell ref="GPB20:GPB21"/>
    <mergeCell ref="GPD20:GPD21"/>
    <mergeCell ref="GOH20:GOH21"/>
    <mergeCell ref="GOJ20:GOJ21"/>
    <mergeCell ref="GOL20:GOL21"/>
    <mergeCell ref="GON20:GON21"/>
    <mergeCell ref="GOP20:GOP21"/>
    <mergeCell ref="GOR20:GOR21"/>
    <mergeCell ref="GNV20:GNV21"/>
    <mergeCell ref="GNX20:GNX21"/>
    <mergeCell ref="GNZ20:GNZ21"/>
    <mergeCell ref="GOB20:GOB21"/>
    <mergeCell ref="GOD20:GOD21"/>
    <mergeCell ref="GOF20:GOF21"/>
    <mergeCell ref="GNJ20:GNJ21"/>
    <mergeCell ref="GNL20:GNL21"/>
    <mergeCell ref="GNN20:GNN21"/>
    <mergeCell ref="GNP20:GNP21"/>
    <mergeCell ref="GNR20:GNR21"/>
    <mergeCell ref="GNT20:GNT21"/>
    <mergeCell ref="GMX20:GMX21"/>
    <mergeCell ref="GMZ20:GMZ21"/>
    <mergeCell ref="GNB20:GNB21"/>
    <mergeCell ref="GND20:GND21"/>
    <mergeCell ref="GNF20:GNF21"/>
    <mergeCell ref="GNH20:GNH21"/>
    <mergeCell ref="GML20:GML21"/>
    <mergeCell ref="GMN20:GMN21"/>
    <mergeCell ref="GMP20:GMP21"/>
    <mergeCell ref="GMR20:GMR21"/>
    <mergeCell ref="GMT20:GMT21"/>
    <mergeCell ref="GMV20:GMV21"/>
    <mergeCell ref="GLZ20:GLZ21"/>
    <mergeCell ref="GMB20:GMB21"/>
    <mergeCell ref="GMD20:GMD21"/>
    <mergeCell ref="GMF20:GMF21"/>
    <mergeCell ref="GMH20:GMH21"/>
    <mergeCell ref="GMJ20:GMJ21"/>
    <mergeCell ref="GLN20:GLN21"/>
    <mergeCell ref="GLP20:GLP21"/>
    <mergeCell ref="GLR20:GLR21"/>
    <mergeCell ref="GLT20:GLT21"/>
    <mergeCell ref="GLV20:GLV21"/>
    <mergeCell ref="GLX20:GLX21"/>
    <mergeCell ref="GLB20:GLB21"/>
    <mergeCell ref="GLD20:GLD21"/>
    <mergeCell ref="GLF20:GLF21"/>
    <mergeCell ref="GLH20:GLH21"/>
    <mergeCell ref="GLJ20:GLJ21"/>
    <mergeCell ref="GLL20:GLL21"/>
    <mergeCell ref="GKP20:GKP21"/>
    <mergeCell ref="GKR20:GKR21"/>
    <mergeCell ref="GKT20:GKT21"/>
    <mergeCell ref="GKV20:GKV21"/>
    <mergeCell ref="GKX20:GKX21"/>
    <mergeCell ref="GKZ20:GKZ21"/>
    <mergeCell ref="GKD20:GKD21"/>
    <mergeCell ref="GKF20:GKF21"/>
    <mergeCell ref="GKH20:GKH21"/>
    <mergeCell ref="GKJ20:GKJ21"/>
    <mergeCell ref="GKL20:GKL21"/>
    <mergeCell ref="GKN20:GKN21"/>
    <mergeCell ref="GJR20:GJR21"/>
    <mergeCell ref="GJT20:GJT21"/>
    <mergeCell ref="GJV20:GJV21"/>
    <mergeCell ref="GJX20:GJX21"/>
    <mergeCell ref="GJZ20:GJZ21"/>
    <mergeCell ref="GKB20:GKB21"/>
    <mergeCell ref="GJF20:GJF21"/>
    <mergeCell ref="GJH20:GJH21"/>
    <mergeCell ref="GJJ20:GJJ21"/>
    <mergeCell ref="GJL20:GJL21"/>
    <mergeCell ref="GJN20:GJN21"/>
    <mergeCell ref="GJP20:GJP21"/>
    <mergeCell ref="GIT20:GIT21"/>
    <mergeCell ref="GIV20:GIV21"/>
    <mergeCell ref="GIX20:GIX21"/>
    <mergeCell ref="GIZ20:GIZ21"/>
    <mergeCell ref="GJB20:GJB21"/>
    <mergeCell ref="GJD20:GJD21"/>
    <mergeCell ref="GIH20:GIH21"/>
    <mergeCell ref="GIJ20:GIJ21"/>
    <mergeCell ref="GIL20:GIL21"/>
    <mergeCell ref="GIN20:GIN21"/>
    <mergeCell ref="GIP20:GIP21"/>
    <mergeCell ref="GIR20:GIR21"/>
    <mergeCell ref="GHV20:GHV21"/>
    <mergeCell ref="GHX20:GHX21"/>
    <mergeCell ref="GHZ20:GHZ21"/>
    <mergeCell ref="GIB20:GIB21"/>
    <mergeCell ref="GID20:GID21"/>
    <mergeCell ref="GIF20:GIF21"/>
    <mergeCell ref="GHJ20:GHJ21"/>
    <mergeCell ref="GHL20:GHL21"/>
    <mergeCell ref="GHN20:GHN21"/>
    <mergeCell ref="GHP20:GHP21"/>
    <mergeCell ref="GHR20:GHR21"/>
    <mergeCell ref="GHT20:GHT21"/>
    <mergeCell ref="GGX20:GGX21"/>
    <mergeCell ref="GGZ20:GGZ21"/>
    <mergeCell ref="GHB20:GHB21"/>
    <mergeCell ref="GHD20:GHD21"/>
    <mergeCell ref="GHF20:GHF21"/>
    <mergeCell ref="GHH20:GHH21"/>
    <mergeCell ref="GGL20:GGL21"/>
    <mergeCell ref="GGN20:GGN21"/>
    <mergeCell ref="GGP20:GGP21"/>
    <mergeCell ref="GGR20:GGR21"/>
    <mergeCell ref="GGT20:GGT21"/>
    <mergeCell ref="GGV20:GGV21"/>
    <mergeCell ref="GFZ20:GFZ21"/>
    <mergeCell ref="GGB20:GGB21"/>
    <mergeCell ref="GGD20:GGD21"/>
    <mergeCell ref="GGF20:GGF21"/>
    <mergeCell ref="GGH20:GGH21"/>
    <mergeCell ref="GGJ20:GGJ21"/>
    <mergeCell ref="GFN20:GFN21"/>
    <mergeCell ref="GFP20:GFP21"/>
    <mergeCell ref="GFR20:GFR21"/>
    <mergeCell ref="GFT20:GFT21"/>
    <mergeCell ref="GFV20:GFV21"/>
    <mergeCell ref="GFX20:GFX21"/>
    <mergeCell ref="GFB20:GFB21"/>
    <mergeCell ref="GFD20:GFD21"/>
    <mergeCell ref="GFF20:GFF21"/>
    <mergeCell ref="GFH20:GFH21"/>
    <mergeCell ref="GFJ20:GFJ21"/>
    <mergeCell ref="GFL20:GFL21"/>
    <mergeCell ref="GEP20:GEP21"/>
    <mergeCell ref="GER20:GER21"/>
    <mergeCell ref="GET20:GET21"/>
    <mergeCell ref="GEV20:GEV21"/>
    <mergeCell ref="GEX20:GEX21"/>
    <mergeCell ref="GEZ20:GEZ21"/>
    <mergeCell ref="GED20:GED21"/>
    <mergeCell ref="GEF20:GEF21"/>
    <mergeCell ref="GEH20:GEH21"/>
    <mergeCell ref="GEJ20:GEJ21"/>
    <mergeCell ref="GEL20:GEL21"/>
    <mergeCell ref="GEN20:GEN21"/>
    <mergeCell ref="GDR20:GDR21"/>
    <mergeCell ref="GDT20:GDT21"/>
    <mergeCell ref="GDV20:GDV21"/>
    <mergeCell ref="GDX20:GDX21"/>
    <mergeCell ref="GDZ20:GDZ21"/>
    <mergeCell ref="GEB20:GEB21"/>
    <mergeCell ref="GDF20:GDF21"/>
    <mergeCell ref="GDH20:GDH21"/>
    <mergeCell ref="GDJ20:GDJ21"/>
    <mergeCell ref="GDL20:GDL21"/>
    <mergeCell ref="GDN20:GDN21"/>
    <mergeCell ref="GDP20:GDP21"/>
    <mergeCell ref="GCT20:GCT21"/>
    <mergeCell ref="GCV20:GCV21"/>
    <mergeCell ref="GCX20:GCX21"/>
    <mergeCell ref="GCZ20:GCZ21"/>
    <mergeCell ref="GDB20:GDB21"/>
    <mergeCell ref="GDD20:GDD21"/>
    <mergeCell ref="GCH20:GCH21"/>
    <mergeCell ref="GCJ20:GCJ21"/>
    <mergeCell ref="GCL20:GCL21"/>
    <mergeCell ref="GCN20:GCN21"/>
    <mergeCell ref="GCP20:GCP21"/>
    <mergeCell ref="GCR20:GCR21"/>
    <mergeCell ref="GBV20:GBV21"/>
    <mergeCell ref="GBX20:GBX21"/>
    <mergeCell ref="GBZ20:GBZ21"/>
    <mergeCell ref="GCB20:GCB21"/>
    <mergeCell ref="GCD20:GCD21"/>
    <mergeCell ref="GCF20:GCF21"/>
    <mergeCell ref="GBJ20:GBJ21"/>
    <mergeCell ref="GBL20:GBL21"/>
    <mergeCell ref="GBN20:GBN21"/>
    <mergeCell ref="GBP20:GBP21"/>
    <mergeCell ref="GBR20:GBR21"/>
    <mergeCell ref="GBT20:GBT21"/>
    <mergeCell ref="GAX20:GAX21"/>
    <mergeCell ref="GAZ20:GAZ21"/>
    <mergeCell ref="GBB20:GBB21"/>
    <mergeCell ref="GBD20:GBD21"/>
    <mergeCell ref="GBF20:GBF21"/>
    <mergeCell ref="GBH20:GBH21"/>
    <mergeCell ref="GAL20:GAL21"/>
    <mergeCell ref="GAN20:GAN21"/>
    <mergeCell ref="GAP20:GAP21"/>
    <mergeCell ref="GAR20:GAR21"/>
    <mergeCell ref="GAT20:GAT21"/>
    <mergeCell ref="GAV20:GAV21"/>
    <mergeCell ref="FZZ20:FZZ21"/>
    <mergeCell ref="GAB20:GAB21"/>
    <mergeCell ref="GAD20:GAD21"/>
    <mergeCell ref="GAF20:GAF21"/>
    <mergeCell ref="GAH20:GAH21"/>
    <mergeCell ref="GAJ20:GAJ21"/>
    <mergeCell ref="FZN20:FZN21"/>
    <mergeCell ref="FZP20:FZP21"/>
    <mergeCell ref="FZR20:FZR21"/>
    <mergeCell ref="FZT20:FZT21"/>
    <mergeCell ref="FZV20:FZV21"/>
    <mergeCell ref="FZX20:FZX21"/>
    <mergeCell ref="FZB20:FZB21"/>
    <mergeCell ref="FZD20:FZD21"/>
    <mergeCell ref="FZF20:FZF21"/>
    <mergeCell ref="FZH20:FZH21"/>
    <mergeCell ref="FZJ20:FZJ21"/>
    <mergeCell ref="FZL20:FZL21"/>
    <mergeCell ref="FYP20:FYP21"/>
    <mergeCell ref="FYR20:FYR21"/>
    <mergeCell ref="FYT20:FYT21"/>
    <mergeCell ref="FYV20:FYV21"/>
    <mergeCell ref="FYX20:FYX21"/>
    <mergeCell ref="FYZ20:FYZ21"/>
    <mergeCell ref="FYD20:FYD21"/>
    <mergeCell ref="FYF20:FYF21"/>
    <mergeCell ref="FYH20:FYH21"/>
    <mergeCell ref="FYJ20:FYJ21"/>
    <mergeCell ref="FYL20:FYL21"/>
    <mergeCell ref="FYN20:FYN21"/>
    <mergeCell ref="FXR20:FXR21"/>
    <mergeCell ref="FXT20:FXT21"/>
    <mergeCell ref="FXV20:FXV21"/>
    <mergeCell ref="FXX20:FXX21"/>
    <mergeCell ref="FXZ20:FXZ21"/>
    <mergeCell ref="FYB20:FYB21"/>
    <mergeCell ref="FXF20:FXF21"/>
    <mergeCell ref="FXH20:FXH21"/>
    <mergeCell ref="FXJ20:FXJ21"/>
    <mergeCell ref="FXL20:FXL21"/>
    <mergeCell ref="FXN20:FXN21"/>
    <mergeCell ref="FXP20:FXP21"/>
    <mergeCell ref="FWT20:FWT21"/>
    <mergeCell ref="FWV20:FWV21"/>
    <mergeCell ref="FWX20:FWX21"/>
    <mergeCell ref="FWZ20:FWZ21"/>
    <mergeCell ref="FXB20:FXB21"/>
    <mergeCell ref="FXD20:FXD21"/>
    <mergeCell ref="FWH20:FWH21"/>
    <mergeCell ref="FWJ20:FWJ21"/>
    <mergeCell ref="FWL20:FWL21"/>
    <mergeCell ref="FWN20:FWN21"/>
    <mergeCell ref="FWP20:FWP21"/>
    <mergeCell ref="FWR20:FWR21"/>
    <mergeCell ref="FVV20:FVV21"/>
    <mergeCell ref="FVX20:FVX21"/>
    <mergeCell ref="FVZ20:FVZ21"/>
    <mergeCell ref="FWB20:FWB21"/>
    <mergeCell ref="FWD20:FWD21"/>
    <mergeCell ref="FWF20:FWF21"/>
    <mergeCell ref="FVJ20:FVJ21"/>
    <mergeCell ref="FVL20:FVL21"/>
    <mergeCell ref="FVN20:FVN21"/>
    <mergeCell ref="FVP20:FVP21"/>
    <mergeCell ref="FVR20:FVR21"/>
    <mergeCell ref="FVT20:FVT21"/>
    <mergeCell ref="FUX20:FUX21"/>
    <mergeCell ref="FUZ20:FUZ21"/>
    <mergeCell ref="FVB20:FVB21"/>
    <mergeCell ref="FVD20:FVD21"/>
    <mergeCell ref="FVF20:FVF21"/>
    <mergeCell ref="FVH20:FVH21"/>
    <mergeCell ref="FUL20:FUL21"/>
    <mergeCell ref="FUN20:FUN21"/>
    <mergeCell ref="FUP20:FUP21"/>
    <mergeCell ref="FUR20:FUR21"/>
    <mergeCell ref="FUT20:FUT21"/>
    <mergeCell ref="FUV20:FUV21"/>
    <mergeCell ref="FTZ20:FTZ21"/>
    <mergeCell ref="FUB20:FUB21"/>
    <mergeCell ref="FUD20:FUD21"/>
    <mergeCell ref="FUF20:FUF21"/>
    <mergeCell ref="FUH20:FUH21"/>
    <mergeCell ref="FUJ20:FUJ21"/>
    <mergeCell ref="FTN20:FTN21"/>
    <mergeCell ref="FTP20:FTP21"/>
    <mergeCell ref="FTR20:FTR21"/>
    <mergeCell ref="FTT20:FTT21"/>
    <mergeCell ref="FTV20:FTV21"/>
    <mergeCell ref="FTX20:FTX21"/>
    <mergeCell ref="FTB20:FTB21"/>
    <mergeCell ref="FTD20:FTD21"/>
    <mergeCell ref="FTF20:FTF21"/>
    <mergeCell ref="FTH20:FTH21"/>
    <mergeCell ref="FTJ20:FTJ21"/>
    <mergeCell ref="FTL20:FTL21"/>
    <mergeCell ref="FSP20:FSP21"/>
    <mergeCell ref="FSR20:FSR21"/>
    <mergeCell ref="FST20:FST21"/>
    <mergeCell ref="FSV20:FSV21"/>
    <mergeCell ref="FSX20:FSX21"/>
    <mergeCell ref="FSZ20:FSZ21"/>
    <mergeCell ref="FSD20:FSD21"/>
    <mergeCell ref="FSF20:FSF21"/>
    <mergeCell ref="FSH20:FSH21"/>
    <mergeCell ref="FSJ20:FSJ21"/>
    <mergeCell ref="FSL20:FSL21"/>
    <mergeCell ref="FSN20:FSN21"/>
    <mergeCell ref="FRR20:FRR21"/>
    <mergeCell ref="FRT20:FRT21"/>
    <mergeCell ref="FRV20:FRV21"/>
    <mergeCell ref="FRX20:FRX21"/>
    <mergeCell ref="FRZ20:FRZ21"/>
    <mergeCell ref="FSB20:FSB21"/>
    <mergeCell ref="FRF20:FRF21"/>
    <mergeCell ref="FRH20:FRH21"/>
    <mergeCell ref="FRJ20:FRJ21"/>
    <mergeCell ref="FRL20:FRL21"/>
    <mergeCell ref="FRN20:FRN21"/>
    <mergeCell ref="FRP20:FRP21"/>
    <mergeCell ref="FQT20:FQT21"/>
    <mergeCell ref="FQV20:FQV21"/>
    <mergeCell ref="FQX20:FQX21"/>
    <mergeCell ref="FQZ20:FQZ21"/>
    <mergeCell ref="FRB20:FRB21"/>
    <mergeCell ref="FRD20:FRD21"/>
    <mergeCell ref="FQH20:FQH21"/>
    <mergeCell ref="FQJ20:FQJ21"/>
    <mergeCell ref="FQL20:FQL21"/>
    <mergeCell ref="FQN20:FQN21"/>
    <mergeCell ref="FQP20:FQP21"/>
    <mergeCell ref="FQR20:FQR21"/>
    <mergeCell ref="FPV20:FPV21"/>
    <mergeCell ref="FPX20:FPX21"/>
    <mergeCell ref="FPZ20:FPZ21"/>
    <mergeCell ref="FQB20:FQB21"/>
    <mergeCell ref="FQD20:FQD21"/>
    <mergeCell ref="FQF20:FQF21"/>
    <mergeCell ref="FPJ20:FPJ21"/>
    <mergeCell ref="FPL20:FPL21"/>
    <mergeCell ref="FPN20:FPN21"/>
    <mergeCell ref="FPP20:FPP21"/>
    <mergeCell ref="FPR20:FPR21"/>
    <mergeCell ref="FPT20:FPT21"/>
    <mergeCell ref="FOX20:FOX21"/>
    <mergeCell ref="FOZ20:FOZ21"/>
    <mergeCell ref="FPB20:FPB21"/>
    <mergeCell ref="FPD20:FPD21"/>
    <mergeCell ref="FPF20:FPF21"/>
    <mergeCell ref="FPH20:FPH21"/>
    <mergeCell ref="FOL20:FOL21"/>
    <mergeCell ref="FON20:FON21"/>
    <mergeCell ref="FOP20:FOP21"/>
    <mergeCell ref="FOR20:FOR21"/>
    <mergeCell ref="FOT20:FOT21"/>
    <mergeCell ref="FOV20:FOV21"/>
    <mergeCell ref="FNZ20:FNZ21"/>
    <mergeCell ref="FOB20:FOB21"/>
    <mergeCell ref="FOD20:FOD21"/>
    <mergeCell ref="FOF20:FOF21"/>
    <mergeCell ref="FOH20:FOH21"/>
    <mergeCell ref="FOJ20:FOJ21"/>
    <mergeCell ref="FNN20:FNN21"/>
    <mergeCell ref="FNP20:FNP21"/>
    <mergeCell ref="FNR20:FNR21"/>
    <mergeCell ref="FNT20:FNT21"/>
    <mergeCell ref="FNV20:FNV21"/>
    <mergeCell ref="FNX20:FNX21"/>
    <mergeCell ref="FNB20:FNB21"/>
    <mergeCell ref="FND20:FND21"/>
    <mergeCell ref="FNF20:FNF21"/>
    <mergeCell ref="FNH20:FNH21"/>
    <mergeCell ref="FNJ20:FNJ21"/>
    <mergeCell ref="FNL20:FNL21"/>
    <mergeCell ref="FMP20:FMP21"/>
    <mergeCell ref="FMR20:FMR21"/>
    <mergeCell ref="FMT20:FMT21"/>
    <mergeCell ref="FMV20:FMV21"/>
    <mergeCell ref="FMX20:FMX21"/>
    <mergeCell ref="FMZ20:FMZ21"/>
    <mergeCell ref="FMD20:FMD21"/>
    <mergeCell ref="FMF20:FMF21"/>
    <mergeCell ref="FMH20:FMH21"/>
    <mergeCell ref="FMJ20:FMJ21"/>
    <mergeCell ref="FML20:FML21"/>
    <mergeCell ref="FMN20:FMN21"/>
    <mergeCell ref="FLR20:FLR21"/>
    <mergeCell ref="FLT20:FLT21"/>
    <mergeCell ref="FLV20:FLV21"/>
    <mergeCell ref="FLX20:FLX21"/>
    <mergeCell ref="FLZ20:FLZ21"/>
    <mergeCell ref="FMB20:FMB21"/>
    <mergeCell ref="FLF20:FLF21"/>
    <mergeCell ref="FLH20:FLH21"/>
    <mergeCell ref="FLJ20:FLJ21"/>
    <mergeCell ref="FLL20:FLL21"/>
    <mergeCell ref="FLN20:FLN21"/>
    <mergeCell ref="FLP20:FLP21"/>
    <mergeCell ref="FKT20:FKT21"/>
    <mergeCell ref="FKV20:FKV21"/>
    <mergeCell ref="FKX20:FKX21"/>
    <mergeCell ref="FKZ20:FKZ21"/>
    <mergeCell ref="FLB20:FLB21"/>
    <mergeCell ref="FLD20:FLD21"/>
    <mergeCell ref="FKH20:FKH21"/>
    <mergeCell ref="FKJ20:FKJ21"/>
    <mergeCell ref="FKL20:FKL21"/>
    <mergeCell ref="FKN20:FKN21"/>
    <mergeCell ref="FKP20:FKP21"/>
    <mergeCell ref="FKR20:FKR21"/>
    <mergeCell ref="FJV20:FJV21"/>
    <mergeCell ref="FJX20:FJX21"/>
    <mergeCell ref="FJZ20:FJZ21"/>
    <mergeCell ref="FKB20:FKB21"/>
    <mergeCell ref="FKD20:FKD21"/>
    <mergeCell ref="FKF20:FKF21"/>
    <mergeCell ref="FJJ20:FJJ21"/>
    <mergeCell ref="FJL20:FJL21"/>
    <mergeCell ref="FJN20:FJN21"/>
    <mergeCell ref="FJP20:FJP21"/>
    <mergeCell ref="FJR20:FJR21"/>
    <mergeCell ref="FJT20:FJT21"/>
    <mergeCell ref="FIX20:FIX21"/>
    <mergeCell ref="FIZ20:FIZ21"/>
    <mergeCell ref="FJB20:FJB21"/>
    <mergeCell ref="FJD20:FJD21"/>
    <mergeCell ref="FJF20:FJF21"/>
    <mergeCell ref="FJH20:FJH21"/>
    <mergeCell ref="FIL20:FIL21"/>
    <mergeCell ref="FIN20:FIN21"/>
    <mergeCell ref="FIP20:FIP21"/>
    <mergeCell ref="FIR20:FIR21"/>
    <mergeCell ref="FIT20:FIT21"/>
    <mergeCell ref="FIV20:FIV21"/>
    <mergeCell ref="FHZ20:FHZ21"/>
    <mergeCell ref="FIB20:FIB21"/>
    <mergeCell ref="FID20:FID21"/>
    <mergeCell ref="FIF20:FIF21"/>
    <mergeCell ref="FIH20:FIH21"/>
    <mergeCell ref="FIJ20:FIJ21"/>
    <mergeCell ref="FHN20:FHN21"/>
    <mergeCell ref="FHP20:FHP21"/>
    <mergeCell ref="FHR20:FHR21"/>
    <mergeCell ref="FHT20:FHT21"/>
    <mergeCell ref="FHV20:FHV21"/>
    <mergeCell ref="FHX20:FHX21"/>
    <mergeCell ref="FHB20:FHB21"/>
    <mergeCell ref="FHD20:FHD21"/>
    <mergeCell ref="FHF20:FHF21"/>
    <mergeCell ref="FHH20:FHH21"/>
    <mergeCell ref="FHJ20:FHJ21"/>
    <mergeCell ref="FHL20:FHL21"/>
    <mergeCell ref="FGP20:FGP21"/>
    <mergeCell ref="FGR20:FGR21"/>
    <mergeCell ref="FGT20:FGT21"/>
    <mergeCell ref="FGV20:FGV21"/>
    <mergeCell ref="FGX20:FGX21"/>
    <mergeCell ref="FGZ20:FGZ21"/>
    <mergeCell ref="FGD20:FGD21"/>
    <mergeCell ref="FGF20:FGF21"/>
    <mergeCell ref="FGH20:FGH21"/>
    <mergeCell ref="FGJ20:FGJ21"/>
    <mergeCell ref="FGL20:FGL21"/>
    <mergeCell ref="FGN20:FGN21"/>
    <mergeCell ref="FFR20:FFR21"/>
    <mergeCell ref="FFT20:FFT21"/>
    <mergeCell ref="FFV20:FFV21"/>
    <mergeCell ref="FFX20:FFX21"/>
    <mergeCell ref="FFZ20:FFZ21"/>
    <mergeCell ref="FGB20:FGB21"/>
    <mergeCell ref="FFF20:FFF21"/>
    <mergeCell ref="FFH20:FFH21"/>
    <mergeCell ref="FFJ20:FFJ21"/>
    <mergeCell ref="FFL20:FFL21"/>
    <mergeCell ref="FFN20:FFN21"/>
    <mergeCell ref="FFP20:FFP21"/>
    <mergeCell ref="FET20:FET21"/>
    <mergeCell ref="FEV20:FEV21"/>
    <mergeCell ref="FEX20:FEX21"/>
    <mergeCell ref="FEZ20:FEZ21"/>
    <mergeCell ref="FFB20:FFB21"/>
    <mergeCell ref="FFD20:FFD21"/>
    <mergeCell ref="FEH20:FEH21"/>
    <mergeCell ref="FEJ20:FEJ21"/>
    <mergeCell ref="FEL20:FEL21"/>
    <mergeCell ref="FEN20:FEN21"/>
    <mergeCell ref="FEP20:FEP21"/>
    <mergeCell ref="FER20:FER21"/>
    <mergeCell ref="FDV20:FDV21"/>
    <mergeCell ref="FDX20:FDX21"/>
    <mergeCell ref="FDZ20:FDZ21"/>
    <mergeCell ref="FEB20:FEB21"/>
    <mergeCell ref="FED20:FED21"/>
    <mergeCell ref="FEF20:FEF21"/>
    <mergeCell ref="FDJ20:FDJ21"/>
    <mergeCell ref="FDL20:FDL21"/>
    <mergeCell ref="FDN20:FDN21"/>
    <mergeCell ref="FDP20:FDP21"/>
    <mergeCell ref="FDR20:FDR21"/>
    <mergeCell ref="FDT20:FDT21"/>
    <mergeCell ref="FCX20:FCX21"/>
    <mergeCell ref="FCZ20:FCZ21"/>
    <mergeCell ref="FDB20:FDB21"/>
    <mergeCell ref="FDD20:FDD21"/>
    <mergeCell ref="FDF20:FDF21"/>
    <mergeCell ref="FDH20:FDH21"/>
    <mergeCell ref="FCL20:FCL21"/>
    <mergeCell ref="FCN20:FCN21"/>
    <mergeCell ref="FCP20:FCP21"/>
    <mergeCell ref="FCR20:FCR21"/>
    <mergeCell ref="FCT20:FCT21"/>
    <mergeCell ref="FCV20:FCV21"/>
    <mergeCell ref="FBZ20:FBZ21"/>
    <mergeCell ref="FCB20:FCB21"/>
    <mergeCell ref="FCD20:FCD21"/>
    <mergeCell ref="FCF20:FCF21"/>
    <mergeCell ref="FCH20:FCH21"/>
    <mergeCell ref="FCJ20:FCJ21"/>
    <mergeCell ref="FBN20:FBN21"/>
    <mergeCell ref="FBP20:FBP21"/>
    <mergeCell ref="FBR20:FBR21"/>
    <mergeCell ref="FBT20:FBT21"/>
    <mergeCell ref="FBV20:FBV21"/>
    <mergeCell ref="FBX20:FBX21"/>
    <mergeCell ref="FBB20:FBB21"/>
    <mergeCell ref="FBD20:FBD21"/>
    <mergeCell ref="FBF20:FBF21"/>
    <mergeCell ref="FBH20:FBH21"/>
    <mergeCell ref="FBJ20:FBJ21"/>
    <mergeCell ref="FBL20:FBL21"/>
    <mergeCell ref="FAP20:FAP21"/>
    <mergeCell ref="FAR20:FAR21"/>
    <mergeCell ref="FAT20:FAT21"/>
    <mergeCell ref="FAV20:FAV21"/>
    <mergeCell ref="FAX20:FAX21"/>
    <mergeCell ref="FAZ20:FAZ21"/>
    <mergeCell ref="FAD20:FAD21"/>
    <mergeCell ref="FAF20:FAF21"/>
    <mergeCell ref="FAH20:FAH21"/>
    <mergeCell ref="FAJ20:FAJ21"/>
    <mergeCell ref="FAL20:FAL21"/>
    <mergeCell ref="FAN20:FAN21"/>
    <mergeCell ref="EZR20:EZR21"/>
    <mergeCell ref="EZT20:EZT21"/>
    <mergeCell ref="EZV20:EZV21"/>
    <mergeCell ref="EZX20:EZX21"/>
    <mergeCell ref="EZZ20:EZZ21"/>
    <mergeCell ref="FAB20:FAB21"/>
    <mergeCell ref="EZF20:EZF21"/>
    <mergeCell ref="EZH20:EZH21"/>
    <mergeCell ref="EZJ20:EZJ21"/>
    <mergeCell ref="EZL20:EZL21"/>
    <mergeCell ref="EZN20:EZN21"/>
    <mergeCell ref="EZP20:EZP21"/>
    <mergeCell ref="EYT20:EYT21"/>
    <mergeCell ref="EYV20:EYV21"/>
    <mergeCell ref="EYX20:EYX21"/>
    <mergeCell ref="EYZ20:EYZ21"/>
    <mergeCell ref="EZB20:EZB21"/>
    <mergeCell ref="EZD20:EZD21"/>
    <mergeCell ref="EYH20:EYH21"/>
    <mergeCell ref="EYJ20:EYJ21"/>
    <mergeCell ref="EYL20:EYL21"/>
    <mergeCell ref="EYN20:EYN21"/>
    <mergeCell ref="EYP20:EYP21"/>
    <mergeCell ref="EYR20:EYR21"/>
    <mergeCell ref="EXV20:EXV21"/>
    <mergeCell ref="EXX20:EXX21"/>
    <mergeCell ref="EXZ20:EXZ21"/>
    <mergeCell ref="EYB20:EYB21"/>
    <mergeCell ref="EYD20:EYD21"/>
    <mergeCell ref="EYF20:EYF21"/>
    <mergeCell ref="EXJ20:EXJ21"/>
    <mergeCell ref="EXL20:EXL21"/>
    <mergeCell ref="EXN20:EXN21"/>
    <mergeCell ref="EXP20:EXP21"/>
    <mergeCell ref="EXR20:EXR21"/>
    <mergeCell ref="EXT20:EXT21"/>
    <mergeCell ref="EWX20:EWX21"/>
    <mergeCell ref="EWZ20:EWZ21"/>
    <mergeCell ref="EXB20:EXB21"/>
    <mergeCell ref="EXD20:EXD21"/>
    <mergeCell ref="EXF20:EXF21"/>
    <mergeCell ref="EXH20:EXH21"/>
    <mergeCell ref="EWL20:EWL21"/>
    <mergeCell ref="EWN20:EWN21"/>
    <mergeCell ref="EWP20:EWP21"/>
    <mergeCell ref="EWR20:EWR21"/>
    <mergeCell ref="EWT20:EWT21"/>
    <mergeCell ref="EWV20:EWV21"/>
    <mergeCell ref="EVZ20:EVZ21"/>
    <mergeCell ref="EWB20:EWB21"/>
    <mergeCell ref="EWD20:EWD21"/>
    <mergeCell ref="EWF20:EWF21"/>
    <mergeCell ref="EWH20:EWH21"/>
    <mergeCell ref="EWJ20:EWJ21"/>
    <mergeCell ref="EVN20:EVN21"/>
    <mergeCell ref="EVP20:EVP21"/>
    <mergeCell ref="EVR20:EVR21"/>
    <mergeCell ref="EVT20:EVT21"/>
    <mergeCell ref="EVV20:EVV21"/>
    <mergeCell ref="EVX20:EVX21"/>
    <mergeCell ref="EVB20:EVB21"/>
    <mergeCell ref="EVD20:EVD21"/>
    <mergeCell ref="EVF20:EVF21"/>
    <mergeCell ref="EVH20:EVH21"/>
    <mergeCell ref="EVJ20:EVJ21"/>
    <mergeCell ref="EVL20:EVL21"/>
    <mergeCell ref="EUP20:EUP21"/>
    <mergeCell ref="EUR20:EUR21"/>
    <mergeCell ref="EUT20:EUT21"/>
    <mergeCell ref="EUV20:EUV21"/>
    <mergeCell ref="EUX20:EUX21"/>
    <mergeCell ref="EUZ20:EUZ21"/>
    <mergeCell ref="EUD20:EUD21"/>
    <mergeCell ref="EUF20:EUF21"/>
    <mergeCell ref="EUH20:EUH21"/>
    <mergeCell ref="EUJ20:EUJ21"/>
    <mergeCell ref="EUL20:EUL21"/>
    <mergeCell ref="EUN20:EUN21"/>
    <mergeCell ref="ETR20:ETR21"/>
    <mergeCell ref="ETT20:ETT21"/>
    <mergeCell ref="ETV20:ETV21"/>
    <mergeCell ref="ETX20:ETX21"/>
    <mergeCell ref="ETZ20:ETZ21"/>
    <mergeCell ref="EUB20:EUB21"/>
    <mergeCell ref="ETF20:ETF21"/>
    <mergeCell ref="ETH20:ETH21"/>
    <mergeCell ref="ETJ20:ETJ21"/>
    <mergeCell ref="ETL20:ETL21"/>
    <mergeCell ref="ETN20:ETN21"/>
    <mergeCell ref="ETP20:ETP21"/>
    <mergeCell ref="EST20:EST21"/>
    <mergeCell ref="ESV20:ESV21"/>
    <mergeCell ref="ESX20:ESX21"/>
    <mergeCell ref="ESZ20:ESZ21"/>
    <mergeCell ref="ETB20:ETB21"/>
    <mergeCell ref="ETD20:ETD21"/>
    <mergeCell ref="ESH20:ESH21"/>
    <mergeCell ref="ESJ20:ESJ21"/>
    <mergeCell ref="ESL20:ESL21"/>
    <mergeCell ref="ESN20:ESN21"/>
    <mergeCell ref="ESP20:ESP21"/>
    <mergeCell ref="ESR20:ESR21"/>
    <mergeCell ref="ERV20:ERV21"/>
    <mergeCell ref="ERX20:ERX21"/>
    <mergeCell ref="ERZ20:ERZ21"/>
    <mergeCell ref="ESB20:ESB21"/>
    <mergeCell ref="ESD20:ESD21"/>
    <mergeCell ref="ESF20:ESF21"/>
    <mergeCell ref="ERJ20:ERJ21"/>
    <mergeCell ref="ERL20:ERL21"/>
    <mergeCell ref="ERN20:ERN21"/>
    <mergeCell ref="ERP20:ERP21"/>
    <mergeCell ref="ERR20:ERR21"/>
    <mergeCell ref="ERT20:ERT21"/>
    <mergeCell ref="EQX20:EQX21"/>
    <mergeCell ref="EQZ20:EQZ21"/>
    <mergeCell ref="ERB20:ERB21"/>
    <mergeCell ref="ERD20:ERD21"/>
    <mergeCell ref="ERF20:ERF21"/>
    <mergeCell ref="ERH20:ERH21"/>
    <mergeCell ref="EQL20:EQL21"/>
    <mergeCell ref="EQN20:EQN21"/>
    <mergeCell ref="EQP20:EQP21"/>
    <mergeCell ref="EQR20:EQR21"/>
    <mergeCell ref="EQT20:EQT21"/>
    <mergeCell ref="EQV20:EQV21"/>
    <mergeCell ref="EPZ20:EPZ21"/>
    <mergeCell ref="EQB20:EQB21"/>
    <mergeCell ref="EQD20:EQD21"/>
    <mergeCell ref="EQF20:EQF21"/>
    <mergeCell ref="EQH20:EQH21"/>
    <mergeCell ref="EQJ20:EQJ21"/>
    <mergeCell ref="EPN20:EPN21"/>
    <mergeCell ref="EPP20:EPP21"/>
    <mergeCell ref="EPR20:EPR21"/>
    <mergeCell ref="EPT20:EPT21"/>
    <mergeCell ref="EPV20:EPV21"/>
    <mergeCell ref="EPX20:EPX21"/>
    <mergeCell ref="EPB20:EPB21"/>
    <mergeCell ref="EPD20:EPD21"/>
    <mergeCell ref="EPF20:EPF21"/>
    <mergeCell ref="EPH20:EPH21"/>
    <mergeCell ref="EPJ20:EPJ21"/>
    <mergeCell ref="EPL20:EPL21"/>
    <mergeCell ref="EOP20:EOP21"/>
    <mergeCell ref="EOR20:EOR21"/>
    <mergeCell ref="EOT20:EOT21"/>
    <mergeCell ref="EOV20:EOV21"/>
    <mergeCell ref="EOX20:EOX21"/>
    <mergeCell ref="EOZ20:EOZ21"/>
    <mergeCell ref="EOD20:EOD21"/>
    <mergeCell ref="EOF20:EOF21"/>
    <mergeCell ref="EOH20:EOH21"/>
    <mergeCell ref="EOJ20:EOJ21"/>
    <mergeCell ref="EOL20:EOL21"/>
    <mergeCell ref="EON20:EON21"/>
    <mergeCell ref="ENR20:ENR21"/>
    <mergeCell ref="ENT20:ENT21"/>
    <mergeCell ref="ENV20:ENV21"/>
    <mergeCell ref="ENX20:ENX21"/>
    <mergeCell ref="ENZ20:ENZ21"/>
    <mergeCell ref="EOB20:EOB21"/>
    <mergeCell ref="ENF20:ENF21"/>
    <mergeCell ref="ENH20:ENH21"/>
    <mergeCell ref="ENJ20:ENJ21"/>
    <mergeCell ref="ENL20:ENL21"/>
    <mergeCell ref="ENN20:ENN21"/>
    <mergeCell ref="ENP20:ENP21"/>
    <mergeCell ref="EMT20:EMT21"/>
    <mergeCell ref="EMV20:EMV21"/>
    <mergeCell ref="EMX20:EMX21"/>
    <mergeCell ref="EMZ20:EMZ21"/>
    <mergeCell ref="ENB20:ENB21"/>
    <mergeCell ref="END20:END21"/>
    <mergeCell ref="EMH20:EMH21"/>
    <mergeCell ref="EMJ20:EMJ21"/>
    <mergeCell ref="EML20:EML21"/>
    <mergeCell ref="EMN20:EMN21"/>
    <mergeCell ref="EMP20:EMP21"/>
    <mergeCell ref="EMR20:EMR21"/>
    <mergeCell ref="ELV20:ELV21"/>
    <mergeCell ref="ELX20:ELX21"/>
    <mergeCell ref="ELZ20:ELZ21"/>
    <mergeCell ref="EMB20:EMB21"/>
    <mergeCell ref="EMD20:EMD21"/>
    <mergeCell ref="EMF20:EMF21"/>
    <mergeCell ref="ELJ20:ELJ21"/>
    <mergeCell ref="ELL20:ELL21"/>
    <mergeCell ref="ELN20:ELN21"/>
    <mergeCell ref="ELP20:ELP21"/>
    <mergeCell ref="ELR20:ELR21"/>
    <mergeCell ref="ELT20:ELT21"/>
    <mergeCell ref="EKX20:EKX21"/>
    <mergeCell ref="EKZ20:EKZ21"/>
    <mergeCell ref="ELB20:ELB21"/>
    <mergeCell ref="ELD20:ELD21"/>
    <mergeCell ref="ELF20:ELF21"/>
    <mergeCell ref="ELH20:ELH21"/>
    <mergeCell ref="EKL20:EKL21"/>
    <mergeCell ref="EKN20:EKN21"/>
    <mergeCell ref="EKP20:EKP21"/>
    <mergeCell ref="EKR20:EKR21"/>
    <mergeCell ref="EKT20:EKT21"/>
    <mergeCell ref="EKV20:EKV21"/>
    <mergeCell ref="EJZ20:EJZ21"/>
    <mergeCell ref="EKB20:EKB21"/>
    <mergeCell ref="EKD20:EKD21"/>
    <mergeCell ref="EKF20:EKF21"/>
    <mergeCell ref="EKH20:EKH21"/>
    <mergeCell ref="EKJ20:EKJ21"/>
    <mergeCell ref="EJN20:EJN21"/>
    <mergeCell ref="EJP20:EJP21"/>
    <mergeCell ref="EJR20:EJR21"/>
    <mergeCell ref="EJT20:EJT21"/>
    <mergeCell ref="EJV20:EJV21"/>
    <mergeCell ref="EJX20:EJX21"/>
    <mergeCell ref="EJB20:EJB21"/>
    <mergeCell ref="EJD20:EJD21"/>
    <mergeCell ref="EJF20:EJF21"/>
    <mergeCell ref="EJH20:EJH21"/>
    <mergeCell ref="EJJ20:EJJ21"/>
    <mergeCell ref="EJL20:EJL21"/>
    <mergeCell ref="EIP20:EIP21"/>
    <mergeCell ref="EIR20:EIR21"/>
    <mergeCell ref="EIT20:EIT21"/>
    <mergeCell ref="EIV20:EIV21"/>
    <mergeCell ref="EIX20:EIX21"/>
    <mergeCell ref="EIZ20:EIZ21"/>
    <mergeCell ref="EID20:EID21"/>
    <mergeCell ref="EIF20:EIF21"/>
    <mergeCell ref="EIH20:EIH21"/>
    <mergeCell ref="EIJ20:EIJ21"/>
    <mergeCell ref="EIL20:EIL21"/>
    <mergeCell ref="EIN20:EIN21"/>
    <mergeCell ref="EHR20:EHR21"/>
    <mergeCell ref="EHT20:EHT21"/>
    <mergeCell ref="EHV20:EHV21"/>
    <mergeCell ref="EHX20:EHX21"/>
    <mergeCell ref="EHZ20:EHZ21"/>
    <mergeCell ref="EIB20:EIB21"/>
    <mergeCell ref="EHF20:EHF21"/>
    <mergeCell ref="EHH20:EHH21"/>
    <mergeCell ref="EHJ20:EHJ21"/>
    <mergeCell ref="EHL20:EHL21"/>
    <mergeCell ref="EHN20:EHN21"/>
    <mergeCell ref="EHP20:EHP21"/>
    <mergeCell ref="EGT20:EGT21"/>
    <mergeCell ref="EGV20:EGV21"/>
    <mergeCell ref="EGX20:EGX21"/>
    <mergeCell ref="EGZ20:EGZ21"/>
    <mergeCell ref="EHB20:EHB21"/>
    <mergeCell ref="EHD20:EHD21"/>
    <mergeCell ref="EGH20:EGH21"/>
    <mergeCell ref="EGJ20:EGJ21"/>
    <mergeCell ref="EGL20:EGL21"/>
    <mergeCell ref="EGN20:EGN21"/>
    <mergeCell ref="EGP20:EGP21"/>
    <mergeCell ref="EGR20:EGR21"/>
    <mergeCell ref="EFV20:EFV21"/>
    <mergeCell ref="EFX20:EFX21"/>
    <mergeCell ref="EFZ20:EFZ21"/>
    <mergeCell ref="EGB20:EGB21"/>
    <mergeCell ref="EGD20:EGD21"/>
    <mergeCell ref="EGF20:EGF21"/>
    <mergeCell ref="EFJ20:EFJ21"/>
    <mergeCell ref="EFL20:EFL21"/>
    <mergeCell ref="EFN20:EFN21"/>
    <mergeCell ref="EFP20:EFP21"/>
    <mergeCell ref="EFR20:EFR21"/>
    <mergeCell ref="EFT20:EFT21"/>
    <mergeCell ref="EEX20:EEX21"/>
    <mergeCell ref="EEZ20:EEZ21"/>
    <mergeCell ref="EFB20:EFB21"/>
    <mergeCell ref="EFD20:EFD21"/>
    <mergeCell ref="EFF20:EFF21"/>
    <mergeCell ref="EFH20:EFH21"/>
    <mergeCell ref="EEL20:EEL21"/>
    <mergeCell ref="EEN20:EEN21"/>
    <mergeCell ref="EEP20:EEP21"/>
    <mergeCell ref="EER20:EER21"/>
    <mergeCell ref="EET20:EET21"/>
    <mergeCell ref="EEV20:EEV21"/>
    <mergeCell ref="EDZ20:EDZ21"/>
    <mergeCell ref="EEB20:EEB21"/>
    <mergeCell ref="EED20:EED21"/>
    <mergeCell ref="EEF20:EEF21"/>
    <mergeCell ref="EEH20:EEH21"/>
    <mergeCell ref="EEJ20:EEJ21"/>
    <mergeCell ref="EDN20:EDN21"/>
    <mergeCell ref="EDP20:EDP21"/>
    <mergeCell ref="EDR20:EDR21"/>
    <mergeCell ref="EDT20:EDT21"/>
    <mergeCell ref="EDV20:EDV21"/>
    <mergeCell ref="EDX20:EDX21"/>
    <mergeCell ref="EDB20:EDB21"/>
    <mergeCell ref="EDD20:EDD21"/>
    <mergeCell ref="EDF20:EDF21"/>
    <mergeCell ref="EDH20:EDH21"/>
    <mergeCell ref="EDJ20:EDJ21"/>
    <mergeCell ref="EDL20:EDL21"/>
    <mergeCell ref="ECP20:ECP21"/>
    <mergeCell ref="ECR20:ECR21"/>
    <mergeCell ref="ECT20:ECT21"/>
    <mergeCell ref="ECV20:ECV21"/>
    <mergeCell ref="ECX20:ECX21"/>
    <mergeCell ref="ECZ20:ECZ21"/>
    <mergeCell ref="ECD20:ECD21"/>
    <mergeCell ref="ECF20:ECF21"/>
    <mergeCell ref="ECH20:ECH21"/>
    <mergeCell ref="ECJ20:ECJ21"/>
    <mergeCell ref="ECL20:ECL21"/>
    <mergeCell ref="ECN20:ECN21"/>
    <mergeCell ref="EBR20:EBR21"/>
    <mergeCell ref="EBT20:EBT21"/>
    <mergeCell ref="EBV20:EBV21"/>
    <mergeCell ref="EBX20:EBX21"/>
    <mergeCell ref="EBZ20:EBZ21"/>
    <mergeCell ref="ECB20:ECB21"/>
    <mergeCell ref="EBF20:EBF21"/>
    <mergeCell ref="EBH20:EBH21"/>
    <mergeCell ref="EBJ20:EBJ21"/>
    <mergeCell ref="EBL20:EBL21"/>
    <mergeCell ref="EBN20:EBN21"/>
    <mergeCell ref="EBP20:EBP21"/>
    <mergeCell ref="EAT20:EAT21"/>
    <mergeCell ref="EAV20:EAV21"/>
    <mergeCell ref="EAX20:EAX21"/>
    <mergeCell ref="EAZ20:EAZ21"/>
    <mergeCell ref="EBB20:EBB21"/>
    <mergeCell ref="EBD20:EBD21"/>
    <mergeCell ref="EAH20:EAH21"/>
    <mergeCell ref="EAJ20:EAJ21"/>
    <mergeCell ref="EAL20:EAL21"/>
    <mergeCell ref="EAN20:EAN21"/>
    <mergeCell ref="EAP20:EAP21"/>
    <mergeCell ref="EAR20:EAR21"/>
    <mergeCell ref="DZV20:DZV21"/>
    <mergeCell ref="DZX20:DZX21"/>
    <mergeCell ref="DZZ20:DZZ21"/>
    <mergeCell ref="EAB20:EAB21"/>
    <mergeCell ref="EAD20:EAD21"/>
    <mergeCell ref="EAF20:EAF21"/>
    <mergeCell ref="DZJ20:DZJ21"/>
    <mergeCell ref="DZL20:DZL21"/>
    <mergeCell ref="DZN20:DZN21"/>
    <mergeCell ref="DZP20:DZP21"/>
    <mergeCell ref="DZR20:DZR21"/>
    <mergeCell ref="DZT20:DZT21"/>
    <mergeCell ref="DYX20:DYX21"/>
    <mergeCell ref="DYZ20:DYZ21"/>
    <mergeCell ref="DZB20:DZB21"/>
    <mergeCell ref="DZD20:DZD21"/>
    <mergeCell ref="DZF20:DZF21"/>
    <mergeCell ref="DZH20:DZH21"/>
    <mergeCell ref="DYL20:DYL21"/>
    <mergeCell ref="DYN20:DYN21"/>
    <mergeCell ref="DYP20:DYP21"/>
    <mergeCell ref="DYR20:DYR21"/>
    <mergeCell ref="DYT20:DYT21"/>
    <mergeCell ref="DYV20:DYV21"/>
    <mergeCell ref="DXZ20:DXZ21"/>
    <mergeCell ref="DYB20:DYB21"/>
    <mergeCell ref="DYD20:DYD21"/>
    <mergeCell ref="DYF20:DYF21"/>
    <mergeCell ref="DYH20:DYH21"/>
    <mergeCell ref="DYJ20:DYJ21"/>
    <mergeCell ref="DXN20:DXN21"/>
    <mergeCell ref="DXP20:DXP21"/>
    <mergeCell ref="DXR20:DXR21"/>
    <mergeCell ref="DXT20:DXT21"/>
    <mergeCell ref="DXV20:DXV21"/>
    <mergeCell ref="DXX20:DXX21"/>
    <mergeCell ref="DXB20:DXB21"/>
    <mergeCell ref="DXD20:DXD21"/>
    <mergeCell ref="DXF20:DXF21"/>
    <mergeCell ref="DXH20:DXH21"/>
    <mergeCell ref="DXJ20:DXJ21"/>
    <mergeCell ref="DXL20:DXL21"/>
    <mergeCell ref="DWP20:DWP21"/>
    <mergeCell ref="DWR20:DWR21"/>
    <mergeCell ref="DWT20:DWT21"/>
    <mergeCell ref="DWV20:DWV21"/>
    <mergeCell ref="DWX20:DWX21"/>
    <mergeCell ref="DWZ20:DWZ21"/>
    <mergeCell ref="DWD20:DWD21"/>
    <mergeCell ref="DWF20:DWF21"/>
    <mergeCell ref="DWH20:DWH21"/>
    <mergeCell ref="DWJ20:DWJ21"/>
    <mergeCell ref="DWL20:DWL21"/>
    <mergeCell ref="DWN20:DWN21"/>
    <mergeCell ref="DVR20:DVR21"/>
    <mergeCell ref="DVT20:DVT21"/>
    <mergeCell ref="DVV20:DVV21"/>
    <mergeCell ref="DVX20:DVX21"/>
    <mergeCell ref="DVZ20:DVZ21"/>
    <mergeCell ref="DWB20:DWB21"/>
    <mergeCell ref="DVF20:DVF21"/>
    <mergeCell ref="DVH20:DVH21"/>
    <mergeCell ref="DVJ20:DVJ21"/>
    <mergeCell ref="DVL20:DVL21"/>
    <mergeCell ref="DVN20:DVN21"/>
    <mergeCell ref="DVP20:DVP21"/>
    <mergeCell ref="DUT20:DUT21"/>
    <mergeCell ref="DUV20:DUV21"/>
    <mergeCell ref="DUX20:DUX21"/>
    <mergeCell ref="DUZ20:DUZ21"/>
    <mergeCell ref="DVB20:DVB21"/>
    <mergeCell ref="DVD20:DVD21"/>
    <mergeCell ref="DUH20:DUH21"/>
    <mergeCell ref="DUJ20:DUJ21"/>
    <mergeCell ref="DUL20:DUL21"/>
    <mergeCell ref="DUN20:DUN21"/>
    <mergeCell ref="DUP20:DUP21"/>
    <mergeCell ref="DUR20:DUR21"/>
    <mergeCell ref="DTV20:DTV21"/>
    <mergeCell ref="DTX20:DTX21"/>
    <mergeCell ref="DTZ20:DTZ21"/>
    <mergeCell ref="DUB20:DUB21"/>
    <mergeCell ref="DUD20:DUD21"/>
    <mergeCell ref="DUF20:DUF21"/>
    <mergeCell ref="DTJ20:DTJ21"/>
    <mergeCell ref="DTL20:DTL21"/>
    <mergeCell ref="DTN20:DTN21"/>
    <mergeCell ref="DTP20:DTP21"/>
    <mergeCell ref="DTR20:DTR21"/>
    <mergeCell ref="DTT20:DTT21"/>
    <mergeCell ref="DSX20:DSX21"/>
    <mergeCell ref="DSZ20:DSZ21"/>
    <mergeCell ref="DTB20:DTB21"/>
    <mergeCell ref="DTD20:DTD21"/>
    <mergeCell ref="DTF20:DTF21"/>
    <mergeCell ref="DTH20:DTH21"/>
    <mergeCell ref="DSL20:DSL21"/>
    <mergeCell ref="DSN20:DSN21"/>
    <mergeCell ref="DSP20:DSP21"/>
    <mergeCell ref="DSR20:DSR21"/>
    <mergeCell ref="DST20:DST21"/>
    <mergeCell ref="DSV20:DSV21"/>
    <mergeCell ref="DRZ20:DRZ21"/>
    <mergeCell ref="DSB20:DSB21"/>
    <mergeCell ref="DSD20:DSD21"/>
    <mergeCell ref="DSF20:DSF21"/>
    <mergeCell ref="DSH20:DSH21"/>
    <mergeCell ref="DSJ20:DSJ21"/>
    <mergeCell ref="DRN20:DRN21"/>
    <mergeCell ref="DRP20:DRP21"/>
    <mergeCell ref="DRR20:DRR21"/>
    <mergeCell ref="DRT20:DRT21"/>
    <mergeCell ref="DRV20:DRV21"/>
    <mergeCell ref="DRX20:DRX21"/>
    <mergeCell ref="DRB20:DRB21"/>
    <mergeCell ref="DRD20:DRD21"/>
    <mergeCell ref="DRF20:DRF21"/>
    <mergeCell ref="DRH20:DRH21"/>
    <mergeCell ref="DRJ20:DRJ21"/>
    <mergeCell ref="DRL20:DRL21"/>
    <mergeCell ref="DQP20:DQP21"/>
    <mergeCell ref="DQR20:DQR21"/>
    <mergeCell ref="DQT20:DQT21"/>
    <mergeCell ref="DQV20:DQV21"/>
    <mergeCell ref="DQX20:DQX21"/>
    <mergeCell ref="DQZ20:DQZ21"/>
    <mergeCell ref="DQD20:DQD21"/>
    <mergeCell ref="DQF20:DQF21"/>
    <mergeCell ref="DQH20:DQH21"/>
    <mergeCell ref="DQJ20:DQJ21"/>
    <mergeCell ref="DQL20:DQL21"/>
    <mergeCell ref="DQN20:DQN21"/>
    <mergeCell ref="DPR20:DPR21"/>
    <mergeCell ref="DPT20:DPT21"/>
    <mergeCell ref="DPV20:DPV21"/>
    <mergeCell ref="DPX20:DPX21"/>
    <mergeCell ref="DPZ20:DPZ21"/>
    <mergeCell ref="DQB20:DQB21"/>
    <mergeCell ref="DPF20:DPF21"/>
    <mergeCell ref="DPH20:DPH21"/>
    <mergeCell ref="DPJ20:DPJ21"/>
    <mergeCell ref="DPL20:DPL21"/>
    <mergeCell ref="DPN20:DPN21"/>
    <mergeCell ref="DPP20:DPP21"/>
    <mergeCell ref="DOT20:DOT21"/>
    <mergeCell ref="DOV20:DOV21"/>
    <mergeCell ref="DOX20:DOX21"/>
    <mergeCell ref="DOZ20:DOZ21"/>
    <mergeCell ref="DPB20:DPB21"/>
    <mergeCell ref="DPD20:DPD21"/>
    <mergeCell ref="DOH20:DOH21"/>
    <mergeCell ref="DOJ20:DOJ21"/>
    <mergeCell ref="DOL20:DOL21"/>
    <mergeCell ref="DON20:DON21"/>
    <mergeCell ref="DOP20:DOP21"/>
    <mergeCell ref="DOR20:DOR21"/>
    <mergeCell ref="DNV20:DNV21"/>
    <mergeCell ref="DNX20:DNX21"/>
    <mergeCell ref="DNZ20:DNZ21"/>
    <mergeCell ref="DOB20:DOB21"/>
    <mergeCell ref="DOD20:DOD21"/>
    <mergeCell ref="DOF20:DOF21"/>
    <mergeCell ref="DNJ20:DNJ21"/>
    <mergeCell ref="DNL20:DNL21"/>
    <mergeCell ref="DNN20:DNN21"/>
    <mergeCell ref="DNP20:DNP21"/>
    <mergeCell ref="DNR20:DNR21"/>
    <mergeCell ref="DNT20:DNT21"/>
    <mergeCell ref="DMX20:DMX21"/>
    <mergeCell ref="DMZ20:DMZ21"/>
    <mergeCell ref="DNB20:DNB21"/>
    <mergeCell ref="DND20:DND21"/>
    <mergeCell ref="DNF20:DNF21"/>
    <mergeCell ref="DNH20:DNH21"/>
    <mergeCell ref="DML20:DML21"/>
    <mergeCell ref="DMN20:DMN21"/>
    <mergeCell ref="DMP20:DMP21"/>
    <mergeCell ref="DMR20:DMR21"/>
    <mergeCell ref="DMT20:DMT21"/>
    <mergeCell ref="DMV20:DMV21"/>
    <mergeCell ref="DLZ20:DLZ21"/>
    <mergeCell ref="DMB20:DMB21"/>
    <mergeCell ref="DMD20:DMD21"/>
    <mergeCell ref="DMF20:DMF21"/>
    <mergeCell ref="DMH20:DMH21"/>
    <mergeCell ref="DMJ20:DMJ21"/>
    <mergeCell ref="DLN20:DLN21"/>
    <mergeCell ref="DLP20:DLP21"/>
    <mergeCell ref="DLR20:DLR21"/>
    <mergeCell ref="DLT20:DLT21"/>
    <mergeCell ref="DLV20:DLV21"/>
    <mergeCell ref="DLX20:DLX21"/>
    <mergeCell ref="DLB20:DLB21"/>
    <mergeCell ref="DLD20:DLD21"/>
    <mergeCell ref="DLF20:DLF21"/>
    <mergeCell ref="DLH20:DLH21"/>
    <mergeCell ref="DLJ20:DLJ21"/>
    <mergeCell ref="DLL20:DLL21"/>
    <mergeCell ref="DKP20:DKP21"/>
    <mergeCell ref="DKR20:DKR21"/>
    <mergeCell ref="DKT20:DKT21"/>
    <mergeCell ref="DKV20:DKV21"/>
    <mergeCell ref="DKX20:DKX21"/>
    <mergeCell ref="DKZ20:DKZ21"/>
    <mergeCell ref="DKD20:DKD21"/>
    <mergeCell ref="DKF20:DKF21"/>
    <mergeCell ref="DKH20:DKH21"/>
    <mergeCell ref="DKJ20:DKJ21"/>
    <mergeCell ref="DKL20:DKL21"/>
    <mergeCell ref="DKN20:DKN21"/>
    <mergeCell ref="DJR20:DJR21"/>
    <mergeCell ref="DJT20:DJT21"/>
    <mergeCell ref="DJV20:DJV21"/>
    <mergeCell ref="DJX20:DJX21"/>
    <mergeCell ref="DJZ20:DJZ21"/>
    <mergeCell ref="DKB20:DKB21"/>
    <mergeCell ref="DJF20:DJF21"/>
    <mergeCell ref="DJH20:DJH21"/>
    <mergeCell ref="DJJ20:DJJ21"/>
    <mergeCell ref="DJL20:DJL21"/>
    <mergeCell ref="DJN20:DJN21"/>
    <mergeCell ref="DJP20:DJP21"/>
    <mergeCell ref="DIT20:DIT21"/>
    <mergeCell ref="DIV20:DIV21"/>
    <mergeCell ref="DIX20:DIX21"/>
    <mergeCell ref="DIZ20:DIZ21"/>
    <mergeCell ref="DJB20:DJB21"/>
    <mergeCell ref="DJD20:DJD21"/>
    <mergeCell ref="DIH20:DIH21"/>
    <mergeCell ref="DIJ20:DIJ21"/>
    <mergeCell ref="DIL20:DIL21"/>
    <mergeCell ref="DIN20:DIN21"/>
    <mergeCell ref="DIP20:DIP21"/>
    <mergeCell ref="DIR20:DIR21"/>
    <mergeCell ref="DHV20:DHV21"/>
    <mergeCell ref="DHX20:DHX21"/>
    <mergeCell ref="DHZ20:DHZ21"/>
    <mergeCell ref="DIB20:DIB21"/>
    <mergeCell ref="DID20:DID21"/>
    <mergeCell ref="DIF20:DIF21"/>
    <mergeCell ref="DHJ20:DHJ21"/>
    <mergeCell ref="DHL20:DHL21"/>
    <mergeCell ref="DHN20:DHN21"/>
    <mergeCell ref="DHP20:DHP21"/>
    <mergeCell ref="DHR20:DHR21"/>
    <mergeCell ref="DHT20:DHT21"/>
    <mergeCell ref="DGX20:DGX21"/>
    <mergeCell ref="DGZ20:DGZ21"/>
    <mergeCell ref="DHB20:DHB21"/>
    <mergeCell ref="DHD20:DHD21"/>
    <mergeCell ref="DHF20:DHF21"/>
    <mergeCell ref="DHH20:DHH21"/>
    <mergeCell ref="DGL20:DGL21"/>
    <mergeCell ref="DGN20:DGN21"/>
    <mergeCell ref="DGP20:DGP21"/>
    <mergeCell ref="DGR20:DGR21"/>
    <mergeCell ref="DGT20:DGT21"/>
    <mergeCell ref="DGV20:DGV21"/>
    <mergeCell ref="DFZ20:DFZ21"/>
    <mergeCell ref="DGB20:DGB21"/>
    <mergeCell ref="DGD20:DGD21"/>
    <mergeCell ref="DGF20:DGF21"/>
    <mergeCell ref="DGH20:DGH21"/>
    <mergeCell ref="DGJ20:DGJ21"/>
    <mergeCell ref="DFN20:DFN21"/>
    <mergeCell ref="DFP20:DFP21"/>
    <mergeCell ref="DFR20:DFR21"/>
    <mergeCell ref="DFT20:DFT21"/>
    <mergeCell ref="DFV20:DFV21"/>
    <mergeCell ref="DFX20:DFX21"/>
    <mergeCell ref="DFB20:DFB21"/>
    <mergeCell ref="DFD20:DFD21"/>
    <mergeCell ref="DFF20:DFF21"/>
    <mergeCell ref="DFH20:DFH21"/>
    <mergeCell ref="DFJ20:DFJ21"/>
    <mergeCell ref="DFL20:DFL21"/>
    <mergeCell ref="DEP20:DEP21"/>
    <mergeCell ref="DER20:DER21"/>
    <mergeCell ref="DET20:DET21"/>
    <mergeCell ref="DEV20:DEV21"/>
    <mergeCell ref="DEX20:DEX21"/>
    <mergeCell ref="DEZ20:DEZ21"/>
    <mergeCell ref="DED20:DED21"/>
    <mergeCell ref="DEF20:DEF21"/>
    <mergeCell ref="DEH20:DEH21"/>
    <mergeCell ref="DEJ20:DEJ21"/>
    <mergeCell ref="DEL20:DEL21"/>
    <mergeCell ref="DEN20:DEN21"/>
    <mergeCell ref="DDR20:DDR21"/>
    <mergeCell ref="DDT20:DDT21"/>
    <mergeCell ref="DDV20:DDV21"/>
    <mergeCell ref="DDX20:DDX21"/>
    <mergeCell ref="DDZ20:DDZ21"/>
    <mergeCell ref="DEB20:DEB21"/>
    <mergeCell ref="DDF20:DDF21"/>
    <mergeCell ref="DDH20:DDH21"/>
    <mergeCell ref="DDJ20:DDJ21"/>
    <mergeCell ref="DDL20:DDL21"/>
    <mergeCell ref="DDN20:DDN21"/>
    <mergeCell ref="DDP20:DDP21"/>
    <mergeCell ref="DCT20:DCT21"/>
    <mergeCell ref="DCV20:DCV21"/>
    <mergeCell ref="DCX20:DCX21"/>
    <mergeCell ref="DCZ20:DCZ21"/>
    <mergeCell ref="DDB20:DDB21"/>
    <mergeCell ref="DDD20:DDD21"/>
    <mergeCell ref="DCH20:DCH21"/>
    <mergeCell ref="DCJ20:DCJ21"/>
    <mergeCell ref="DCL20:DCL21"/>
    <mergeCell ref="DCN20:DCN21"/>
    <mergeCell ref="DCP20:DCP21"/>
    <mergeCell ref="DCR20:DCR21"/>
    <mergeCell ref="DBV20:DBV21"/>
    <mergeCell ref="DBX20:DBX21"/>
    <mergeCell ref="DBZ20:DBZ21"/>
    <mergeCell ref="DCB20:DCB21"/>
    <mergeCell ref="DCD20:DCD21"/>
    <mergeCell ref="DCF20:DCF21"/>
    <mergeCell ref="DBJ20:DBJ21"/>
    <mergeCell ref="DBL20:DBL21"/>
    <mergeCell ref="DBN20:DBN21"/>
    <mergeCell ref="DBP20:DBP21"/>
    <mergeCell ref="DBR20:DBR21"/>
    <mergeCell ref="DBT20:DBT21"/>
    <mergeCell ref="DAX20:DAX21"/>
    <mergeCell ref="DAZ20:DAZ21"/>
    <mergeCell ref="DBB20:DBB21"/>
    <mergeCell ref="DBD20:DBD21"/>
    <mergeCell ref="DBF20:DBF21"/>
    <mergeCell ref="DBH20:DBH21"/>
    <mergeCell ref="DAL20:DAL21"/>
    <mergeCell ref="DAN20:DAN21"/>
    <mergeCell ref="DAP20:DAP21"/>
    <mergeCell ref="DAR20:DAR21"/>
    <mergeCell ref="DAT20:DAT21"/>
    <mergeCell ref="DAV20:DAV21"/>
    <mergeCell ref="CZZ20:CZZ21"/>
    <mergeCell ref="DAB20:DAB21"/>
    <mergeCell ref="DAD20:DAD21"/>
    <mergeCell ref="DAF20:DAF21"/>
    <mergeCell ref="DAH20:DAH21"/>
    <mergeCell ref="DAJ20:DAJ21"/>
    <mergeCell ref="CZN20:CZN21"/>
    <mergeCell ref="CZP20:CZP21"/>
    <mergeCell ref="CZR20:CZR21"/>
    <mergeCell ref="CZT20:CZT21"/>
    <mergeCell ref="CZV20:CZV21"/>
    <mergeCell ref="CZX20:CZX21"/>
    <mergeCell ref="CZB20:CZB21"/>
    <mergeCell ref="CZD20:CZD21"/>
    <mergeCell ref="CZF20:CZF21"/>
    <mergeCell ref="CZH20:CZH21"/>
    <mergeCell ref="CZJ20:CZJ21"/>
    <mergeCell ref="CZL20:CZL21"/>
    <mergeCell ref="CYP20:CYP21"/>
    <mergeCell ref="CYR20:CYR21"/>
    <mergeCell ref="CYT20:CYT21"/>
    <mergeCell ref="CYV20:CYV21"/>
    <mergeCell ref="CYX20:CYX21"/>
    <mergeCell ref="CYZ20:CYZ21"/>
    <mergeCell ref="CYD20:CYD21"/>
    <mergeCell ref="CYF20:CYF21"/>
    <mergeCell ref="CYH20:CYH21"/>
    <mergeCell ref="CYJ20:CYJ21"/>
    <mergeCell ref="CYL20:CYL21"/>
    <mergeCell ref="CYN20:CYN21"/>
    <mergeCell ref="CXR20:CXR21"/>
    <mergeCell ref="CXT20:CXT21"/>
    <mergeCell ref="CXV20:CXV21"/>
    <mergeCell ref="CXX20:CXX21"/>
    <mergeCell ref="CXZ20:CXZ21"/>
    <mergeCell ref="CYB20:CYB21"/>
    <mergeCell ref="CXF20:CXF21"/>
    <mergeCell ref="CXH20:CXH21"/>
    <mergeCell ref="CXJ20:CXJ21"/>
    <mergeCell ref="CXL20:CXL21"/>
    <mergeCell ref="CXN20:CXN21"/>
    <mergeCell ref="CXP20:CXP21"/>
    <mergeCell ref="CWT20:CWT21"/>
    <mergeCell ref="CWV20:CWV21"/>
    <mergeCell ref="CWX20:CWX21"/>
    <mergeCell ref="CWZ20:CWZ21"/>
    <mergeCell ref="CXB20:CXB21"/>
    <mergeCell ref="CXD20:CXD21"/>
    <mergeCell ref="CWH20:CWH21"/>
    <mergeCell ref="CWJ20:CWJ21"/>
    <mergeCell ref="CWL20:CWL21"/>
    <mergeCell ref="CWN20:CWN21"/>
    <mergeCell ref="CWP20:CWP21"/>
    <mergeCell ref="CWR20:CWR21"/>
    <mergeCell ref="CVV20:CVV21"/>
    <mergeCell ref="CVX20:CVX21"/>
    <mergeCell ref="CVZ20:CVZ21"/>
    <mergeCell ref="CWB20:CWB21"/>
    <mergeCell ref="CWD20:CWD21"/>
    <mergeCell ref="CWF20:CWF21"/>
    <mergeCell ref="CVJ20:CVJ21"/>
    <mergeCell ref="CVL20:CVL21"/>
    <mergeCell ref="CVN20:CVN21"/>
    <mergeCell ref="CVP20:CVP21"/>
    <mergeCell ref="CVR20:CVR21"/>
    <mergeCell ref="CVT20:CVT21"/>
    <mergeCell ref="CUX20:CUX21"/>
    <mergeCell ref="CUZ20:CUZ21"/>
    <mergeCell ref="CVB20:CVB21"/>
    <mergeCell ref="CVD20:CVD21"/>
    <mergeCell ref="CVF20:CVF21"/>
    <mergeCell ref="CVH20:CVH21"/>
    <mergeCell ref="CUL20:CUL21"/>
    <mergeCell ref="CUN20:CUN21"/>
    <mergeCell ref="CUP20:CUP21"/>
    <mergeCell ref="CUR20:CUR21"/>
    <mergeCell ref="CUT20:CUT21"/>
    <mergeCell ref="CUV20:CUV21"/>
    <mergeCell ref="CTZ20:CTZ21"/>
    <mergeCell ref="CUB20:CUB21"/>
    <mergeCell ref="CUD20:CUD21"/>
    <mergeCell ref="CUF20:CUF21"/>
    <mergeCell ref="CUH20:CUH21"/>
    <mergeCell ref="CUJ20:CUJ21"/>
    <mergeCell ref="CTN20:CTN21"/>
    <mergeCell ref="CTP20:CTP21"/>
    <mergeCell ref="CTR20:CTR21"/>
    <mergeCell ref="CTT20:CTT21"/>
    <mergeCell ref="CTV20:CTV21"/>
    <mergeCell ref="CTX20:CTX21"/>
    <mergeCell ref="CTB20:CTB21"/>
    <mergeCell ref="CTD20:CTD21"/>
    <mergeCell ref="CTF20:CTF21"/>
    <mergeCell ref="CTH20:CTH21"/>
    <mergeCell ref="CTJ20:CTJ21"/>
    <mergeCell ref="CTL20:CTL21"/>
    <mergeCell ref="CSP20:CSP21"/>
    <mergeCell ref="CSR20:CSR21"/>
    <mergeCell ref="CST20:CST21"/>
    <mergeCell ref="CSV20:CSV21"/>
    <mergeCell ref="CSX20:CSX21"/>
    <mergeCell ref="CSZ20:CSZ21"/>
    <mergeCell ref="CSD20:CSD21"/>
    <mergeCell ref="CSF20:CSF21"/>
    <mergeCell ref="CSH20:CSH21"/>
    <mergeCell ref="CSJ20:CSJ21"/>
    <mergeCell ref="CSL20:CSL21"/>
    <mergeCell ref="CSN20:CSN21"/>
    <mergeCell ref="CRR20:CRR21"/>
    <mergeCell ref="CRT20:CRT21"/>
    <mergeCell ref="CRV20:CRV21"/>
    <mergeCell ref="CRX20:CRX21"/>
    <mergeCell ref="CRZ20:CRZ21"/>
    <mergeCell ref="CSB20:CSB21"/>
    <mergeCell ref="CRF20:CRF21"/>
    <mergeCell ref="CRH20:CRH21"/>
    <mergeCell ref="CRJ20:CRJ21"/>
    <mergeCell ref="CRL20:CRL21"/>
    <mergeCell ref="CRN20:CRN21"/>
    <mergeCell ref="CRP20:CRP21"/>
    <mergeCell ref="CQT20:CQT21"/>
    <mergeCell ref="CQV20:CQV21"/>
    <mergeCell ref="CQX20:CQX21"/>
    <mergeCell ref="CQZ20:CQZ21"/>
    <mergeCell ref="CRB20:CRB21"/>
    <mergeCell ref="CRD20:CRD21"/>
    <mergeCell ref="CQH20:CQH21"/>
    <mergeCell ref="CQJ20:CQJ21"/>
    <mergeCell ref="CQL20:CQL21"/>
    <mergeCell ref="CQN20:CQN21"/>
    <mergeCell ref="CQP20:CQP21"/>
    <mergeCell ref="CQR20:CQR21"/>
    <mergeCell ref="CPV20:CPV21"/>
    <mergeCell ref="CPX20:CPX21"/>
    <mergeCell ref="CPZ20:CPZ21"/>
    <mergeCell ref="CQB20:CQB21"/>
    <mergeCell ref="CQD20:CQD21"/>
    <mergeCell ref="CQF20:CQF21"/>
    <mergeCell ref="CPJ20:CPJ21"/>
    <mergeCell ref="CPL20:CPL21"/>
    <mergeCell ref="CPN20:CPN21"/>
    <mergeCell ref="CPP20:CPP21"/>
    <mergeCell ref="CPR20:CPR21"/>
    <mergeCell ref="CPT20:CPT21"/>
    <mergeCell ref="COX20:COX21"/>
    <mergeCell ref="COZ20:COZ21"/>
    <mergeCell ref="CPB20:CPB21"/>
    <mergeCell ref="CPD20:CPD21"/>
    <mergeCell ref="CPF20:CPF21"/>
    <mergeCell ref="CPH20:CPH21"/>
    <mergeCell ref="COL20:COL21"/>
    <mergeCell ref="CON20:CON21"/>
    <mergeCell ref="COP20:COP21"/>
    <mergeCell ref="COR20:COR21"/>
    <mergeCell ref="COT20:COT21"/>
    <mergeCell ref="COV20:COV21"/>
    <mergeCell ref="CNZ20:CNZ21"/>
    <mergeCell ref="COB20:COB21"/>
    <mergeCell ref="COD20:COD21"/>
    <mergeCell ref="COF20:COF21"/>
    <mergeCell ref="COH20:COH21"/>
    <mergeCell ref="COJ20:COJ21"/>
    <mergeCell ref="CNN20:CNN21"/>
    <mergeCell ref="CNP20:CNP21"/>
    <mergeCell ref="CNR20:CNR21"/>
    <mergeCell ref="CNT20:CNT21"/>
    <mergeCell ref="CNV20:CNV21"/>
    <mergeCell ref="CNX20:CNX21"/>
    <mergeCell ref="CNB20:CNB21"/>
    <mergeCell ref="CND20:CND21"/>
    <mergeCell ref="CNF20:CNF21"/>
    <mergeCell ref="CNH20:CNH21"/>
    <mergeCell ref="CNJ20:CNJ21"/>
    <mergeCell ref="CNL20:CNL21"/>
    <mergeCell ref="CMP20:CMP21"/>
    <mergeCell ref="CMR20:CMR21"/>
    <mergeCell ref="CMT20:CMT21"/>
    <mergeCell ref="CMV20:CMV21"/>
    <mergeCell ref="CMX20:CMX21"/>
    <mergeCell ref="CMZ20:CMZ21"/>
    <mergeCell ref="CMD20:CMD21"/>
    <mergeCell ref="CMF20:CMF21"/>
    <mergeCell ref="CMH20:CMH21"/>
    <mergeCell ref="CMJ20:CMJ21"/>
    <mergeCell ref="CML20:CML21"/>
    <mergeCell ref="CMN20:CMN21"/>
    <mergeCell ref="CLR20:CLR21"/>
    <mergeCell ref="CLT20:CLT21"/>
    <mergeCell ref="CLV20:CLV21"/>
    <mergeCell ref="CLX20:CLX21"/>
    <mergeCell ref="CLZ20:CLZ21"/>
    <mergeCell ref="CMB20:CMB21"/>
    <mergeCell ref="CLF20:CLF21"/>
    <mergeCell ref="CLH20:CLH21"/>
    <mergeCell ref="CLJ20:CLJ21"/>
    <mergeCell ref="CLL20:CLL21"/>
    <mergeCell ref="CLN20:CLN21"/>
    <mergeCell ref="CLP20:CLP21"/>
    <mergeCell ref="CKT20:CKT21"/>
    <mergeCell ref="CKV20:CKV21"/>
    <mergeCell ref="CKX20:CKX21"/>
    <mergeCell ref="CKZ20:CKZ21"/>
    <mergeCell ref="CLB20:CLB21"/>
    <mergeCell ref="CLD20:CLD21"/>
    <mergeCell ref="CKH20:CKH21"/>
    <mergeCell ref="CKJ20:CKJ21"/>
    <mergeCell ref="CKL20:CKL21"/>
    <mergeCell ref="CKN20:CKN21"/>
    <mergeCell ref="CKP20:CKP21"/>
    <mergeCell ref="CKR20:CKR21"/>
    <mergeCell ref="CJV20:CJV21"/>
    <mergeCell ref="CJX20:CJX21"/>
    <mergeCell ref="CJZ20:CJZ21"/>
    <mergeCell ref="CKB20:CKB21"/>
    <mergeCell ref="CKD20:CKD21"/>
    <mergeCell ref="CKF20:CKF21"/>
    <mergeCell ref="CJJ20:CJJ21"/>
    <mergeCell ref="CJL20:CJL21"/>
    <mergeCell ref="CJN20:CJN21"/>
    <mergeCell ref="CJP20:CJP21"/>
    <mergeCell ref="CJR20:CJR21"/>
    <mergeCell ref="CJT20:CJT21"/>
    <mergeCell ref="CIX20:CIX21"/>
    <mergeCell ref="CIZ20:CIZ21"/>
    <mergeCell ref="CJB20:CJB21"/>
    <mergeCell ref="CJD20:CJD21"/>
    <mergeCell ref="CJF20:CJF21"/>
    <mergeCell ref="CJH20:CJH21"/>
    <mergeCell ref="CIL20:CIL21"/>
    <mergeCell ref="CIN20:CIN21"/>
    <mergeCell ref="CIP20:CIP21"/>
    <mergeCell ref="CIR20:CIR21"/>
    <mergeCell ref="CIT20:CIT21"/>
    <mergeCell ref="CIV20:CIV21"/>
    <mergeCell ref="CHZ20:CHZ21"/>
    <mergeCell ref="CIB20:CIB21"/>
    <mergeCell ref="CID20:CID21"/>
    <mergeCell ref="CIF20:CIF21"/>
    <mergeCell ref="CIH20:CIH21"/>
    <mergeCell ref="CIJ20:CIJ21"/>
    <mergeCell ref="CHN20:CHN21"/>
    <mergeCell ref="CHP20:CHP21"/>
    <mergeCell ref="CHR20:CHR21"/>
    <mergeCell ref="CHT20:CHT21"/>
    <mergeCell ref="CHV20:CHV21"/>
    <mergeCell ref="CHX20:CHX21"/>
    <mergeCell ref="CHB20:CHB21"/>
    <mergeCell ref="CHD20:CHD21"/>
    <mergeCell ref="CHF20:CHF21"/>
    <mergeCell ref="CHH20:CHH21"/>
    <mergeCell ref="CHJ20:CHJ21"/>
    <mergeCell ref="CHL20:CHL21"/>
    <mergeCell ref="CGP20:CGP21"/>
    <mergeCell ref="CGR20:CGR21"/>
    <mergeCell ref="CGT20:CGT21"/>
    <mergeCell ref="CGV20:CGV21"/>
    <mergeCell ref="CGX20:CGX21"/>
    <mergeCell ref="CGZ20:CGZ21"/>
    <mergeCell ref="CGD20:CGD21"/>
    <mergeCell ref="CGF20:CGF21"/>
    <mergeCell ref="CGH20:CGH21"/>
    <mergeCell ref="CGJ20:CGJ21"/>
    <mergeCell ref="CGL20:CGL21"/>
    <mergeCell ref="CGN20:CGN21"/>
    <mergeCell ref="CFR20:CFR21"/>
    <mergeCell ref="CFT20:CFT21"/>
    <mergeCell ref="CFV20:CFV21"/>
    <mergeCell ref="CFX20:CFX21"/>
    <mergeCell ref="CFZ20:CFZ21"/>
    <mergeCell ref="CGB20:CGB21"/>
    <mergeCell ref="CFF20:CFF21"/>
    <mergeCell ref="CFH20:CFH21"/>
    <mergeCell ref="CFJ20:CFJ21"/>
    <mergeCell ref="CFL20:CFL21"/>
    <mergeCell ref="CFN20:CFN21"/>
    <mergeCell ref="CFP20:CFP21"/>
    <mergeCell ref="CET20:CET21"/>
    <mergeCell ref="CEV20:CEV21"/>
    <mergeCell ref="CEX20:CEX21"/>
    <mergeCell ref="CEZ20:CEZ21"/>
    <mergeCell ref="CFB20:CFB21"/>
    <mergeCell ref="CFD20:CFD21"/>
    <mergeCell ref="CEH20:CEH21"/>
    <mergeCell ref="CEJ20:CEJ21"/>
    <mergeCell ref="CEL20:CEL21"/>
    <mergeCell ref="CEN20:CEN21"/>
    <mergeCell ref="CEP20:CEP21"/>
    <mergeCell ref="CER20:CER21"/>
    <mergeCell ref="CDV20:CDV21"/>
    <mergeCell ref="CDX20:CDX21"/>
    <mergeCell ref="CDZ20:CDZ21"/>
    <mergeCell ref="CEB20:CEB21"/>
    <mergeCell ref="CED20:CED21"/>
    <mergeCell ref="CEF20:CEF21"/>
    <mergeCell ref="CDJ20:CDJ21"/>
    <mergeCell ref="CDL20:CDL21"/>
    <mergeCell ref="CDN20:CDN21"/>
    <mergeCell ref="CDP20:CDP21"/>
    <mergeCell ref="CDR20:CDR21"/>
    <mergeCell ref="CDT20:CDT21"/>
    <mergeCell ref="CCX20:CCX21"/>
    <mergeCell ref="CCZ20:CCZ21"/>
    <mergeCell ref="CDB20:CDB21"/>
    <mergeCell ref="CDD20:CDD21"/>
    <mergeCell ref="CDF20:CDF21"/>
    <mergeCell ref="CDH20:CDH21"/>
    <mergeCell ref="CCL20:CCL21"/>
    <mergeCell ref="CCN20:CCN21"/>
    <mergeCell ref="CCP20:CCP21"/>
    <mergeCell ref="CCR20:CCR21"/>
    <mergeCell ref="CCT20:CCT21"/>
    <mergeCell ref="CCV20:CCV21"/>
    <mergeCell ref="CBZ20:CBZ21"/>
    <mergeCell ref="CCB20:CCB21"/>
    <mergeCell ref="CCD20:CCD21"/>
    <mergeCell ref="CCF20:CCF21"/>
    <mergeCell ref="CCH20:CCH21"/>
    <mergeCell ref="CCJ20:CCJ21"/>
    <mergeCell ref="CBN20:CBN21"/>
    <mergeCell ref="CBP20:CBP21"/>
    <mergeCell ref="CBR20:CBR21"/>
    <mergeCell ref="CBT20:CBT21"/>
    <mergeCell ref="CBV20:CBV21"/>
    <mergeCell ref="CBX20:CBX21"/>
    <mergeCell ref="CBB20:CBB21"/>
    <mergeCell ref="CBD20:CBD21"/>
    <mergeCell ref="CBF20:CBF21"/>
    <mergeCell ref="CBH20:CBH21"/>
    <mergeCell ref="CBJ20:CBJ21"/>
    <mergeCell ref="CBL20:CBL21"/>
    <mergeCell ref="CAP20:CAP21"/>
    <mergeCell ref="CAR20:CAR21"/>
    <mergeCell ref="CAT20:CAT21"/>
    <mergeCell ref="CAV20:CAV21"/>
    <mergeCell ref="CAX20:CAX21"/>
    <mergeCell ref="CAZ20:CAZ21"/>
    <mergeCell ref="CAD20:CAD21"/>
    <mergeCell ref="CAF20:CAF21"/>
    <mergeCell ref="CAH20:CAH21"/>
    <mergeCell ref="CAJ20:CAJ21"/>
    <mergeCell ref="CAL20:CAL21"/>
    <mergeCell ref="CAN20:CAN21"/>
    <mergeCell ref="BZR20:BZR21"/>
    <mergeCell ref="BZT20:BZT21"/>
    <mergeCell ref="BZV20:BZV21"/>
    <mergeCell ref="BZX20:BZX21"/>
    <mergeCell ref="BZZ20:BZZ21"/>
    <mergeCell ref="CAB20:CAB21"/>
    <mergeCell ref="BZF20:BZF21"/>
    <mergeCell ref="BZH20:BZH21"/>
    <mergeCell ref="BZJ20:BZJ21"/>
    <mergeCell ref="BZL20:BZL21"/>
    <mergeCell ref="BZN20:BZN21"/>
    <mergeCell ref="BZP20:BZP21"/>
    <mergeCell ref="BYT20:BYT21"/>
    <mergeCell ref="BYV20:BYV21"/>
    <mergeCell ref="BYX20:BYX21"/>
    <mergeCell ref="BYZ20:BYZ21"/>
    <mergeCell ref="BZB20:BZB21"/>
    <mergeCell ref="BZD20:BZD21"/>
    <mergeCell ref="BYH20:BYH21"/>
    <mergeCell ref="BYJ20:BYJ21"/>
    <mergeCell ref="BYL20:BYL21"/>
    <mergeCell ref="BYN20:BYN21"/>
    <mergeCell ref="BYP20:BYP21"/>
    <mergeCell ref="BYR20:BYR21"/>
    <mergeCell ref="BXV20:BXV21"/>
    <mergeCell ref="BXX20:BXX21"/>
    <mergeCell ref="BXZ20:BXZ21"/>
    <mergeCell ref="BYB20:BYB21"/>
    <mergeCell ref="BYD20:BYD21"/>
    <mergeCell ref="BYF20:BYF21"/>
    <mergeCell ref="BXJ20:BXJ21"/>
    <mergeCell ref="BXL20:BXL21"/>
    <mergeCell ref="BXN20:BXN21"/>
    <mergeCell ref="BXP20:BXP21"/>
    <mergeCell ref="BXR20:BXR21"/>
    <mergeCell ref="BXT20:BXT21"/>
    <mergeCell ref="BWX20:BWX21"/>
    <mergeCell ref="BWZ20:BWZ21"/>
    <mergeCell ref="BXB20:BXB21"/>
    <mergeCell ref="BXD20:BXD21"/>
    <mergeCell ref="BXF20:BXF21"/>
    <mergeCell ref="BXH20:BXH21"/>
    <mergeCell ref="BWL20:BWL21"/>
    <mergeCell ref="BWN20:BWN21"/>
    <mergeCell ref="BWP20:BWP21"/>
    <mergeCell ref="BWR20:BWR21"/>
    <mergeCell ref="BWT20:BWT21"/>
    <mergeCell ref="BWV20:BWV21"/>
    <mergeCell ref="BVZ20:BVZ21"/>
    <mergeCell ref="BWB20:BWB21"/>
    <mergeCell ref="BWD20:BWD21"/>
    <mergeCell ref="BWF20:BWF21"/>
    <mergeCell ref="BWH20:BWH21"/>
    <mergeCell ref="BWJ20:BWJ21"/>
    <mergeCell ref="BVN20:BVN21"/>
    <mergeCell ref="BVP20:BVP21"/>
    <mergeCell ref="BVR20:BVR21"/>
    <mergeCell ref="BVT20:BVT21"/>
    <mergeCell ref="BVV20:BVV21"/>
    <mergeCell ref="BVX20:BVX21"/>
    <mergeCell ref="BVB20:BVB21"/>
    <mergeCell ref="BVD20:BVD21"/>
    <mergeCell ref="BVF20:BVF21"/>
    <mergeCell ref="BVH20:BVH21"/>
    <mergeCell ref="BVJ20:BVJ21"/>
    <mergeCell ref="BVL20:BVL21"/>
    <mergeCell ref="BUP20:BUP21"/>
    <mergeCell ref="BUR20:BUR21"/>
    <mergeCell ref="BUT20:BUT21"/>
    <mergeCell ref="BUV20:BUV21"/>
    <mergeCell ref="BUX20:BUX21"/>
    <mergeCell ref="BUZ20:BUZ21"/>
    <mergeCell ref="BUD20:BUD21"/>
    <mergeCell ref="BUF20:BUF21"/>
    <mergeCell ref="BUH20:BUH21"/>
    <mergeCell ref="BUJ20:BUJ21"/>
    <mergeCell ref="BUL20:BUL21"/>
    <mergeCell ref="BUN20:BUN21"/>
    <mergeCell ref="BTR20:BTR21"/>
    <mergeCell ref="BTT20:BTT21"/>
    <mergeCell ref="BTV20:BTV21"/>
    <mergeCell ref="BTX20:BTX21"/>
    <mergeCell ref="BTZ20:BTZ21"/>
    <mergeCell ref="BUB20:BUB21"/>
    <mergeCell ref="BTF20:BTF21"/>
    <mergeCell ref="BTH20:BTH21"/>
    <mergeCell ref="BTJ20:BTJ21"/>
    <mergeCell ref="BTL20:BTL21"/>
    <mergeCell ref="BTN20:BTN21"/>
    <mergeCell ref="BTP20:BTP21"/>
    <mergeCell ref="BST20:BST21"/>
    <mergeCell ref="BSV20:BSV21"/>
    <mergeCell ref="BSX20:BSX21"/>
    <mergeCell ref="BSZ20:BSZ21"/>
    <mergeCell ref="BTB20:BTB21"/>
    <mergeCell ref="BTD20:BTD21"/>
    <mergeCell ref="BSH20:BSH21"/>
    <mergeCell ref="BSJ20:BSJ21"/>
    <mergeCell ref="BSL20:BSL21"/>
    <mergeCell ref="BSN20:BSN21"/>
    <mergeCell ref="BSP20:BSP21"/>
    <mergeCell ref="BSR20:BSR21"/>
    <mergeCell ref="BRV20:BRV21"/>
    <mergeCell ref="BRX20:BRX21"/>
    <mergeCell ref="BRZ20:BRZ21"/>
    <mergeCell ref="BSB20:BSB21"/>
    <mergeCell ref="BSD20:BSD21"/>
    <mergeCell ref="BSF20:BSF21"/>
    <mergeCell ref="BRJ20:BRJ21"/>
    <mergeCell ref="BRL20:BRL21"/>
    <mergeCell ref="BRN20:BRN21"/>
    <mergeCell ref="BRP20:BRP21"/>
    <mergeCell ref="BRR20:BRR21"/>
    <mergeCell ref="BRT20:BRT21"/>
    <mergeCell ref="BQX20:BQX21"/>
    <mergeCell ref="BQZ20:BQZ21"/>
    <mergeCell ref="BRB20:BRB21"/>
    <mergeCell ref="BRD20:BRD21"/>
    <mergeCell ref="BRF20:BRF21"/>
    <mergeCell ref="BRH20:BRH21"/>
    <mergeCell ref="BQL20:BQL21"/>
    <mergeCell ref="BQN20:BQN21"/>
    <mergeCell ref="BQP20:BQP21"/>
    <mergeCell ref="BQR20:BQR21"/>
    <mergeCell ref="BQT20:BQT21"/>
    <mergeCell ref="BQV20:BQV21"/>
    <mergeCell ref="BPZ20:BPZ21"/>
    <mergeCell ref="BQB20:BQB21"/>
    <mergeCell ref="BQD20:BQD21"/>
    <mergeCell ref="BQF20:BQF21"/>
    <mergeCell ref="BQH20:BQH21"/>
    <mergeCell ref="BQJ20:BQJ21"/>
    <mergeCell ref="BPN20:BPN21"/>
    <mergeCell ref="BPP20:BPP21"/>
    <mergeCell ref="BPR20:BPR21"/>
    <mergeCell ref="BPT20:BPT21"/>
    <mergeCell ref="BPV20:BPV21"/>
    <mergeCell ref="BPX20:BPX21"/>
    <mergeCell ref="BPB20:BPB21"/>
    <mergeCell ref="BPD20:BPD21"/>
    <mergeCell ref="BPF20:BPF21"/>
    <mergeCell ref="BPH20:BPH21"/>
    <mergeCell ref="BPJ20:BPJ21"/>
    <mergeCell ref="BPL20:BPL21"/>
    <mergeCell ref="BOP20:BOP21"/>
    <mergeCell ref="BOR20:BOR21"/>
    <mergeCell ref="BOT20:BOT21"/>
    <mergeCell ref="BOV20:BOV21"/>
    <mergeCell ref="BOX20:BOX21"/>
    <mergeCell ref="BOZ20:BOZ21"/>
    <mergeCell ref="BOD20:BOD21"/>
    <mergeCell ref="BOF20:BOF21"/>
    <mergeCell ref="BOH20:BOH21"/>
    <mergeCell ref="BOJ20:BOJ21"/>
    <mergeCell ref="BOL20:BOL21"/>
    <mergeCell ref="BON20:BON21"/>
    <mergeCell ref="BNR20:BNR21"/>
    <mergeCell ref="BNT20:BNT21"/>
    <mergeCell ref="BNV20:BNV21"/>
    <mergeCell ref="BNX20:BNX21"/>
    <mergeCell ref="BNZ20:BNZ21"/>
    <mergeCell ref="BOB20:BOB21"/>
    <mergeCell ref="BNF20:BNF21"/>
    <mergeCell ref="BNH20:BNH21"/>
    <mergeCell ref="BNJ20:BNJ21"/>
    <mergeCell ref="BNL20:BNL21"/>
    <mergeCell ref="BNN20:BNN21"/>
    <mergeCell ref="BNP20:BNP21"/>
    <mergeCell ref="BMT20:BMT21"/>
    <mergeCell ref="BMV20:BMV21"/>
    <mergeCell ref="BMX20:BMX21"/>
    <mergeCell ref="BMZ20:BMZ21"/>
    <mergeCell ref="BNB20:BNB21"/>
    <mergeCell ref="BND20:BND21"/>
    <mergeCell ref="BMH20:BMH21"/>
    <mergeCell ref="BMJ20:BMJ21"/>
    <mergeCell ref="BML20:BML21"/>
    <mergeCell ref="BMN20:BMN21"/>
    <mergeCell ref="BMP20:BMP21"/>
    <mergeCell ref="BMR20:BMR21"/>
    <mergeCell ref="BLV20:BLV21"/>
    <mergeCell ref="BLX20:BLX21"/>
    <mergeCell ref="BLZ20:BLZ21"/>
    <mergeCell ref="BMB20:BMB21"/>
    <mergeCell ref="BMD20:BMD21"/>
    <mergeCell ref="BMF20:BMF21"/>
    <mergeCell ref="BLJ20:BLJ21"/>
    <mergeCell ref="BLL20:BLL21"/>
    <mergeCell ref="BLN20:BLN21"/>
    <mergeCell ref="BLP20:BLP21"/>
    <mergeCell ref="BLR20:BLR21"/>
    <mergeCell ref="BLT20:BLT21"/>
    <mergeCell ref="BKX20:BKX21"/>
    <mergeCell ref="BKZ20:BKZ21"/>
    <mergeCell ref="BLB20:BLB21"/>
    <mergeCell ref="BLD20:BLD21"/>
    <mergeCell ref="BLF20:BLF21"/>
    <mergeCell ref="BLH20:BLH21"/>
    <mergeCell ref="BKL20:BKL21"/>
    <mergeCell ref="BKN20:BKN21"/>
    <mergeCell ref="BKP20:BKP21"/>
    <mergeCell ref="BKR20:BKR21"/>
    <mergeCell ref="BKT20:BKT21"/>
    <mergeCell ref="BKV20:BKV21"/>
    <mergeCell ref="BJZ20:BJZ21"/>
    <mergeCell ref="BKB20:BKB21"/>
    <mergeCell ref="BKD20:BKD21"/>
    <mergeCell ref="BKF20:BKF21"/>
    <mergeCell ref="BKH20:BKH21"/>
    <mergeCell ref="BKJ20:BKJ21"/>
    <mergeCell ref="BJN20:BJN21"/>
    <mergeCell ref="BJP20:BJP21"/>
    <mergeCell ref="BJR20:BJR21"/>
    <mergeCell ref="BJT20:BJT21"/>
    <mergeCell ref="BJV20:BJV21"/>
    <mergeCell ref="BJX20:BJX21"/>
    <mergeCell ref="BJB20:BJB21"/>
    <mergeCell ref="BJD20:BJD21"/>
    <mergeCell ref="BJF20:BJF21"/>
    <mergeCell ref="BJH20:BJH21"/>
    <mergeCell ref="BJJ20:BJJ21"/>
    <mergeCell ref="BJL20:BJL21"/>
    <mergeCell ref="BIP20:BIP21"/>
    <mergeCell ref="BIR20:BIR21"/>
    <mergeCell ref="BIT20:BIT21"/>
    <mergeCell ref="BIV20:BIV21"/>
    <mergeCell ref="BIX20:BIX21"/>
    <mergeCell ref="BIZ20:BIZ21"/>
    <mergeCell ref="BID20:BID21"/>
    <mergeCell ref="BIF20:BIF21"/>
    <mergeCell ref="BIH20:BIH21"/>
    <mergeCell ref="BIJ20:BIJ21"/>
    <mergeCell ref="BIL20:BIL21"/>
    <mergeCell ref="BIN20:BIN21"/>
    <mergeCell ref="BHR20:BHR21"/>
    <mergeCell ref="BHT20:BHT21"/>
    <mergeCell ref="BHV20:BHV21"/>
    <mergeCell ref="BHX20:BHX21"/>
    <mergeCell ref="BHZ20:BHZ21"/>
    <mergeCell ref="BIB20:BIB21"/>
    <mergeCell ref="BHF20:BHF21"/>
    <mergeCell ref="BHH20:BHH21"/>
    <mergeCell ref="BHJ20:BHJ21"/>
    <mergeCell ref="BHL20:BHL21"/>
    <mergeCell ref="BHN20:BHN21"/>
    <mergeCell ref="BHP20:BHP21"/>
    <mergeCell ref="BGT20:BGT21"/>
    <mergeCell ref="BGV20:BGV21"/>
    <mergeCell ref="BGX20:BGX21"/>
    <mergeCell ref="BGZ20:BGZ21"/>
    <mergeCell ref="BHB20:BHB21"/>
    <mergeCell ref="BHD20:BHD21"/>
    <mergeCell ref="BGH20:BGH21"/>
    <mergeCell ref="BGJ20:BGJ21"/>
    <mergeCell ref="BGL20:BGL21"/>
    <mergeCell ref="BGN20:BGN21"/>
    <mergeCell ref="BGP20:BGP21"/>
    <mergeCell ref="BGR20:BGR21"/>
    <mergeCell ref="BFV20:BFV21"/>
    <mergeCell ref="BFX20:BFX21"/>
    <mergeCell ref="BFZ20:BFZ21"/>
    <mergeCell ref="BGB20:BGB21"/>
    <mergeCell ref="BGD20:BGD21"/>
    <mergeCell ref="BGF20:BGF21"/>
    <mergeCell ref="BFJ20:BFJ21"/>
    <mergeCell ref="BFL20:BFL21"/>
    <mergeCell ref="BFN20:BFN21"/>
    <mergeCell ref="BFP20:BFP21"/>
    <mergeCell ref="BFR20:BFR21"/>
    <mergeCell ref="BFT20:BFT21"/>
    <mergeCell ref="BEX20:BEX21"/>
    <mergeCell ref="BEZ20:BEZ21"/>
    <mergeCell ref="BFB20:BFB21"/>
    <mergeCell ref="BFD20:BFD21"/>
    <mergeCell ref="BFF20:BFF21"/>
    <mergeCell ref="BFH20:BFH21"/>
    <mergeCell ref="BEL20:BEL21"/>
    <mergeCell ref="BEN20:BEN21"/>
    <mergeCell ref="BEP20:BEP21"/>
    <mergeCell ref="BER20:BER21"/>
    <mergeCell ref="BET20:BET21"/>
    <mergeCell ref="BEV20:BEV21"/>
    <mergeCell ref="BDZ20:BDZ21"/>
    <mergeCell ref="BEB20:BEB21"/>
    <mergeCell ref="BED20:BED21"/>
    <mergeCell ref="BEF20:BEF21"/>
    <mergeCell ref="BEH20:BEH21"/>
    <mergeCell ref="BEJ20:BEJ21"/>
    <mergeCell ref="BDN20:BDN21"/>
    <mergeCell ref="BDP20:BDP21"/>
    <mergeCell ref="BDR20:BDR21"/>
    <mergeCell ref="BDT20:BDT21"/>
    <mergeCell ref="BDV20:BDV21"/>
    <mergeCell ref="BDX20:BDX21"/>
    <mergeCell ref="BDB20:BDB21"/>
    <mergeCell ref="BDD20:BDD21"/>
    <mergeCell ref="BDF20:BDF21"/>
    <mergeCell ref="BDH20:BDH21"/>
    <mergeCell ref="BDJ20:BDJ21"/>
    <mergeCell ref="BDL20:BDL21"/>
    <mergeCell ref="BCP20:BCP21"/>
    <mergeCell ref="BCR20:BCR21"/>
    <mergeCell ref="BCT20:BCT21"/>
    <mergeCell ref="BCV20:BCV21"/>
    <mergeCell ref="BCX20:BCX21"/>
    <mergeCell ref="BCZ20:BCZ21"/>
    <mergeCell ref="BCD20:BCD21"/>
    <mergeCell ref="BCF20:BCF21"/>
    <mergeCell ref="BCH20:BCH21"/>
    <mergeCell ref="BCJ20:BCJ21"/>
    <mergeCell ref="BCL20:BCL21"/>
    <mergeCell ref="BCN20:BCN21"/>
    <mergeCell ref="BBR20:BBR21"/>
    <mergeCell ref="BBT20:BBT21"/>
    <mergeCell ref="BBV20:BBV21"/>
    <mergeCell ref="BBX20:BBX21"/>
    <mergeCell ref="BBZ20:BBZ21"/>
    <mergeCell ref="BCB20:BCB21"/>
    <mergeCell ref="BBF20:BBF21"/>
    <mergeCell ref="BBH20:BBH21"/>
    <mergeCell ref="BBJ20:BBJ21"/>
    <mergeCell ref="BBL20:BBL21"/>
    <mergeCell ref="BBN20:BBN21"/>
    <mergeCell ref="BBP20:BBP21"/>
    <mergeCell ref="BAT20:BAT21"/>
    <mergeCell ref="BAV20:BAV21"/>
    <mergeCell ref="BAX20:BAX21"/>
    <mergeCell ref="BAZ20:BAZ21"/>
    <mergeCell ref="BBB20:BBB21"/>
    <mergeCell ref="BBD20:BBD21"/>
    <mergeCell ref="BAH20:BAH21"/>
    <mergeCell ref="BAJ20:BAJ21"/>
    <mergeCell ref="BAL20:BAL21"/>
    <mergeCell ref="BAN20:BAN21"/>
    <mergeCell ref="BAP20:BAP21"/>
    <mergeCell ref="BAR20:BAR21"/>
    <mergeCell ref="AZV20:AZV21"/>
    <mergeCell ref="AZX20:AZX21"/>
    <mergeCell ref="AZZ20:AZZ21"/>
    <mergeCell ref="BAB20:BAB21"/>
    <mergeCell ref="BAD20:BAD21"/>
    <mergeCell ref="BAF20:BAF21"/>
    <mergeCell ref="AZJ20:AZJ21"/>
    <mergeCell ref="AZL20:AZL21"/>
    <mergeCell ref="AZN20:AZN21"/>
    <mergeCell ref="AZP20:AZP21"/>
    <mergeCell ref="AZR20:AZR21"/>
    <mergeCell ref="AZT20:AZT21"/>
    <mergeCell ref="AYX20:AYX21"/>
    <mergeCell ref="AYZ20:AYZ21"/>
    <mergeCell ref="AZB20:AZB21"/>
    <mergeCell ref="AZD20:AZD21"/>
    <mergeCell ref="AZF20:AZF21"/>
    <mergeCell ref="AZH20:AZH21"/>
    <mergeCell ref="AYL20:AYL21"/>
    <mergeCell ref="AYN20:AYN21"/>
    <mergeCell ref="AYP20:AYP21"/>
    <mergeCell ref="AYR20:AYR21"/>
    <mergeCell ref="AYT20:AYT21"/>
    <mergeCell ref="AYV20:AYV21"/>
    <mergeCell ref="AXZ20:AXZ21"/>
    <mergeCell ref="AYB20:AYB21"/>
    <mergeCell ref="AYD20:AYD21"/>
    <mergeCell ref="AYF20:AYF21"/>
    <mergeCell ref="AYH20:AYH21"/>
    <mergeCell ref="AYJ20:AYJ21"/>
    <mergeCell ref="AXN20:AXN21"/>
    <mergeCell ref="AXP20:AXP21"/>
    <mergeCell ref="AXR20:AXR21"/>
    <mergeCell ref="AXT20:AXT21"/>
    <mergeCell ref="AXV20:AXV21"/>
    <mergeCell ref="AXX20:AXX21"/>
    <mergeCell ref="AXB20:AXB21"/>
    <mergeCell ref="AXD20:AXD21"/>
    <mergeCell ref="AXF20:AXF21"/>
    <mergeCell ref="AXH20:AXH21"/>
    <mergeCell ref="AXJ20:AXJ21"/>
    <mergeCell ref="AXL20:AXL21"/>
    <mergeCell ref="AWP20:AWP21"/>
    <mergeCell ref="AWR20:AWR21"/>
    <mergeCell ref="AWT20:AWT21"/>
    <mergeCell ref="AWV20:AWV21"/>
    <mergeCell ref="AWX20:AWX21"/>
    <mergeCell ref="AWZ20:AWZ21"/>
    <mergeCell ref="AWD20:AWD21"/>
    <mergeCell ref="AWF20:AWF21"/>
    <mergeCell ref="AWH20:AWH21"/>
    <mergeCell ref="AWJ20:AWJ21"/>
    <mergeCell ref="AWL20:AWL21"/>
    <mergeCell ref="AWN20:AWN21"/>
    <mergeCell ref="AVR20:AVR21"/>
    <mergeCell ref="AVT20:AVT21"/>
    <mergeCell ref="AVV20:AVV21"/>
    <mergeCell ref="AVX20:AVX21"/>
    <mergeCell ref="AVZ20:AVZ21"/>
    <mergeCell ref="AWB20:AWB21"/>
    <mergeCell ref="AVF20:AVF21"/>
    <mergeCell ref="AVH20:AVH21"/>
    <mergeCell ref="AVJ20:AVJ21"/>
    <mergeCell ref="AVL20:AVL21"/>
    <mergeCell ref="AVN20:AVN21"/>
    <mergeCell ref="AVP20:AVP21"/>
    <mergeCell ref="AUT20:AUT21"/>
    <mergeCell ref="AUV20:AUV21"/>
    <mergeCell ref="AUX20:AUX21"/>
    <mergeCell ref="AUZ20:AUZ21"/>
    <mergeCell ref="AVB20:AVB21"/>
    <mergeCell ref="AVD20:AVD21"/>
    <mergeCell ref="AUH20:AUH21"/>
    <mergeCell ref="AUJ20:AUJ21"/>
    <mergeCell ref="AUL20:AUL21"/>
    <mergeCell ref="AUN20:AUN21"/>
    <mergeCell ref="AUP20:AUP21"/>
    <mergeCell ref="AUR20:AUR21"/>
    <mergeCell ref="ATV20:ATV21"/>
    <mergeCell ref="ATX20:ATX21"/>
    <mergeCell ref="ATZ20:ATZ21"/>
    <mergeCell ref="AUB20:AUB21"/>
    <mergeCell ref="AUD20:AUD21"/>
    <mergeCell ref="AUF20:AUF21"/>
    <mergeCell ref="ATJ20:ATJ21"/>
    <mergeCell ref="ATL20:ATL21"/>
    <mergeCell ref="ATN20:ATN21"/>
    <mergeCell ref="ATP20:ATP21"/>
    <mergeCell ref="ATR20:ATR21"/>
    <mergeCell ref="ATT20:ATT21"/>
    <mergeCell ref="ASX20:ASX21"/>
    <mergeCell ref="ASZ20:ASZ21"/>
    <mergeCell ref="ATB20:ATB21"/>
    <mergeCell ref="ATD20:ATD21"/>
    <mergeCell ref="ATF20:ATF21"/>
    <mergeCell ref="ATH20:ATH21"/>
    <mergeCell ref="ASL20:ASL21"/>
    <mergeCell ref="ASN20:ASN21"/>
    <mergeCell ref="ASP20:ASP21"/>
    <mergeCell ref="ASR20:ASR21"/>
    <mergeCell ref="AST20:AST21"/>
    <mergeCell ref="ASV20:ASV21"/>
    <mergeCell ref="ARZ20:ARZ21"/>
    <mergeCell ref="ASB20:ASB21"/>
    <mergeCell ref="ASD20:ASD21"/>
    <mergeCell ref="ASF20:ASF21"/>
    <mergeCell ref="ASH20:ASH21"/>
    <mergeCell ref="ASJ20:ASJ21"/>
    <mergeCell ref="ARN20:ARN21"/>
    <mergeCell ref="ARP20:ARP21"/>
    <mergeCell ref="ARR20:ARR21"/>
    <mergeCell ref="ART20:ART21"/>
    <mergeCell ref="ARV20:ARV21"/>
    <mergeCell ref="ARX20:ARX21"/>
    <mergeCell ref="ARB20:ARB21"/>
    <mergeCell ref="ARD20:ARD21"/>
    <mergeCell ref="ARF20:ARF21"/>
    <mergeCell ref="ARH20:ARH21"/>
    <mergeCell ref="ARJ20:ARJ21"/>
    <mergeCell ref="ARL20:ARL21"/>
    <mergeCell ref="AQP20:AQP21"/>
    <mergeCell ref="AQR20:AQR21"/>
    <mergeCell ref="AQT20:AQT21"/>
    <mergeCell ref="AQV20:AQV21"/>
    <mergeCell ref="AQX20:AQX21"/>
    <mergeCell ref="AQZ20:AQZ21"/>
    <mergeCell ref="AQD20:AQD21"/>
    <mergeCell ref="AQF20:AQF21"/>
    <mergeCell ref="AQH20:AQH21"/>
    <mergeCell ref="AQJ20:AQJ21"/>
    <mergeCell ref="AQL20:AQL21"/>
    <mergeCell ref="AQN20:AQN21"/>
    <mergeCell ref="APR20:APR21"/>
    <mergeCell ref="APT20:APT21"/>
    <mergeCell ref="APV20:APV21"/>
    <mergeCell ref="APX20:APX21"/>
    <mergeCell ref="APZ20:APZ21"/>
    <mergeCell ref="AQB20:AQB21"/>
    <mergeCell ref="APF20:APF21"/>
    <mergeCell ref="APH20:APH21"/>
    <mergeCell ref="APJ20:APJ21"/>
    <mergeCell ref="APL20:APL21"/>
    <mergeCell ref="APN20:APN21"/>
    <mergeCell ref="APP20:APP21"/>
    <mergeCell ref="AOT20:AOT21"/>
    <mergeCell ref="AOV20:AOV21"/>
    <mergeCell ref="AOX20:AOX21"/>
    <mergeCell ref="AOZ20:AOZ21"/>
    <mergeCell ref="APB20:APB21"/>
    <mergeCell ref="APD20:APD21"/>
    <mergeCell ref="AOH20:AOH21"/>
    <mergeCell ref="AOJ20:AOJ21"/>
    <mergeCell ref="AOL20:AOL21"/>
    <mergeCell ref="AON20:AON21"/>
    <mergeCell ref="AOP20:AOP21"/>
    <mergeCell ref="AOR20:AOR21"/>
    <mergeCell ref="ANV20:ANV21"/>
    <mergeCell ref="ANX20:ANX21"/>
    <mergeCell ref="ANZ20:ANZ21"/>
    <mergeCell ref="AOB20:AOB21"/>
    <mergeCell ref="AOD20:AOD21"/>
    <mergeCell ref="AOF20:AOF21"/>
    <mergeCell ref="ANJ20:ANJ21"/>
    <mergeCell ref="ANL20:ANL21"/>
    <mergeCell ref="ANN20:ANN21"/>
    <mergeCell ref="ANP20:ANP21"/>
    <mergeCell ref="ANR20:ANR21"/>
    <mergeCell ref="ANT20:ANT21"/>
    <mergeCell ref="AMX20:AMX21"/>
    <mergeCell ref="AMZ20:AMZ21"/>
    <mergeCell ref="ANB20:ANB21"/>
    <mergeCell ref="AND20:AND21"/>
    <mergeCell ref="ANF20:ANF21"/>
    <mergeCell ref="ANH20:ANH21"/>
    <mergeCell ref="AML20:AML21"/>
    <mergeCell ref="AMN20:AMN21"/>
    <mergeCell ref="AMP20:AMP21"/>
    <mergeCell ref="AMR20:AMR21"/>
    <mergeCell ref="AMT20:AMT21"/>
    <mergeCell ref="AMV20:AMV21"/>
    <mergeCell ref="ALZ20:ALZ21"/>
    <mergeCell ref="AMB20:AMB21"/>
    <mergeCell ref="AMD20:AMD21"/>
    <mergeCell ref="AMF20:AMF21"/>
    <mergeCell ref="AMH20:AMH21"/>
    <mergeCell ref="AMJ20:AMJ21"/>
    <mergeCell ref="ALN20:ALN21"/>
    <mergeCell ref="ALP20:ALP21"/>
    <mergeCell ref="ALR20:ALR21"/>
    <mergeCell ref="ALT20:ALT21"/>
    <mergeCell ref="ALV20:ALV21"/>
    <mergeCell ref="ALX20:ALX21"/>
    <mergeCell ref="ALB20:ALB21"/>
    <mergeCell ref="ALD20:ALD21"/>
    <mergeCell ref="ALF20:ALF21"/>
    <mergeCell ref="ALH20:ALH21"/>
    <mergeCell ref="ALJ20:ALJ21"/>
    <mergeCell ref="ALL20:ALL21"/>
    <mergeCell ref="AKP20:AKP21"/>
    <mergeCell ref="AKR20:AKR21"/>
    <mergeCell ref="AKT20:AKT21"/>
    <mergeCell ref="AKV20:AKV21"/>
    <mergeCell ref="AKX20:AKX21"/>
    <mergeCell ref="AKZ20:AKZ21"/>
    <mergeCell ref="AKD20:AKD21"/>
    <mergeCell ref="AKF20:AKF21"/>
    <mergeCell ref="AKH20:AKH21"/>
    <mergeCell ref="AKJ20:AKJ21"/>
    <mergeCell ref="AKL20:AKL21"/>
    <mergeCell ref="AKN20:AKN21"/>
    <mergeCell ref="AJR20:AJR21"/>
    <mergeCell ref="AJT20:AJT21"/>
    <mergeCell ref="AJV20:AJV21"/>
    <mergeCell ref="AJX20:AJX21"/>
    <mergeCell ref="AJZ20:AJZ21"/>
    <mergeCell ref="AKB20:AKB21"/>
    <mergeCell ref="AJF20:AJF21"/>
    <mergeCell ref="AJH20:AJH21"/>
    <mergeCell ref="AJJ20:AJJ21"/>
    <mergeCell ref="AJL20:AJL21"/>
    <mergeCell ref="AJN20:AJN21"/>
    <mergeCell ref="AJP20:AJP21"/>
    <mergeCell ref="AIT20:AIT21"/>
    <mergeCell ref="AIV20:AIV21"/>
    <mergeCell ref="AIX20:AIX21"/>
    <mergeCell ref="AIZ20:AIZ21"/>
    <mergeCell ref="AJB20:AJB21"/>
    <mergeCell ref="AJD20:AJD21"/>
    <mergeCell ref="AIH20:AIH21"/>
    <mergeCell ref="AIJ20:AIJ21"/>
    <mergeCell ref="AIL20:AIL21"/>
    <mergeCell ref="AIN20:AIN21"/>
    <mergeCell ref="AIP20:AIP21"/>
    <mergeCell ref="AIR20:AIR21"/>
    <mergeCell ref="AHV20:AHV21"/>
    <mergeCell ref="AHX20:AHX21"/>
    <mergeCell ref="AHZ20:AHZ21"/>
    <mergeCell ref="AIB20:AIB21"/>
    <mergeCell ref="AID20:AID21"/>
    <mergeCell ref="AIF20:AIF21"/>
    <mergeCell ref="AHJ20:AHJ21"/>
    <mergeCell ref="AHL20:AHL21"/>
    <mergeCell ref="AHN20:AHN21"/>
    <mergeCell ref="AHP20:AHP21"/>
    <mergeCell ref="AHR20:AHR21"/>
    <mergeCell ref="AHT20:AHT21"/>
    <mergeCell ref="AGX20:AGX21"/>
    <mergeCell ref="AGZ20:AGZ21"/>
    <mergeCell ref="AHB20:AHB21"/>
    <mergeCell ref="AHD20:AHD21"/>
    <mergeCell ref="AHF20:AHF21"/>
    <mergeCell ref="AHH20:AHH21"/>
    <mergeCell ref="AGL20:AGL21"/>
    <mergeCell ref="AGN20:AGN21"/>
    <mergeCell ref="AGP20:AGP21"/>
    <mergeCell ref="AGR20:AGR21"/>
    <mergeCell ref="AGT20:AGT21"/>
    <mergeCell ref="AGV20:AGV21"/>
    <mergeCell ref="AFZ20:AFZ21"/>
    <mergeCell ref="AGB20:AGB21"/>
    <mergeCell ref="AGD20:AGD21"/>
    <mergeCell ref="AGF20:AGF21"/>
    <mergeCell ref="AGH20:AGH21"/>
    <mergeCell ref="AGJ20:AGJ21"/>
    <mergeCell ref="AFN20:AFN21"/>
    <mergeCell ref="AFP20:AFP21"/>
    <mergeCell ref="AFR20:AFR21"/>
    <mergeCell ref="AFT20:AFT21"/>
    <mergeCell ref="AFV20:AFV21"/>
    <mergeCell ref="AFX20:AFX21"/>
    <mergeCell ref="AFB20:AFB21"/>
    <mergeCell ref="AFD20:AFD21"/>
    <mergeCell ref="AFF20:AFF21"/>
    <mergeCell ref="AFH20:AFH21"/>
    <mergeCell ref="AFJ20:AFJ21"/>
    <mergeCell ref="AFL20:AFL21"/>
    <mergeCell ref="AEP20:AEP21"/>
    <mergeCell ref="AER20:AER21"/>
    <mergeCell ref="AET20:AET21"/>
    <mergeCell ref="AEV20:AEV21"/>
    <mergeCell ref="AEX20:AEX21"/>
    <mergeCell ref="AEZ20:AEZ21"/>
    <mergeCell ref="AED20:AED21"/>
    <mergeCell ref="AEF20:AEF21"/>
    <mergeCell ref="AEH20:AEH21"/>
    <mergeCell ref="AEJ20:AEJ21"/>
    <mergeCell ref="AEL20:AEL21"/>
    <mergeCell ref="AEN20:AEN21"/>
    <mergeCell ref="ADR20:ADR21"/>
    <mergeCell ref="ADT20:ADT21"/>
    <mergeCell ref="ADV20:ADV21"/>
    <mergeCell ref="ADX20:ADX21"/>
    <mergeCell ref="ADZ20:ADZ21"/>
    <mergeCell ref="AEB20:AEB21"/>
    <mergeCell ref="ADF20:ADF21"/>
    <mergeCell ref="ADH20:ADH21"/>
    <mergeCell ref="ADJ20:ADJ21"/>
    <mergeCell ref="ADL20:ADL21"/>
    <mergeCell ref="ADN20:ADN21"/>
    <mergeCell ref="ADP20:ADP21"/>
    <mergeCell ref="ACT20:ACT21"/>
    <mergeCell ref="ACV20:ACV21"/>
    <mergeCell ref="ACX20:ACX21"/>
    <mergeCell ref="ACZ20:ACZ21"/>
    <mergeCell ref="ADB20:ADB21"/>
    <mergeCell ref="ADD20:ADD21"/>
    <mergeCell ref="ACH20:ACH21"/>
    <mergeCell ref="ACJ20:ACJ21"/>
    <mergeCell ref="ACL20:ACL21"/>
    <mergeCell ref="ACN20:ACN21"/>
    <mergeCell ref="ACP20:ACP21"/>
    <mergeCell ref="ACR20:ACR21"/>
    <mergeCell ref="ABV20:ABV21"/>
    <mergeCell ref="ABX20:ABX21"/>
    <mergeCell ref="ABZ20:ABZ21"/>
    <mergeCell ref="ACB20:ACB21"/>
    <mergeCell ref="ACD20:ACD21"/>
    <mergeCell ref="ACF20:ACF21"/>
    <mergeCell ref="ABJ20:ABJ21"/>
    <mergeCell ref="ABL20:ABL21"/>
    <mergeCell ref="ABN20:ABN21"/>
    <mergeCell ref="ABP20:ABP21"/>
    <mergeCell ref="ABR20:ABR21"/>
    <mergeCell ref="ABT20:ABT21"/>
    <mergeCell ref="AAX20:AAX21"/>
    <mergeCell ref="AAZ20:AAZ21"/>
    <mergeCell ref="ABB20:ABB21"/>
    <mergeCell ref="ABD20:ABD21"/>
    <mergeCell ref="ABF20:ABF21"/>
    <mergeCell ref="ABH20:ABH21"/>
    <mergeCell ref="AAL20:AAL21"/>
    <mergeCell ref="AAN20:AAN21"/>
    <mergeCell ref="AAP20:AAP21"/>
    <mergeCell ref="AAR20:AAR21"/>
    <mergeCell ref="AAT20:AAT21"/>
    <mergeCell ref="AAV20:AAV21"/>
    <mergeCell ref="ZZ20:ZZ21"/>
    <mergeCell ref="AAB20:AAB21"/>
    <mergeCell ref="AAD20:AAD21"/>
    <mergeCell ref="AAF20:AAF21"/>
    <mergeCell ref="AAH20:AAH21"/>
    <mergeCell ref="AAJ20:AAJ21"/>
    <mergeCell ref="ZN20:ZN21"/>
    <mergeCell ref="ZP20:ZP21"/>
    <mergeCell ref="ZR20:ZR21"/>
    <mergeCell ref="ZT20:ZT21"/>
    <mergeCell ref="ZV20:ZV21"/>
    <mergeCell ref="ZX20:ZX21"/>
    <mergeCell ref="ZB20:ZB21"/>
    <mergeCell ref="ZD20:ZD21"/>
    <mergeCell ref="ZF20:ZF21"/>
    <mergeCell ref="ZH20:ZH21"/>
    <mergeCell ref="ZJ20:ZJ21"/>
    <mergeCell ref="ZL20:ZL21"/>
    <mergeCell ref="YP20:YP21"/>
    <mergeCell ref="YR20:YR21"/>
    <mergeCell ref="YT20:YT21"/>
    <mergeCell ref="YV20:YV21"/>
    <mergeCell ref="YX20:YX21"/>
    <mergeCell ref="YZ20:YZ21"/>
    <mergeCell ref="YD20:YD21"/>
    <mergeCell ref="YF20:YF21"/>
    <mergeCell ref="YH20:YH21"/>
    <mergeCell ref="YJ20:YJ21"/>
    <mergeCell ref="YL20:YL21"/>
    <mergeCell ref="YN20:YN21"/>
    <mergeCell ref="XR20:XR21"/>
    <mergeCell ref="XT20:XT21"/>
    <mergeCell ref="XV20:XV21"/>
    <mergeCell ref="XX20:XX21"/>
    <mergeCell ref="XZ20:XZ21"/>
    <mergeCell ref="YB20:YB21"/>
    <mergeCell ref="XF20:XF21"/>
    <mergeCell ref="XH20:XH21"/>
    <mergeCell ref="XJ20:XJ21"/>
    <mergeCell ref="XL20:XL21"/>
    <mergeCell ref="XN20:XN21"/>
    <mergeCell ref="XP20:XP21"/>
    <mergeCell ref="WT20:WT21"/>
    <mergeCell ref="WV20:WV21"/>
    <mergeCell ref="WX20:WX21"/>
    <mergeCell ref="WZ20:WZ21"/>
    <mergeCell ref="XB20:XB21"/>
    <mergeCell ref="XD20:XD21"/>
    <mergeCell ref="WH20:WH21"/>
    <mergeCell ref="WJ20:WJ21"/>
    <mergeCell ref="WL20:WL21"/>
    <mergeCell ref="WN20:WN21"/>
    <mergeCell ref="WP20:WP21"/>
    <mergeCell ref="WR20:WR21"/>
    <mergeCell ref="VV20:VV21"/>
    <mergeCell ref="VX20:VX21"/>
    <mergeCell ref="VZ20:VZ21"/>
    <mergeCell ref="WB20:WB21"/>
    <mergeCell ref="WD20:WD21"/>
    <mergeCell ref="WF20:WF21"/>
    <mergeCell ref="VJ20:VJ21"/>
    <mergeCell ref="VL20:VL21"/>
    <mergeCell ref="VN20:VN21"/>
    <mergeCell ref="VP20:VP21"/>
    <mergeCell ref="VR20:VR21"/>
    <mergeCell ref="VT20:VT21"/>
    <mergeCell ref="UX20:UX21"/>
    <mergeCell ref="UZ20:UZ21"/>
    <mergeCell ref="VB20:VB21"/>
    <mergeCell ref="VD20:VD21"/>
    <mergeCell ref="VF20:VF21"/>
    <mergeCell ref="VH20:VH21"/>
    <mergeCell ref="UL20:UL21"/>
    <mergeCell ref="UN20:UN21"/>
    <mergeCell ref="UP20:UP21"/>
    <mergeCell ref="UR20:UR21"/>
    <mergeCell ref="UT20:UT21"/>
    <mergeCell ref="UV20:UV21"/>
    <mergeCell ref="TZ20:TZ21"/>
    <mergeCell ref="UB20:UB21"/>
    <mergeCell ref="UD20:UD21"/>
    <mergeCell ref="UF20:UF21"/>
    <mergeCell ref="UH20:UH21"/>
    <mergeCell ref="UJ20:UJ21"/>
    <mergeCell ref="TN20:TN21"/>
    <mergeCell ref="TP20:TP21"/>
    <mergeCell ref="TR20:TR21"/>
    <mergeCell ref="TT20:TT21"/>
    <mergeCell ref="TV20:TV21"/>
    <mergeCell ref="TX20:TX21"/>
    <mergeCell ref="TB20:TB21"/>
    <mergeCell ref="TD20:TD21"/>
    <mergeCell ref="TF20:TF21"/>
    <mergeCell ref="TH20:TH21"/>
    <mergeCell ref="TJ20:TJ21"/>
    <mergeCell ref="TL20:TL21"/>
    <mergeCell ref="SP20:SP21"/>
    <mergeCell ref="SR20:SR21"/>
    <mergeCell ref="ST20:ST21"/>
    <mergeCell ref="SV20:SV21"/>
    <mergeCell ref="SX20:SX21"/>
    <mergeCell ref="SZ20:SZ21"/>
    <mergeCell ref="SD20:SD21"/>
    <mergeCell ref="SF20:SF21"/>
    <mergeCell ref="SH20:SH21"/>
    <mergeCell ref="SJ20:SJ21"/>
    <mergeCell ref="SL20:SL21"/>
    <mergeCell ref="SN20:SN21"/>
    <mergeCell ref="RR20:RR21"/>
    <mergeCell ref="RT20:RT21"/>
    <mergeCell ref="RV20:RV21"/>
    <mergeCell ref="RX20:RX21"/>
    <mergeCell ref="RZ20:RZ21"/>
    <mergeCell ref="SB20:SB21"/>
    <mergeCell ref="RF20:RF21"/>
    <mergeCell ref="RH20:RH21"/>
    <mergeCell ref="RJ20:RJ21"/>
    <mergeCell ref="RL20:RL21"/>
    <mergeCell ref="RN20:RN21"/>
    <mergeCell ref="RP20:RP21"/>
    <mergeCell ref="QT20:QT21"/>
    <mergeCell ref="QV20:QV21"/>
    <mergeCell ref="QX20:QX21"/>
    <mergeCell ref="QZ20:QZ21"/>
    <mergeCell ref="RB20:RB21"/>
    <mergeCell ref="RD20:RD21"/>
    <mergeCell ref="QH20:QH21"/>
    <mergeCell ref="QJ20:QJ21"/>
    <mergeCell ref="QL20:QL21"/>
    <mergeCell ref="QN20:QN21"/>
    <mergeCell ref="QP20:QP21"/>
    <mergeCell ref="QR20:QR21"/>
    <mergeCell ref="PV20:PV21"/>
    <mergeCell ref="PX20:PX21"/>
    <mergeCell ref="PZ20:PZ21"/>
    <mergeCell ref="QB20:QB21"/>
    <mergeCell ref="QD20:QD21"/>
    <mergeCell ref="QF20:QF21"/>
    <mergeCell ref="PJ20:PJ21"/>
    <mergeCell ref="PL20:PL21"/>
    <mergeCell ref="PN20:PN21"/>
    <mergeCell ref="PP20:PP21"/>
    <mergeCell ref="PR20:PR21"/>
    <mergeCell ref="PT20:PT21"/>
    <mergeCell ref="OX20:OX21"/>
    <mergeCell ref="OZ20:OZ21"/>
    <mergeCell ref="PB20:PB21"/>
    <mergeCell ref="PD20:PD21"/>
    <mergeCell ref="PF20:PF21"/>
    <mergeCell ref="PH20:PH21"/>
    <mergeCell ref="OL20:OL21"/>
    <mergeCell ref="ON20:ON21"/>
    <mergeCell ref="OP20:OP21"/>
    <mergeCell ref="OR20:OR21"/>
    <mergeCell ref="OT20:OT21"/>
    <mergeCell ref="OV20:OV21"/>
    <mergeCell ref="NZ20:NZ21"/>
    <mergeCell ref="OB20:OB21"/>
    <mergeCell ref="OD20:OD21"/>
    <mergeCell ref="OF20:OF21"/>
    <mergeCell ref="OH20:OH21"/>
    <mergeCell ref="OJ20:OJ21"/>
    <mergeCell ref="NN20:NN21"/>
    <mergeCell ref="NP20:NP21"/>
    <mergeCell ref="NR20:NR21"/>
    <mergeCell ref="NT20:NT21"/>
    <mergeCell ref="NV20:NV21"/>
    <mergeCell ref="NX20:NX21"/>
    <mergeCell ref="NB20:NB21"/>
    <mergeCell ref="ND20:ND21"/>
    <mergeCell ref="NF20:NF21"/>
    <mergeCell ref="NH20:NH21"/>
    <mergeCell ref="NJ20:NJ21"/>
    <mergeCell ref="NL20:NL21"/>
    <mergeCell ref="MP20:MP21"/>
    <mergeCell ref="MR20:MR21"/>
    <mergeCell ref="MT20:MT21"/>
    <mergeCell ref="MV20:MV21"/>
    <mergeCell ref="MX20:MX21"/>
    <mergeCell ref="MZ20:MZ21"/>
    <mergeCell ref="MD20:MD21"/>
    <mergeCell ref="MF20:MF21"/>
    <mergeCell ref="MH20:MH21"/>
    <mergeCell ref="MJ20:MJ21"/>
    <mergeCell ref="ML20:ML21"/>
    <mergeCell ref="MN20:MN21"/>
    <mergeCell ref="LR20:LR21"/>
    <mergeCell ref="LT20:LT21"/>
    <mergeCell ref="LV20:LV21"/>
    <mergeCell ref="LX20:LX21"/>
    <mergeCell ref="LZ20:LZ21"/>
    <mergeCell ref="MB20:MB21"/>
    <mergeCell ref="LF20:LF21"/>
    <mergeCell ref="LH20:LH21"/>
    <mergeCell ref="LJ20:LJ21"/>
    <mergeCell ref="LL20:LL21"/>
    <mergeCell ref="LN20:LN21"/>
    <mergeCell ref="LP20:LP21"/>
    <mergeCell ref="KT20:KT21"/>
    <mergeCell ref="KV20:KV21"/>
    <mergeCell ref="KX20:KX21"/>
    <mergeCell ref="KZ20:KZ21"/>
    <mergeCell ref="LB20:LB21"/>
    <mergeCell ref="LD20:LD21"/>
    <mergeCell ref="KH20:KH21"/>
    <mergeCell ref="KJ20:KJ21"/>
    <mergeCell ref="KL20:KL21"/>
    <mergeCell ref="KN20:KN21"/>
    <mergeCell ref="KP20:KP21"/>
    <mergeCell ref="KR20:KR21"/>
    <mergeCell ref="JV20:JV21"/>
    <mergeCell ref="JX20:JX21"/>
    <mergeCell ref="JZ20:JZ21"/>
    <mergeCell ref="KB20:KB21"/>
    <mergeCell ref="KD20:KD21"/>
    <mergeCell ref="KF20:KF21"/>
    <mergeCell ref="JJ20:JJ21"/>
    <mergeCell ref="JL20:JL21"/>
    <mergeCell ref="JN20:JN21"/>
    <mergeCell ref="JP20:JP21"/>
    <mergeCell ref="JR20:JR21"/>
    <mergeCell ref="JT20:JT21"/>
    <mergeCell ref="IX20:IX21"/>
    <mergeCell ref="IZ20:IZ21"/>
    <mergeCell ref="JB20:JB21"/>
    <mergeCell ref="JD20:JD21"/>
    <mergeCell ref="JF20:JF21"/>
    <mergeCell ref="JH20:JH21"/>
    <mergeCell ref="IL20:IL21"/>
    <mergeCell ref="IN20:IN21"/>
    <mergeCell ref="IP20:IP21"/>
    <mergeCell ref="IR20:IR21"/>
    <mergeCell ref="IT20:IT21"/>
    <mergeCell ref="IV20:IV21"/>
    <mergeCell ref="HZ20:HZ21"/>
    <mergeCell ref="IB20:IB21"/>
    <mergeCell ref="ID20:ID21"/>
    <mergeCell ref="IF20:IF21"/>
    <mergeCell ref="IH20:IH21"/>
    <mergeCell ref="IJ20:IJ21"/>
    <mergeCell ref="HN20:HN21"/>
    <mergeCell ref="HP20:HP21"/>
    <mergeCell ref="HR20:HR21"/>
    <mergeCell ref="HT20:HT21"/>
    <mergeCell ref="HV20:HV21"/>
    <mergeCell ref="HX20:HX21"/>
    <mergeCell ref="HB20:HB21"/>
    <mergeCell ref="HD20:HD21"/>
    <mergeCell ref="HF20:HF21"/>
    <mergeCell ref="HH20:HH21"/>
    <mergeCell ref="HJ20:HJ21"/>
    <mergeCell ref="HL20:HL21"/>
    <mergeCell ref="GP20:GP21"/>
    <mergeCell ref="GR20:GR21"/>
    <mergeCell ref="GT20:GT21"/>
    <mergeCell ref="GV20:GV21"/>
    <mergeCell ref="GX20:GX21"/>
    <mergeCell ref="GZ20:GZ21"/>
    <mergeCell ref="GD20:GD21"/>
    <mergeCell ref="GF20:GF21"/>
    <mergeCell ref="GH20:GH21"/>
    <mergeCell ref="GJ20:GJ21"/>
    <mergeCell ref="GL20:GL21"/>
    <mergeCell ref="GN20:GN21"/>
    <mergeCell ref="FR20:FR21"/>
    <mergeCell ref="FT20:FT21"/>
    <mergeCell ref="FV20:FV21"/>
    <mergeCell ref="FX20:FX21"/>
    <mergeCell ref="FZ20:FZ21"/>
    <mergeCell ref="GB20:GB21"/>
    <mergeCell ref="FF20:FF21"/>
    <mergeCell ref="FH20:FH21"/>
    <mergeCell ref="FJ20:FJ21"/>
    <mergeCell ref="FL20:FL21"/>
    <mergeCell ref="FN20:FN21"/>
    <mergeCell ref="FP20:FP21"/>
    <mergeCell ref="ET20:ET21"/>
    <mergeCell ref="EV20:EV21"/>
    <mergeCell ref="EX20:EX21"/>
    <mergeCell ref="EZ20:EZ21"/>
    <mergeCell ref="FB20:FB21"/>
    <mergeCell ref="FD20:FD21"/>
    <mergeCell ref="EH20:EH21"/>
    <mergeCell ref="EJ20:EJ21"/>
    <mergeCell ref="EL20:EL21"/>
    <mergeCell ref="EN20:EN21"/>
    <mergeCell ref="EP20:EP21"/>
    <mergeCell ref="ER20:ER21"/>
    <mergeCell ref="DV20:DV21"/>
    <mergeCell ref="DX20:DX21"/>
    <mergeCell ref="DZ20:DZ21"/>
    <mergeCell ref="EB20:EB21"/>
    <mergeCell ref="ED20:ED21"/>
    <mergeCell ref="EF20:EF21"/>
    <mergeCell ref="DJ20:DJ21"/>
    <mergeCell ref="DL20:DL21"/>
    <mergeCell ref="DN20:DN21"/>
    <mergeCell ref="DP20:DP21"/>
    <mergeCell ref="DR20:DR21"/>
    <mergeCell ref="DT20:DT21"/>
    <mergeCell ref="CX20:CX21"/>
    <mergeCell ref="CZ20:CZ21"/>
    <mergeCell ref="DB20:DB21"/>
    <mergeCell ref="DD20:DD21"/>
    <mergeCell ref="DF20:DF21"/>
    <mergeCell ref="DH20:DH21"/>
    <mergeCell ref="CL20:CL21"/>
    <mergeCell ref="CN20:CN21"/>
    <mergeCell ref="CP20:CP21"/>
    <mergeCell ref="CR20:CR21"/>
    <mergeCell ref="CT20:CT21"/>
    <mergeCell ref="CV20:CV21"/>
    <mergeCell ref="BZ20:BZ21"/>
    <mergeCell ref="CB20:CB21"/>
    <mergeCell ref="CD20:CD21"/>
    <mergeCell ref="CF20:CF21"/>
    <mergeCell ref="CH20:CH21"/>
    <mergeCell ref="CJ20:CJ21"/>
    <mergeCell ref="AP20:AP21"/>
    <mergeCell ref="C10:H10"/>
    <mergeCell ref="I13:M13"/>
    <mergeCell ref="N13:R13"/>
    <mergeCell ref="S13:W13"/>
    <mergeCell ref="BN20:BN21"/>
    <mergeCell ref="BP20:BP21"/>
    <mergeCell ref="BR20:BR21"/>
    <mergeCell ref="BT20:BT21"/>
    <mergeCell ref="BV20:BV21"/>
    <mergeCell ref="BX20:BX21"/>
    <mergeCell ref="BB20:BB21"/>
    <mergeCell ref="BD20:BD21"/>
    <mergeCell ref="BF20:BF21"/>
    <mergeCell ref="BH20:BH21"/>
    <mergeCell ref="BJ20:BJ21"/>
    <mergeCell ref="BL20:BL21"/>
    <mergeCell ref="AR20:AR21"/>
    <mergeCell ref="AT20:AT21"/>
    <mergeCell ref="AV20:AV21"/>
    <mergeCell ref="AX20:AX21"/>
    <mergeCell ref="F21:H22"/>
    <mergeCell ref="AZ20:AZ21"/>
    <mergeCell ref="AD20:AD21"/>
    <mergeCell ref="AF20:AF21"/>
    <mergeCell ref="AH20:AH21"/>
    <mergeCell ref="AJ20:AJ21"/>
    <mergeCell ref="AL20:AL21"/>
    <mergeCell ref="AN20:AN21"/>
    <mergeCell ref="X20:X21"/>
    <mergeCell ref="Z20:Z21"/>
    <mergeCell ref="AB20:AB21"/>
    <mergeCell ref="F36:H36"/>
    <mergeCell ref="A37:B39"/>
    <mergeCell ref="F37:H37"/>
    <mergeCell ref="F38:H38"/>
    <mergeCell ref="F39:H39"/>
    <mergeCell ref="A40:B42"/>
    <mergeCell ref="F40:H40"/>
    <mergeCell ref="F41:H41"/>
    <mergeCell ref="F42:H42"/>
    <mergeCell ref="A10:B10"/>
    <mergeCell ref="J10:J11"/>
    <mergeCell ref="B2:D2"/>
    <mergeCell ref="B3:D3"/>
    <mergeCell ref="B4:D4"/>
    <mergeCell ref="B6:D6"/>
    <mergeCell ref="B8:D8"/>
    <mergeCell ref="E12:H13"/>
    <mergeCell ref="F14:H14"/>
    <mergeCell ref="A15:B17"/>
    <mergeCell ref="F15:H17"/>
    <mergeCell ref="A18:B20"/>
    <mergeCell ref="F18:H20"/>
    <mergeCell ref="A14:B14"/>
    <mergeCell ref="A21:B22"/>
    <mergeCell ref="A54:B54"/>
    <mergeCell ref="F54:H54"/>
    <mergeCell ref="A23:B25"/>
    <mergeCell ref="F23:H25"/>
    <mergeCell ref="A26:C26"/>
    <mergeCell ref="F26:H26"/>
    <mergeCell ref="A43:C43"/>
    <mergeCell ref="F43:H43"/>
    <mergeCell ref="A44:C44"/>
    <mergeCell ref="F44:H44"/>
    <mergeCell ref="A45:B48"/>
    <mergeCell ref="F45:H45"/>
    <mergeCell ref="F46:H46"/>
    <mergeCell ref="F47:H47"/>
    <mergeCell ref="F48:H48"/>
    <mergeCell ref="A49:B50"/>
    <mergeCell ref="F49:H49"/>
    <mergeCell ref="F50:H50"/>
    <mergeCell ref="A51:B53"/>
    <mergeCell ref="F51:H51"/>
    <mergeCell ref="F52:H52"/>
    <mergeCell ref="F53:H53"/>
    <mergeCell ref="A27:B29"/>
    <mergeCell ref="F27:H29"/>
    <mergeCell ref="A30:B32"/>
    <mergeCell ref="F30:H32"/>
    <mergeCell ref="A33:B33"/>
    <mergeCell ref="F33:H33"/>
    <mergeCell ref="A34:B34"/>
    <mergeCell ref="F34:H34"/>
    <mergeCell ref="A35:B36"/>
    <mergeCell ref="F35:H35"/>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3" location="SOMMAIRE!A1" display="Retour sommaire"/>
    <hyperlink ref="J5" location="SYNTHESE!A1" display="Retour synthèse"/>
  </hyperlink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1"/>
  <sheetViews>
    <sheetView topLeftCell="A3" zoomScale="70" zoomScaleNormal="70" workbookViewId="0">
      <selection activeCell="K13" sqref="K13"/>
    </sheetView>
  </sheetViews>
  <sheetFormatPr baseColWidth="10" defaultRowHeight="15"/>
  <cols>
    <col min="2" max="2" width="40.85546875" customWidth="1"/>
    <col min="3" max="3" width="44" customWidth="1"/>
    <col min="4" max="4" width="37" customWidth="1"/>
    <col min="5" max="5" width="26.7109375" customWidth="1"/>
    <col min="6" max="6" width="23.42578125" customWidth="1"/>
    <col min="9" max="9" width="18.140625" customWidth="1"/>
    <col min="10" max="10" width="13.42578125" bestFit="1" customWidth="1"/>
  </cols>
  <sheetData>
    <row r="1" spans="1:11" s="1021" customFormat="1">
      <c r="D1" s="1045" t="s">
        <v>1145</v>
      </c>
      <c r="E1" s="1045" t="s">
        <v>1146</v>
      </c>
      <c r="F1" s="1045" t="s">
        <v>6</v>
      </c>
    </row>
    <row r="2" spans="1:11" ht="15" customHeight="1">
      <c r="A2" s="592" t="s">
        <v>273</v>
      </c>
      <c r="B2" s="95" t="s">
        <v>413</v>
      </c>
      <c r="C2" s="1027" t="s">
        <v>47</v>
      </c>
      <c r="D2" s="1022" t="s">
        <v>1147</v>
      </c>
      <c r="E2" s="1022" t="s">
        <v>1147</v>
      </c>
      <c r="F2" s="1022" t="s">
        <v>1147</v>
      </c>
    </row>
    <row r="3" spans="1:11">
      <c r="A3" s="596" t="s">
        <v>183</v>
      </c>
      <c r="B3" s="43" t="s">
        <v>74</v>
      </c>
      <c r="C3" s="1029" t="s">
        <v>926</v>
      </c>
      <c r="D3" s="1022" t="s">
        <v>1147</v>
      </c>
      <c r="E3" s="1026" t="s">
        <v>1147</v>
      </c>
      <c r="F3" s="1026" t="s">
        <v>1147</v>
      </c>
    </row>
    <row r="4" spans="1:11" ht="15" customHeight="1">
      <c r="A4" s="595" t="s">
        <v>218</v>
      </c>
      <c r="B4" s="41" t="s">
        <v>162</v>
      </c>
      <c r="C4" s="1030" t="s">
        <v>927</v>
      </c>
      <c r="D4" s="1022" t="s">
        <v>1155</v>
      </c>
      <c r="E4" s="1022" t="s">
        <v>1156</v>
      </c>
      <c r="F4" s="1022" t="s">
        <v>1147</v>
      </c>
    </row>
    <row r="5" spans="1:11" s="1100" customFormat="1" ht="15" customHeight="1">
      <c r="A5" s="592" t="s">
        <v>1192</v>
      </c>
      <c r="B5" s="41" t="s">
        <v>162</v>
      </c>
      <c r="C5" s="1030" t="s">
        <v>927</v>
      </c>
      <c r="D5" s="1116" t="s">
        <v>1155</v>
      </c>
      <c r="E5" s="1116" t="s">
        <v>1156</v>
      </c>
      <c r="F5" s="1116" t="s">
        <v>1147</v>
      </c>
      <c r="I5" s="17" t="s">
        <v>1653</v>
      </c>
    </row>
    <row r="6" spans="1:11" ht="30.75" thickBot="1">
      <c r="A6" s="592" t="s">
        <v>187</v>
      </c>
      <c r="B6" s="43" t="s">
        <v>82</v>
      </c>
      <c r="C6" s="1031" t="s">
        <v>63</v>
      </c>
      <c r="D6" s="1102" t="s">
        <v>1208</v>
      </c>
      <c r="E6" s="1046" t="s">
        <v>1207</v>
      </c>
      <c r="F6" s="1022" t="s">
        <v>1147</v>
      </c>
      <c r="G6" s="1047"/>
      <c r="I6">
        <v>153000</v>
      </c>
    </row>
    <row r="7" spans="1:11" ht="15" customHeight="1" thickBot="1">
      <c r="A7" s="593" t="s">
        <v>913</v>
      </c>
      <c r="B7" s="1746" t="s">
        <v>680</v>
      </c>
      <c r="C7" s="1032" t="s">
        <v>928</v>
      </c>
      <c r="D7" s="1111" t="s">
        <v>1147</v>
      </c>
      <c r="E7" s="1022" t="s">
        <v>1147</v>
      </c>
      <c r="F7" s="1022" t="s">
        <v>1147</v>
      </c>
      <c r="I7" s="1700">
        <v>233000</v>
      </c>
    </row>
    <row r="8" spans="1:11" ht="33" customHeight="1" thickBot="1">
      <c r="A8" s="599" t="s">
        <v>914</v>
      </c>
      <c r="B8" s="1747"/>
      <c r="C8" s="1030" t="s">
        <v>1215</v>
      </c>
      <c r="D8" s="1132"/>
      <c r="E8" s="1131"/>
      <c r="F8" s="1131"/>
      <c r="G8" s="1049"/>
      <c r="H8" s="1023"/>
      <c r="I8" s="1700">
        <v>153000</v>
      </c>
      <c r="J8" s="1023"/>
      <c r="K8" s="1023"/>
    </row>
    <row r="9" spans="1:11" ht="28.5" customHeight="1">
      <c r="A9" s="594" t="s">
        <v>185</v>
      </c>
      <c r="B9" s="43" t="s">
        <v>79</v>
      </c>
      <c r="C9" s="1029" t="s">
        <v>548</v>
      </c>
      <c r="D9" s="1022" t="s">
        <v>1147</v>
      </c>
      <c r="E9" s="1022" t="s">
        <v>1147</v>
      </c>
      <c r="F9" s="1022" t="s">
        <v>1147</v>
      </c>
      <c r="I9" s="1699">
        <v>276464.2</v>
      </c>
    </row>
    <row r="10" spans="1:11" ht="30">
      <c r="A10" s="596" t="s">
        <v>403</v>
      </c>
      <c r="B10" s="101" t="s">
        <v>404</v>
      </c>
      <c r="C10" s="1029" t="s">
        <v>405</v>
      </c>
      <c r="D10" s="1022" t="s">
        <v>1159</v>
      </c>
      <c r="E10" s="1026" t="s">
        <v>1159</v>
      </c>
      <c r="F10" s="1026" t="s">
        <v>1159</v>
      </c>
      <c r="I10" s="1699">
        <v>280250.09999999998</v>
      </c>
    </row>
    <row r="11" spans="1:11" ht="45">
      <c r="A11" s="596" t="s">
        <v>915</v>
      </c>
      <c r="B11" s="1123" t="s">
        <v>783</v>
      </c>
      <c r="C11" s="1033" t="s">
        <v>916</v>
      </c>
      <c r="D11" s="1102" t="s">
        <v>1183</v>
      </c>
      <c r="E11" s="1046" t="s">
        <v>1184</v>
      </c>
      <c r="F11" s="1022" t="s">
        <v>1147</v>
      </c>
      <c r="I11" s="1699">
        <v>2776.95</v>
      </c>
    </row>
    <row r="12" spans="1:11">
      <c r="A12" s="595" t="s">
        <v>189</v>
      </c>
      <c r="B12" s="25" t="s">
        <v>65</v>
      </c>
      <c r="C12" s="1027" t="s">
        <v>65</v>
      </c>
      <c r="D12" s="1111" t="s">
        <v>1147</v>
      </c>
      <c r="E12" s="1022" t="s">
        <v>1147</v>
      </c>
      <c r="F12" s="1022" t="s">
        <v>1147</v>
      </c>
      <c r="I12" s="1699">
        <v>113704</v>
      </c>
    </row>
    <row r="13" spans="1:11" s="1110" customFormat="1">
      <c r="A13" s="596" t="s">
        <v>1204</v>
      </c>
      <c r="B13" s="25" t="s">
        <v>65</v>
      </c>
      <c r="C13" s="1027" t="s">
        <v>65</v>
      </c>
      <c r="D13" s="1111" t="s">
        <v>1147</v>
      </c>
      <c r="E13" s="1116" t="s">
        <v>1147</v>
      </c>
      <c r="F13" s="1116" t="s">
        <v>1147</v>
      </c>
      <c r="I13" s="1699">
        <v>65200</v>
      </c>
    </row>
    <row r="14" spans="1:11" ht="15" customHeight="1">
      <c r="A14" s="592" t="s">
        <v>190</v>
      </c>
      <c r="B14" s="95" t="s">
        <v>417</v>
      </c>
      <c r="C14" s="1028" t="s">
        <v>418</v>
      </c>
      <c r="D14" s="1022" t="s">
        <v>1161</v>
      </c>
      <c r="E14" s="1022" t="s">
        <v>1147</v>
      </c>
      <c r="F14" s="1022" t="s">
        <v>1147</v>
      </c>
      <c r="I14" s="1699">
        <v>1400</v>
      </c>
    </row>
    <row r="15" spans="1:11" ht="45">
      <c r="A15" s="595" t="s">
        <v>191</v>
      </c>
      <c r="B15" s="44" t="s">
        <v>68</v>
      </c>
      <c r="C15" s="1027" t="s">
        <v>68</v>
      </c>
      <c r="D15" s="1046" t="s">
        <v>1157</v>
      </c>
      <c r="E15" s="1022" t="s">
        <v>1147</v>
      </c>
      <c r="F15" s="1022" t="s">
        <v>1147</v>
      </c>
      <c r="I15" s="1699">
        <v>182450.65</v>
      </c>
    </row>
    <row r="16" spans="1:11" ht="14.25" customHeight="1">
      <c r="A16" s="593" t="s">
        <v>209</v>
      </c>
      <c r="B16" s="1746" t="s">
        <v>147</v>
      </c>
      <c r="C16" s="1710" t="s">
        <v>227</v>
      </c>
      <c r="D16" s="1022" t="s">
        <v>1147</v>
      </c>
      <c r="E16" s="1022" t="s">
        <v>1147</v>
      </c>
      <c r="F16" s="1022" t="s">
        <v>1147</v>
      </c>
      <c r="I16" s="1701">
        <f>SUM(I6:I15)</f>
        <v>1461245.8999999997</v>
      </c>
      <c r="J16" s="1701"/>
    </row>
    <row r="17" spans="1:10" s="1095" customFormat="1" ht="14.25" customHeight="1">
      <c r="A17" s="601" t="s">
        <v>210</v>
      </c>
      <c r="B17" s="1747"/>
      <c r="C17" s="1725"/>
      <c r="D17" s="1022" t="s">
        <v>1147</v>
      </c>
      <c r="E17" s="1022" t="s">
        <v>1179</v>
      </c>
      <c r="F17" s="1022" t="s">
        <v>1147</v>
      </c>
      <c r="G17"/>
      <c r="I17" s="1702">
        <v>2984878.25</v>
      </c>
      <c r="J17" s="1702"/>
    </row>
    <row r="18" spans="1:10" ht="15.75" customHeight="1">
      <c r="A18" s="1096" t="s">
        <v>1178</v>
      </c>
      <c r="B18" s="1747"/>
      <c r="C18" s="1711"/>
      <c r="D18" s="1047" t="s">
        <v>1147</v>
      </c>
      <c r="E18" s="1047" t="s">
        <v>1147</v>
      </c>
      <c r="F18" s="1047" t="s">
        <v>1147</v>
      </c>
      <c r="I18" s="1701"/>
      <c r="J18" s="1703">
        <f>I16/I17</f>
        <v>0.48954958213119737</v>
      </c>
    </row>
    <row r="19" spans="1:10" ht="15" customHeight="1">
      <c r="A19" s="595" t="s">
        <v>200</v>
      </c>
      <c r="B19" s="1252" t="s">
        <v>129</v>
      </c>
      <c r="C19" s="1034" t="s">
        <v>929</v>
      </c>
      <c r="D19" s="1022" t="s">
        <v>1150</v>
      </c>
      <c r="E19" s="1022" t="s">
        <v>1147</v>
      </c>
      <c r="F19" s="1022" t="s">
        <v>1147</v>
      </c>
      <c r="G19" s="1047" t="s">
        <v>1269</v>
      </c>
    </row>
    <row r="20" spans="1:10">
      <c r="A20" s="595" t="s">
        <v>180</v>
      </c>
      <c r="B20" s="25" t="s">
        <v>272</v>
      </c>
      <c r="C20" s="1027" t="s">
        <v>171</v>
      </c>
      <c r="D20" s="1022" t="s">
        <v>1147</v>
      </c>
      <c r="E20" s="1022" t="s">
        <v>1147</v>
      </c>
      <c r="F20" s="1022" t="s">
        <v>1147</v>
      </c>
    </row>
    <row r="21" spans="1:10" ht="45">
      <c r="A21" s="597" t="s">
        <v>205</v>
      </c>
      <c r="B21" s="1138" t="s">
        <v>138</v>
      </c>
      <c r="C21" s="1035" t="s">
        <v>139</v>
      </c>
      <c r="D21" s="1022" t="s">
        <v>1147</v>
      </c>
      <c r="E21" s="1046" t="s">
        <v>1190</v>
      </c>
      <c r="F21" s="1022" t="s">
        <v>1147</v>
      </c>
    </row>
    <row r="22" spans="1:10">
      <c r="A22" s="597" t="s">
        <v>199</v>
      </c>
      <c r="B22" s="1718" t="s">
        <v>129</v>
      </c>
      <c r="C22" s="1036" t="s">
        <v>202</v>
      </c>
      <c r="D22" s="1022" t="s">
        <v>1150</v>
      </c>
      <c r="E22" s="1022" t="s">
        <v>1147</v>
      </c>
      <c r="F22" s="1022" t="s">
        <v>1147</v>
      </c>
    </row>
    <row r="23" spans="1:10">
      <c r="A23" s="597" t="s">
        <v>201</v>
      </c>
      <c r="B23" s="1718"/>
      <c r="C23" s="1035" t="s">
        <v>203</v>
      </c>
      <c r="D23" s="1022" t="s">
        <v>1150</v>
      </c>
      <c r="E23" s="1022" t="s">
        <v>1147</v>
      </c>
      <c r="F23" s="1022" t="s">
        <v>1147</v>
      </c>
    </row>
    <row r="24" spans="1:10" ht="30">
      <c r="A24" s="593" t="s">
        <v>917</v>
      </c>
      <c r="B24" s="1748" t="s">
        <v>126</v>
      </c>
      <c r="C24" s="1037" t="s">
        <v>930</v>
      </c>
      <c r="D24" s="1046" t="s">
        <v>1158</v>
      </c>
      <c r="E24" s="1022" t="s">
        <v>1147</v>
      </c>
      <c r="F24" s="1022" t="s">
        <v>1147</v>
      </c>
    </row>
    <row r="25" spans="1:10">
      <c r="A25" s="599" t="s">
        <v>918</v>
      </c>
      <c r="B25" s="1749"/>
      <c r="C25" s="1037" t="s">
        <v>931</v>
      </c>
      <c r="D25" s="1098"/>
      <c r="E25" s="1099"/>
      <c r="F25" s="1099"/>
    </row>
    <row r="26" spans="1:10">
      <c r="A26" s="595" t="s">
        <v>919</v>
      </c>
      <c r="B26" s="1741" t="s">
        <v>78</v>
      </c>
      <c r="C26" s="1030" t="s">
        <v>563</v>
      </c>
      <c r="D26" s="1022" t="s">
        <v>1147</v>
      </c>
      <c r="E26" s="1022" t="s">
        <v>1147</v>
      </c>
      <c r="F26" s="1022" t="s">
        <v>1147</v>
      </c>
    </row>
    <row r="27" spans="1:10">
      <c r="A27" s="592" t="s">
        <v>184</v>
      </c>
      <c r="B27" s="1742"/>
      <c r="C27" s="1030" t="s">
        <v>575</v>
      </c>
      <c r="D27" s="1022" t="s">
        <v>1147</v>
      </c>
      <c r="E27" s="1022" t="s">
        <v>1147</v>
      </c>
      <c r="F27" s="1022" t="s">
        <v>1147</v>
      </c>
    </row>
    <row r="28" spans="1:10">
      <c r="A28" s="600" t="s">
        <v>336</v>
      </c>
      <c r="B28" s="1735"/>
      <c r="C28" s="1030" t="s">
        <v>579</v>
      </c>
      <c r="D28" s="1022" t="s">
        <v>1147</v>
      </c>
      <c r="E28" s="1022" t="s">
        <v>1147</v>
      </c>
      <c r="F28" s="1022" t="s">
        <v>1147</v>
      </c>
    </row>
    <row r="29" spans="1:10">
      <c r="A29" s="593" t="s">
        <v>211</v>
      </c>
      <c r="B29" s="1734" t="s">
        <v>148</v>
      </c>
      <c r="C29" s="1035" t="s">
        <v>229</v>
      </c>
      <c r="D29" s="1022" t="s">
        <v>1147</v>
      </c>
      <c r="E29" s="1026" t="s">
        <v>1147</v>
      </c>
      <c r="F29" s="1026" t="s">
        <v>1147</v>
      </c>
    </row>
    <row r="30" spans="1:10" ht="45">
      <c r="A30" s="598" t="s">
        <v>212</v>
      </c>
      <c r="B30" s="1735"/>
      <c r="C30" s="1035" t="s">
        <v>230</v>
      </c>
      <c r="D30" s="1022" t="s">
        <v>1147</v>
      </c>
      <c r="E30" s="1046" t="s">
        <v>1202</v>
      </c>
      <c r="F30" s="1026" t="s">
        <v>1147</v>
      </c>
    </row>
    <row r="31" spans="1:10" ht="45">
      <c r="A31" s="1117" t="s">
        <v>1205</v>
      </c>
      <c r="B31" s="1139" t="s">
        <v>150</v>
      </c>
      <c r="C31" s="1038" t="s">
        <v>151</v>
      </c>
      <c r="D31" s="1046" t="s">
        <v>1200</v>
      </c>
      <c r="E31" s="1046" t="s">
        <v>1186</v>
      </c>
      <c r="F31" s="1022" t="s">
        <v>1147</v>
      </c>
    </row>
    <row r="32" spans="1:10" s="1100" customFormat="1">
      <c r="A32" s="1103" t="s">
        <v>1206</v>
      </c>
      <c r="B32" s="1139"/>
      <c r="C32" s="1038"/>
      <c r="D32" s="1046"/>
      <c r="E32" s="1046"/>
      <c r="F32" s="1101"/>
    </row>
    <row r="33" spans="1:7" ht="30">
      <c r="A33" s="92" t="s">
        <v>207</v>
      </c>
      <c r="B33" s="1140" t="s">
        <v>143</v>
      </c>
      <c r="C33" s="1039" t="s">
        <v>700</v>
      </c>
      <c r="D33" s="1022" t="s">
        <v>1147</v>
      </c>
      <c r="E33" s="1022" t="s">
        <v>1147</v>
      </c>
      <c r="F33" s="1022" t="s">
        <v>1147</v>
      </c>
    </row>
    <row r="34" spans="1:7" ht="15" customHeight="1">
      <c r="A34" s="595" t="s">
        <v>920</v>
      </c>
      <c r="B34" s="1743" t="s">
        <v>129</v>
      </c>
      <c r="C34" s="1034" t="s">
        <v>932</v>
      </c>
      <c r="D34" s="1022" t="s">
        <v>1150</v>
      </c>
      <c r="E34" s="1022" t="s">
        <v>1147</v>
      </c>
      <c r="F34" s="1022" t="s">
        <v>1147</v>
      </c>
    </row>
    <row r="35" spans="1:7">
      <c r="A35" s="596" t="s">
        <v>921</v>
      </c>
      <c r="B35" s="1744"/>
      <c r="C35" s="1034" t="s">
        <v>933</v>
      </c>
      <c r="D35" s="1022" t="s">
        <v>1150</v>
      </c>
      <c r="E35" s="1022" t="s">
        <v>1147</v>
      </c>
      <c r="F35" s="1022" t="s">
        <v>1147</v>
      </c>
    </row>
    <row r="36" spans="1:7">
      <c r="A36" s="592" t="s">
        <v>922</v>
      </c>
      <c r="B36" s="1744"/>
      <c r="C36" s="1034" t="s">
        <v>934</v>
      </c>
      <c r="D36" s="1022" t="s">
        <v>1150</v>
      </c>
      <c r="E36" s="1022" t="s">
        <v>1148</v>
      </c>
      <c r="F36" s="1022" t="s">
        <v>1147</v>
      </c>
      <c r="G36" s="1047" t="s">
        <v>1149</v>
      </c>
    </row>
    <row r="37" spans="1:7" s="1135" customFormat="1">
      <c r="A37" s="600" t="s">
        <v>1213</v>
      </c>
      <c r="B37" s="1745"/>
      <c r="C37" s="1034" t="s">
        <v>1214</v>
      </c>
      <c r="D37" s="1137" t="s">
        <v>1150</v>
      </c>
      <c r="E37" s="1137" t="s">
        <v>1148</v>
      </c>
      <c r="F37" s="1137" t="s">
        <v>1147</v>
      </c>
      <c r="G37" s="17"/>
    </row>
    <row r="38" spans="1:7">
      <c r="A38" s="593" t="s">
        <v>923</v>
      </c>
      <c r="B38" s="1741" t="s">
        <v>141</v>
      </c>
      <c r="C38" s="1030" t="s">
        <v>935</v>
      </c>
      <c r="D38" s="1111" t="s">
        <v>1147</v>
      </c>
      <c r="E38" s="1022" t="s">
        <v>1147</v>
      </c>
      <c r="F38" s="1022" t="s">
        <v>1147</v>
      </c>
    </row>
    <row r="39" spans="1:7" ht="60">
      <c r="A39" s="597" t="s">
        <v>924</v>
      </c>
      <c r="B39" s="1742"/>
      <c r="C39" s="1030" t="s">
        <v>936</v>
      </c>
      <c r="D39" s="1102" t="s">
        <v>1209</v>
      </c>
      <c r="E39" s="1046" t="s">
        <v>1189</v>
      </c>
      <c r="F39" s="1022" t="s">
        <v>1147</v>
      </c>
      <c r="G39" s="1109" t="s">
        <v>1195</v>
      </c>
    </row>
    <row r="40" spans="1:7" ht="15.75">
      <c r="A40" s="601" t="s">
        <v>206</v>
      </c>
      <c r="B40" s="1735"/>
      <c r="C40" s="1030" t="s">
        <v>937</v>
      </c>
      <c r="D40" s="1111" t="s">
        <v>1147</v>
      </c>
      <c r="E40" s="1022" t="s">
        <v>1147</v>
      </c>
      <c r="F40" s="1022" t="s">
        <v>1147</v>
      </c>
      <c r="G40" s="1109" t="s">
        <v>1196</v>
      </c>
    </row>
    <row r="41" spans="1:7" ht="30">
      <c r="A41" s="599" t="s">
        <v>347</v>
      </c>
      <c r="B41" s="1139" t="s">
        <v>164</v>
      </c>
      <c r="C41" s="1030" t="s">
        <v>938</v>
      </c>
      <c r="D41" s="1022" t="s">
        <v>1147</v>
      </c>
      <c r="E41" s="1022" t="s">
        <v>1147</v>
      </c>
      <c r="F41" s="1022" t="s">
        <v>1147</v>
      </c>
      <c r="G41" s="1109" t="s">
        <v>1197</v>
      </c>
    </row>
    <row r="42" spans="1:7" ht="60">
      <c r="A42" s="596" t="s">
        <v>194</v>
      </c>
      <c r="B42" s="1141" t="s">
        <v>122</v>
      </c>
      <c r="C42" s="1036" t="s">
        <v>175</v>
      </c>
      <c r="D42" s="1046" t="s">
        <v>1201</v>
      </c>
      <c r="E42" s="1046" t="s">
        <v>1188</v>
      </c>
      <c r="F42" s="1022" t="s">
        <v>1147</v>
      </c>
      <c r="G42" s="1109" t="s">
        <v>1198</v>
      </c>
    </row>
    <row r="43" spans="1:7" ht="47.25" customHeight="1">
      <c r="A43" s="593" t="s">
        <v>213</v>
      </c>
      <c r="B43" s="1738" t="s">
        <v>149</v>
      </c>
      <c r="C43" s="1031" t="s">
        <v>232</v>
      </c>
      <c r="D43" s="1046" t="s">
        <v>1180</v>
      </c>
      <c r="E43" s="1022" t="s">
        <v>1147</v>
      </c>
      <c r="F43" s="1022" t="s">
        <v>1147</v>
      </c>
      <c r="G43" s="1109" t="s">
        <v>1199</v>
      </c>
    </row>
    <row r="44" spans="1:7" ht="29.25" customHeight="1">
      <c r="A44" s="1174" t="s">
        <v>214</v>
      </c>
      <c r="B44" s="1711"/>
      <c r="C44" s="1032" t="s">
        <v>1223</v>
      </c>
      <c r="D44" s="1104" t="s">
        <v>1151</v>
      </c>
      <c r="E44" s="1105" t="s">
        <v>1147</v>
      </c>
      <c r="F44" s="1105" t="s">
        <v>1147</v>
      </c>
    </row>
    <row r="45" spans="1:7" ht="90">
      <c r="A45" s="1107" t="s">
        <v>1193</v>
      </c>
      <c r="B45" s="1142" t="s">
        <v>99</v>
      </c>
      <c r="C45" s="1030" t="s">
        <v>223</v>
      </c>
      <c r="D45" s="1046" t="s">
        <v>1203</v>
      </c>
      <c r="E45" s="1046" t="s">
        <v>1191</v>
      </c>
      <c r="F45" s="1022" t="s">
        <v>1147</v>
      </c>
    </row>
    <row r="46" spans="1:7" s="1100" customFormat="1" ht="30">
      <c r="A46" s="1108" t="s">
        <v>1194</v>
      </c>
      <c r="B46" s="1143"/>
      <c r="C46" s="1106"/>
      <c r="D46" s="1046"/>
      <c r="E46" s="1046" t="s">
        <v>1181</v>
      </c>
      <c r="F46" s="1101"/>
    </row>
    <row r="47" spans="1:7">
      <c r="A47" s="598" t="s">
        <v>219</v>
      </c>
      <c r="B47" s="1144" t="s">
        <v>167</v>
      </c>
      <c r="C47" s="1040" t="s">
        <v>166</v>
      </c>
      <c r="D47" s="1022" t="s">
        <v>1147</v>
      </c>
      <c r="E47" s="1026" t="s">
        <v>1147</v>
      </c>
      <c r="F47" s="1026" t="s">
        <v>1147</v>
      </c>
    </row>
    <row r="48" spans="1:7">
      <c r="A48" s="90" t="s">
        <v>181</v>
      </c>
      <c r="B48" s="1097" t="s">
        <v>272</v>
      </c>
      <c r="C48" s="1041" t="s">
        <v>172</v>
      </c>
      <c r="D48" s="1022" t="s">
        <v>1147</v>
      </c>
      <c r="E48" s="1022" t="s">
        <v>1147</v>
      </c>
      <c r="F48" s="1022" t="s">
        <v>1147</v>
      </c>
    </row>
    <row r="49" spans="1:6" ht="45">
      <c r="A49" s="596" t="s">
        <v>925</v>
      </c>
      <c r="B49" s="591" t="s">
        <v>939</v>
      </c>
      <c r="C49" s="1042" t="s">
        <v>833</v>
      </c>
      <c r="D49" s="1026" t="s">
        <v>1147</v>
      </c>
      <c r="E49" s="1046" t="s">
        <v>1185</v>
      </c>
      <c r="F49" s="1022" t="s">
        <v>1147</v>
      </c>
    </row>
    <row r="50" spans="1:6" ht="30">
      <c r="A50" s="602" t="s">
        <v>193</v>
      </c>
      <c r="B50" s="45" t="s">
        <v>70</v>
      </c>
      <c r="C50" s="1043" t="s">
        <v>72</v>
      </c>
      <c r="D50" s="1022" t="s">
        <v>1147</v>
      </c>
      <c r="E50" s="1046" t="s">
        <v>1182</v>
      </c>
      <c r="F50" s="1022" t="s">
        <v>1147</v>
      </c>
    </row>
    <row r="51" spans="1:6" ht="45">
      <c r="A51" s="91" t="s">
        <v>350</v>
      </c>
      <c r="B51" s="41" t="s">
        <v>76</v>
      </c>
      <c r="C51" s="1035" t="s">
        <v>176</v>
      </c>
      <c r="D51" s="1046" t="s">
        <v>1177</v>
      </c>
      <c r="E51" s="1022" t="s">
        <v>1147</v>
      </c>
      <c r="F51" s="1022" t="s">
        <v>1147</v>
      </c>
    </row>
    <row r="52" spans="1:6" ht="60">
      <c r="A52" s="598" t="s">
        <v>220</v>
      </c>
      <c r="B52" s="1145" t="s">
        <v>159</v>
      </c>
      <c r="C52" s="1044" t="s">
        <v>160</v>
      </c>
      <c r="D52" s="1046" t="s">
        <v>1147</v>
      </c>
      <c r="E52" s="1046" t="s">
        <v>1187</v>
      </c>
      <c r="F52" s="1022" t="s">
        <v>1147</v>
      </c>
    </row>
    <row r="53" spans="1:6">
      <c r="A53" s="1016" t="s">
        <v>179</v>
      </c>
      <c r="B53" s="1739" t="s">
        <v>272</v>
      </c>
      <c r="C53" s="1027" t="s">
        <v>271</v>
      </c>
      <c r="D53" s="1022" t="s">
        <v>1147</v>
      </c>
      <c r="E53" s="1022" t="s">
        <v>1147</v>
      </c>
      <c r="F53" s="1022" t="s">
        <v>1147</v>
      </c>
    </row>
    <row r="54" spans="1:6">
      <c r="A54" s="1016" t="s">
        <v>340</v>
      </c>
      <c r="B54" s="1740"/>
      <c r="C54" s="1043" t="s">
        <v>36</v>
      </c>
      <c r="D54" s="1022" t="s">
        <v>1147</v>
      </c>
      <c r="E54" s="1022" t="s">
        <v>1147</v>
      </c>
      <c r="F54" s="1022" t="s">
        <v>1147</v>
      </c>
    </row>
    <row r="56" spans="1:6">
      <c r="B56" s="1118"/>
      <c r="C56" s="1118"/>
    </row>
    <row r="57" spans="1:6" ht="18">
      <c r="B57" s="1118"/>
      <c r="C57" s="1129"/>
    </row>
    <row r="58" spans="1:6" ht="18">
      <c r="B58" s="1118"/>
      <c r="C58" s="1129"/>
    </row>
    <row r="59" spans="1:6">
      <c r="B59" s="1118"/>
      <c r="C59" s="1130"/>
    </row>
    <row r="60" spans="1:6">
      <c r="B60" s="1118"/>
      <c r="C60" s="1118"/>
    </row>
    <row r="61" spans="1:6">
      <c r="B61" s="1118"/>
      <c r="C61" s="1118"/>
    </row>
  </sheetData>
  <mergeCells count="11">
    <mergeCell ref="B7:B8"/>
    <mergeCell ref="B16:B18"/>
    <mergeCell ref="B22:B23"/>
    <mergeCell ref="B24:B25"/>
    <mergeCell ref="B38:B40"/>
    <mergeCell ref="B43:B44"/>
    <mergeCell ref="B53:B54"/>
    <mergeCell ref="B26:B28"/>
    <mergeCell ref="C16:C18"/>
    <mergeCell ref="B29:B30"/>
    <mergeCell ref="B34:B37"/>
  </mergeCells>
  <hyperlinks>
    <hyperlink ref="A14" location="CCPC!A1" display="CCPC"/>
    <hyperlink ref="A6" location="BRET!A1" display="BRET"/>
    <hyperlink ref="A12" location="CCPB!A1" display="CCPB"/>
    <hyperlink ref="A20" location="HVSO!A1" display="HVSO"/>
    <hyperlink ref="A9" location="BVNI!A1" display="BVNI"/>
    <hyperlink ref="A15" location="CCPV!A1" display="CCPV"/>
    <hyperlink ref="A21" location="LAON!A1" display="LAON"/>
    <hyperlink ref="A16" location="CMOB!A1" display="CMOB"/>
    <hyperlink ref="A7" location="BSPB!A1" display="BSPB"/>
    <hyperlink ref="A19" location="HVOB!A1" display="HVOB"/>
    <hyperlink ref="A18" location="CMOE!A1" display="CMOE"/>
    <hyperlink ref="A23" location="MVOI!A1" display="MVOI"/>
    <hyperlink ref="A24" location="MVSB!A1" display="MVSB"/>
    <hyperlink ref="A10" location="CABE!A1" display="CABE"/>
    <hyperlink ref="A25" location="MVSH!A1" display="MVSH"/>
    <hyperlink ref="A2" location="AMVS!A1" display="AMVS"/>
    <hyperlink ref="A3" location="BAHO!A1" display="BAHO"/>
    <hyperlink ref="A4" location="BRES!A1" display="BRES"/>
    <hyperlink ref="A8" location="BSPH!A1" display="BSPH"/>
    <hyperlink ref="A11" location="CCLO!A1" display="CCLO"/>
    <hyperlink ref="A22" location="MASO!A1" display="MASO"/>
    <hyperlink ref="A27" location="NPCE!A1" display="NPCE"/>
    <hyperlink ref="A48" location="SASO!A1" display="SASO"/>
    <hyperlink ref="A51" location="TBIO!A1" display="TBIO"/>
    <hyperlink ref="A52" location="UESA!A1" display="UESA"/>
    <hyperlink ref="A50" location="STJU!A1" display="STJU"/>
    <hyperlink ref="A42" location="PORT!A1" display="PORT"/>
    <hyperlink ref="A31" location="OURQ!A1" display="OURQ"/>
    <hyperlink ref="A30" location="OPFE!A1" display="OPFE"/>
    <hyperlink ref="A43" location="PSEB!A1" display="PSEB"/>
    <hyperlink ref="A33" location="PAVB!A1" display="PAVB"/>
    <hyperlink ref="A38" location="PETB!A1" display="PETB"/>
    <hyperlink ref="A34" location="PELB!A1" display="PELB"/>
    <hyperlink ref="A45" location="PSVA!A1" display="PSVA"/>
    <hyperlink ref="A29" location="OPFB!A1" display="OPFB"/>
    <hyperlink ref="A41" location="PMPH!A1" display="PMPH"/>
    <hyperlink ref="A47" location="SABL!A1" display="SABL"/>
    <hyperlink ref="A28" location="NPCR!A1" display="NPCR"/>
    <hyperlink ref="A26" location="NPCB!A1" display="NPCB"/>
    <hyperlink ref="A35" location="PELN!A1" display="PELN"/>
    <hyperlink ref="A36" location="PELP!A1" display="PELP"/>
    <hyperlink ref="A39" location="PETE!A1" display="PETE"/>
    <hyperlink ref="A40" location="PETR!A1" display="PETR"/>
    <hyperlink ref="A49" location="SESE!A1" display="SESE"/>
    <hyperlink ref="A53" location="VAUT!A1" display="VAUT"/>
    <hyperlink ref="A54" location="VSEL!A1" display="VSE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DCFED"/>
  </sheetPr>
  <dimension ref="A1:XFD92"/>
  <sheetViews>
    <sheetView topLeftCell="A37" workbookViewId="0">
      <selection activeCell="G59" sqref="G59"/>
    </sheetView>
  </sheetViews>
  <sheetFormatPr baseColWidth="10" defaultRowHeight="15"/>
  <cols>
    <col min="1" max="1" width="20.42578125" style="46" bestFit="1" customWidth="1"/>
    <col min="2" max="2" width="15.7109375" style="46" customWidth="1"/>
    <col min="3" max="3" width="50.140625" style="46" bestFit="1" customWidth="1"/>
    <col min="4" max="4" width="6.85546875" style="46" bestFit="1" customWidth="1"/>
    <col min="5" max="5" width="7.5703125" style="46" customWidth="1"/>
    <col min="6" max="6" width="16.28515625" style="46" bestFit="1" customWidth="1"/>
    <col min="7" max="7" width="32.5703125" style="46" bestFit="1" customWidth="1"/>
    <col min="8" max="8" width="15.140625" bestFit="1" customWidth="1"/>
    <col min="10" max="10" width="16.42578125" bestFit="1" customWidth="1"/>
  </cols>
  <sheetData>
    <row r="1" spans="1:30" ht="15.75" thickBot="1">
      <c r="A1"/>
      <c r="B1"/>
      <c r="C1"/>
      <c r="D1"/>
      <c r="E1"/>
      <c r="F1"/>
      <c r="G1"/>
    </row>
    <row r="2" spans="1:30" ht="15.75" thickBot="1">
      <c r="A2" s="109" t="s">
        <v>0</v>
      </c>
      <c r="B2" s="2029" t="s">
        <v>734</v>
      </c>
      <c r="C2" s="2144"/>
      <c r="D2" s="2145"/>
      <c r="E2" s="110"/>
      <c r="F2" s="110"/>
      <c r="G2" s="111" t="s">
        <v>462</v>
      </c>
      <c r="H2" s="112" t="s">
        <v>14</v>
      </c>
    </row>
    <row r="3" spans="1:30" ht="15.75" thickBot="1">
      <c r="A3" s="113" t="s">
        <v>344</v>
      </c>
      <c r="B3" s="2029" t="s">
        <v>734</v>
      </c>
      <c r="C3" s="2175"/>
      <c r="D3" s="2176"/>
      <c r="E3" s="110"/>
      <c r="F3" s="110"/>
      <c r="G3" s="114" t="s">
        <v>10</v>
      </c>
      <c r="H3" s="112" t="s">
        <v>16</v>
      </c>
      <c r="J3" s="14" t="s">
        <v>73</v>
      </c>
      <c r="K3" s="15"/>
    </row>
    <row r="4" spans="1:30" ht="15.75" thickBot="1">
      <c r="A4" s="114" t="s">
        <v>3</v>
      </c>
      <c r="B4" s="1823" t="s">
        <v>749</v>
      </c>
      <c r="C4" s="2144"/>
      <c r="D4" s="2145"/>
      <c r="E4" s="115"/>
      <c r="F4" s="110"/>
      <c r="G4" s="116" t="s">
        <v>26</v>
      </c>
      <c r="H4" s="117">
        <v>10</v>
      </c>
      <c r="J4" s="15"/>
      <c r="K4" s="15"/>
    </row>
    <row r="5" spans="1:30" ht="15.75" customHeight="1" thickBot="1">
      <c r="A5" s="110"/>
      <c r="B5" s="110"/>
      <c r="C5" s="110"/>
      <c r="D5" s="110"/>
      <c r="E5" s="110"/>
      <c r="F5" s="110"/>
      <c r="G5" s="110"/>
      <c r="H5" s="110"/>
      <c r="J5" s="13" t="s">
        <v>381</v>
      </c>
    </row>
    <row r="6" spans="1:30" ht="313.5" customHeight="1" thickBot="1">
      <c r="A6" s="109" t="s">
        <v>465</v>
      </c>
      <c r="B6" s="1823" t="s">
        <v>1657</v>
      </c>
      <c r="C6" s="2175"/>
      <c r="D6" s="2176"/>
      <c r="E6" s="110"/>
      <c r="F6" s="110"/>
      <c r="G6" s="118" t="s">
        <v>466</v>
      </c>
      <c r="H6" s="178" t="s">
        <v>736</v>
      </c>
    </row>
    <row r="7" spans="1:30" ht="15.75" thickBot="1">
      <c r="A7"/>
      <c r="B7" s="110"/>
      <c r="C7" s="110"/>
      <c r="D7" s="110"/>
      <c r="E7" s="110"/>
      <c r="F7" s="110"/>
      <c r="G7" s="120"/>
      <c r="H7" s="110"/>
    </row>
    <row r="8" spans="1:30" ht="30.75" thickBot="1">
      <c r="A8" s="121" t="s">
        <v>7</v>
      </c>
      <c r="B8" s="1823" t="s">
        <v>750</v>
      </c>
      <c r="C8" s="2144"/>
      <c r="D8" s="2145"/>
      <c r="E8" s="115"/>
      <c r="F8" s="122"/>
      <c r="G8" s="121" t="s">
        <v>469</v>
      </c>
      <c r="H8" s="123" t="s">
        <v>537</v>
      </c>
      <c r="J8" s="515" t="s">
        <v>751</v>
      </c>
    </row>
    <row r="9" spans="1:30">
      <c r="A9"/>
      <c r="B9" s="110"/>
      <c r="C9" s="110"/>
      <c r="D9" s="110"/>
      <c r="E9" s="110"/>
      <c r="F9" s="110"/>
      <c r="G9" s="120"/>
      <c r="H9" s="110"/>
    </row>
    <row r="10" spans="1:30" ht="291.75" customHeight="1">
      <c r="A10" s="2174" t="s">
        <v>471</v>
      </c>
      <c r="B10" s="2148"/>
      <c r="C10" s="1805" t="s">
        <v>1656</v>
      </c>
      <c r="D10" s="1805"/>
      <c r="E10" s="1805"/>
      <c r="F10" s="1805"/>
      <c r="G10" s="1805"/>
      <c r="H10" s="1805"/>
      <c r="J10" s="1821"/>
    </row>
    <row r="11" spans="1:30">
      <c r="A11" s="126"/>
      <c r="B11" s="115"/>
      <c r="C11" s="115"/>
      <c r="D11" s="115"/>
      <c r="E11" s="115"/>
      <c r="F11" s="122"/>
      <c r="G11" s="125"/>
      <c r="H11" s="125"/>
      <c r="J11" s="1821"/>
    </row>
    <row r="12" spans="1:30">
      <c r="A12" s="517"/>
      <c r="B12" s="115"/>
      <c r="C12" s="115"/>
      <c r="D12" s="115"/>
      <c r="E12" s="2181" t="s">
        <v>473</v>
      </c>
      <c r="F12" s="2148"/>
      <c r="G12" s="2148"/>
      <c r="H12" s="2148"/>
    </row>
    <row r="13" spans="1:30" ht="15" customHeight="1">
      <c r="A13" s="110"/>
      <c r="B13" s="110"/>
      <c r="C13" s="110"/>
      <c r="D13" s="110"/>
      <c r="E13" s="2141"/>
      <c r="F13" s="2141"/>
      <c r="G13" s="2141"/>
      <c r="H13" s="2141"/>
      <c r="I13" s="791"/>
      <c r="J13" s="791"/>
      <c r="K13" s="791"/>
      <c r="L13" s="2191">
        <v>2025</v>
      </c>
      <c r="M13" s="2193"/>
      <c r="N13" s="2193"/>
      <c r="O13" s="2193"/>
      <c r="P13" s="2194"/>
      <c r="Q13" s="2191">
        <v>2026</v>
      </c>
      <c r="R13" s="2192"/>
      <c r="S13" s="2192"/>
      <c r="T13" s="2193"/>
      <c r="U13" s="2193"/>
      <c r="V13" s="2193"/>
      <c r="W13" s="2194"/>
      <c r="X13" s="2191">
        <v>2027</v>
      </c>
      <c r="Y13" s="2192"/>
      <c r="Z13" s="2192"/>
      <c r="AA13" s="2193"/>
      <c r="AB13" s="2193"/>
      <c r="AC13" s="2193"/>
      <c r="AD13" s="2194"/>
    </row>
    <row r="14" spans="1:30" ht="60.75" thickBot="1">
      <c r="A14" s="2184" t="s">
        <v>5</v>
      </c>
      <c r="B14" s="2137"/>
      <c r="C14" s="128" t="s">
        <v>1</v>
      </c>
      <c r="D14" s="128" t="s">
        <v>260</v>
      </c>
      <c r="E14" s="129" t="s">
        <v>474</v>
      </c>
      <c r="F14" s="2182" t="s">
        <v>6</v>
      </c>
      <c r="G14" s="2097"/>
      <c r="H14" s="2098"/>
      <c r="I14" s="792" t="s">
        <v>260</v>
      </c>
      <c r="J14" s="820" t="s">
        <v>1114</v>
      </c>
      <c r="K14" s="820" t="s">
        <v>1115</v>
      </c>
      <c r="L14" s="820" t="s">
        <v>1116</v>
      </c>
      <c r="M14" s="807" t="s">
        <v>1117</v>
      </c>
      <c r="N14" s="808" t="s">
        <v>945</v>
      </c>
      <c r="O14" s="807" t="s">
        <v>946</v>
      </c>
      <c r="P14" s="809" t="s">
        <v>947</v>
      </c>
      <c r="Q14" s="820" t="s">
        <v>1114</v>
      </c>
      <c r="R14" s="820" t="s">
        <v>1115</v>
      </c>
      <c r="S14" s="820" t="s">
        <v>1116</v>
      </c>
      <c r="T14" s="807" t="s">
        <v>1117</v>
      </c>
      <c r="U14" s="808" t="s">
        <v>945</v>
      </c>
      <c r="V14" s="807" t="s">
        <v>946</v>
      </c>
      <c r="W14" s="809" t="s">
        <v>947</v>
      </c>
      <c r="X14" s="820" t="s">
        <v>1114</v>
      </c>
      <c r="Y14" s="820" t="s">
        <v>1115</v>
      </c>
      <c r="Z14" s="820" t="s">
        <v>1116</v>
      </c>
      <c r="AA14" s="807" t="s">
        <v>1117</v>
      </c>
      <c r="AB14" s="808" t="s">
        <v>945</v>
      </c>
      <c r="AC14" s="807" t="s">
        <v>946</v>
      </c>
      <c r="AD14" s="809" t="s">
        <v>947</v>
      </c>
    </row>
    <row r="15" spans="1:30" ht="30" customHeight="1">
      <c r="A15" s="2183" t="s">
        <v>17</v>
      </c>
      <c r="B15" s="2140"/>
      <c r="C15" s="130" t="s">
        <v>59</v>
      </c>
      <c r="D15" s="131" t="s">
        <v>251</v>
      </c>
      <c r="E15" s="132"/>
      <c r="F15" s="1828"/>
      <c r="G15" s="2140"/>
      <c r="H15" s="2137"/>
      <c r="I15" s="793" t="s">
        <v>251</v>
      </c>
      <c r="J15" s="823"/>
      <c r="K15" s="810"/>
      <c r="L15" s="810"/>
      <c r="M15" s="810"/>
      <c r="N15" s="810"/>
      <c r="O15" s="810"/>
      <c r="P15" s="811"/>
      <c r="Q15" s="823"/>
      <c r="R15" s="810"/>
      <c r="S15" s="810"/>
      <c r="T15" s="810"/>
      <c r="U15" s="810"/>
      <c r="V15" s="810"/>
      <c r="W15" s="811"/>
      <c r="X15" s="823"/>
      <c r="Y15" s="810"/>
      <c r="Z15" s="810"/>
      <c r="AA15" s="810"/>
      <c r="AB15" s="810"/>
      <c r="AC15" s="810"/>
      <c r="AD15" s="812"/>
    </row>
    <row r="16" spans="1:30" ht="30" customHeight="1">
      <c r="A16" s="2148"/>
      <c r="B16" s="2148"/>
      <c r="C16" s="133" t="s">
        <v>18</v>
      </c>
      <c r="D16" s="134" t="s">
        <v>168</v>
      </c>
      <c r="E16" s="135"/>
      <c r="F16" s="1845"/>
      <c r="G16" s="1845"/>
      <c r="H16" s="2139"/>
      <c r="I16" s="794" t="s">
        <v>168</v>
      </c>
      <c r="J16" s="824"/>
      <c r="K16" s="825"/>
      <c r="L16" s="825"/>
      <c r="M16" s="813"/>
      <c r="N16" s="813"/>
      <c r="O16" s="813"/>
      <c r="P16" s="813"/>
      <c r="Q16" s="824"/>
      <c r="R16" s="825"/>
      <c r="S16" s="825"/>
      <c r="T16" s="813"/>
      <c r="U16" s="813"/>
      <c r="V16" s="813"/>
      <c r="W16" s="813"/>
      <c r="X16" s="824"/>
      <c r="Y16" s="825"/>
      <c r="Z16" s="825"/>
      <c r="AA16" s="813"/>
      <c r="AB16" s="813"/>
      <c r="AC16" s="813"/>
      <c r="AD16" s="814"/>
    </row>
    <row r="17" spans="1:16384" ht="30" customHeight="1" thickBot="1">
      <c r="A17" s="2141"/>
      <c r="B17" s="2141"/>
      <c r="C17" s="136" t="s">
        <v>19</v>
      </c>
      <c r="D17" s="137" t="s">
        <v>233</v>
      </c>
      <c r="E17" s="138"/>
      <c r="F17" s="2141"/>
      <c r="G17" s="2141"/>
      <c r="H17" s="2142"/>
      <c r="I17" s="795" t="s">
        <v>233</v>
      </c>
      <c r="J17" s="822"/>
      <c r="K17" s="813"/>
      <c r="L17" s="813"/>
      <c r="M17" s="813"/>
      <c r="N17" s="813"/>
      <c r="O17" s="813"/>
      <c r="P17" s="813"/>
      <c r="Q17" s="822"/>
      <c r="R17" s="813"/>
      <c r="S17" s="813"/>
      <c r="T17" s="813"/>
      <c r="U17" s="813"/>
      <c r="V17" s="813"/>
      <c r="W17" s="813"/>
      <c r="X17" s="822"/>
      <c r="Y17" s="813"/>
      <c r="Z17" s="813"/>
      <c r="AA17" s="813"/>
      <c r="AB17" s="813"/>
      <c r="AC17" s="813"/>
      <c r="AD17" s="814"/>
    </row>
    <row r="18" spans="1:16384" ht="30" customHeight="1">
      <c r="A18" s="2183" t="s">
        <v>20</v>
      </c>
      <c r="B18" s="2140"/>
      <c r="C18" s="130" t="s">
        <v>54</v>
      </c>
      <c r="D18" s="137" t="s">
        <v>261</v>
      </c>
      <c r="E18" s="138"/>
      <c r="F18" s="1828"/>
      <c r="G18" s="2140"/>
      <c r="H18" s="2137"/>
      <c r="I18" s="795" t="s">
        <v>261</v>
      </c>
      <c r="J18" s="822"/>
      <c r="K18" s="813"/>
      <c r="L18" s="813"/>
      <c r="M18" s="813"/>
      <c r="N18" s="813"/>
      <c r="O18" s="813"/>
      <c r="P18" s="813"/>
      <c r="Q18" s="822"/>
      <c r="R18" s="813"/>
      <c r="S18" s="813"/>
      <c r="T18" s="813"/>
      <c r="U18" s="813"/>
      <c r="V18" s="813"/>
      <c r="W18" s="813"/>
      <c r="X18" s="822"/>
      <c r="Y18" s="813"/>
      <c r="Z18" s="813"/>
      <c r="AA18" s="813"/>
      <c r="AB18" s="813"/>
      <c r="AC18" s="813"/>
      <c r="AD18" s="814"/>
    </row>
    <row r="19" spans="1:16384" s="19" customFormat="1" ht="30" customHeight="1">
      <c r="A19" s="2148"/>
      <c r="B19" s="2148"/>
      <c r="C19" s="139" t="s">
        <v>21</v>
      </c>
      <c r="D19" s="137" t="s">
        <v>234</v>
      </c>
      <c r="E19" s="138"/>
      <c r="F19" s="1845"/>
      <c r="G19" s="1845"/>
      <c r="H19" s="2139"/>
      <c r="I19" s="795" t="s">
        <v>234</v>
      </c>
      <c r="J19" s="822"/>
      <c r="K19" s="813"/>
      <c r="L19" s="813"/>
      <c r="M19" s="813"/>
      <c r="N19" s="813"/>
      <c r="O19" s="813"/>
      <c r="P19" s="813"/>
      <c r="Q19" s="822"/>
      <c r="R19" s="813"/>
      <c r="S19" s="813"/>
      <c r="T19" s="813"/>
      <c r="U19" s="813"/>
      <c r="V19" s="813"/>
      <c r="W19" s="813"/>
      <c r="X19" s="822"/>
      <c r="Y19" s="813"/>
      <c r="Z19" s="813"/>
      <c r="AA19" s="813"/>
      <c r="AB19" s="813"/>
      <c r="AC19" s="813"/>
      <c r="AD19" s="814"/>
    </row>
    <row r="20" spans="1:16384" s="17" customFormat="1" ht="31.5" customHeight="1" thickBot="1">
      <c r="A20" s="2148"/>
      <c r="B20" s="2148"/>
      <c r="C20" s="136" t="s">
        <v>22</v>
      </c>
      <c r="D20" s="137" t="s">
        <v>235</v>
      </c>
      <c r="E20" s="138"/>
      <c r="F20" s="2141"/>
      <c r="G20" s="2141"/>
      <c r="H20" s="2142"/>
      <c r="I20" s="795" t="s">
        <v>235</v>
      </c>
      <c r="J20" s="822"/>
      <c r="K20" s="813"/>
      <c r="L20" s="813"/>
      <c r="M20" s="813"/>
      <c r="N20" s="813"/>
      <c r="O20" s="813"/>
      <c r="P20" s="813"/>
      <c r="Q20" s="822"/>
      <c r="R20" s="813"/>
      <c r="S20" s="813"/>
      <c r="T20" s="813"/>
      <c r="U20" s="813"/>
      <c r="V20" s="813"/>
      <c r="W20" s="813"/>
      <c r="X20" s="822"/>
      <c r="Y20" s="813"/>
      <c r="Z20" s="813"/>
      <c r="AA20" s="813"/>
      <c r="AB20" s="813"/>
      <c r="AC20" s="813"/>
      <c r="AD20" s="814"/>
      <c r="AE20" s="16"/>
      <c r="AF20" s="19"/>
      <c r="AG20" s="16"/>
      <c r="AH20" s="19"/>
      <c r="AI20" s="16"/>
      <c r="AJ20" s="19"/>
      <c r="AK20" s="16"/>
      <c r="AL20" s="19"/>
      <c r="AM20" s="16"/>
      <c r="AN20" s="19"/>
      <c r="AO20" s="16"/>
      <c r="AP20" s="19"/>
      <c r="AQ20" s="16"/>
      <c r="AR20" s="19"/>
      <c r="AS20" s="16"/>
      <c r="AT20" s="19"/>
      <c r="AU20" s="16"/>
      <c r="AV20" s="19"/>
      <c r="AW20" s="16"/>
      <c r="AX20" s="19"/>
      <c r="AY20" s="16"/>
      <c r="AZ20" s="19"/>
      <c r="BA20" s="16"/>
      <c r="BB20" s="19"/>
      <c r="BC20" s="16"/>
      <c r="BD20" s="19"/>
      <c r="BE20" s="16"/>
      <c r="BF20" s="19"/>
      <c r="BG20" s="16"/>
      <c r="BH20" s="19"/>
      <c r="BI20" s="16"/>
      <c r="BJ20" s="19"/>
      <c r="BK20" s="16"/>
      <c r="BL20" s="19"/>
      <c r="BM20" s="16"/>
      <c r="BN20" s="19"/>
      <c r="BO20" s="16"/>
      <c r="BP20" s="19"/>
      <c r="BQ20" s="16"/>
      <c r="BR20" s="19"/>
      <c r="BS20" s="16"/>
      <c r="BT20" s="19"/>
      <c r="BU20" s="16"/>
      <c r="BV20" s="19"/>
      <c r="BW20" s="16"/>
      <c r="BX20" s="19"/>
      <c r="BY20" s="16"/>
      <c r="BZ20" s="19"/>
      <c r="CA20" s="16"/>
      <c r="CB20" s="19"/>
      <c r="CC20" s="16"/>
      <c r="CD20" s="19"/>
      <c r="CE20" s="16"/>
      <c r="CF20" s="19"/>
      <c r="CG20" s="16"/>
      <c r="CH20" s="19"/>
      <c r="CI20" s="16"/>
      <c r="CJ20" s="19"/>
      <c r="CK20" s="16"/>
      <c r="CL20" s="19"/>
      <c r="CM20" s="16"/>
      <c r="CN20" s="19"/>
      <c r="CO20" s="16"/>
      <c r="CP20" s="19"/>
      <c r="CQ20" s="16"/>
      <c r="CR20" s="19"/>
      <c r="CS20" s="16"/>
      <c r="CT20" s="19"/>
      <c r="CU20" s="16"/>
      <c r="CV20" s="19"/>
      <c r="CW20" s="16"/>
      <c r="CX20" s="19"/>
      <c r="CY20" s="16"/>
      <c r="CZ20" s="19"/>
      <c r="DA20" s="16"/>
      <c r="DB20" s="19"/>
      <c r="DC20" s="16"/>
      <c r="DD20" s="19"/>
      <c r="DE20" s="16"/>
      <c r="DF20" s="19"/>
      <c r="DG20" s="16"/>
      <c r="DH20" s="19"/>
      <c r="DI20" s="16"/>
      <c r="DJ20" s="19"/>
      <c r="DK20" s="16"/>
      <c r="DL20" s="19"/>
      <c r="DM20" s="16"/>
      <c r="DN20" s="19"/>
      <c r="DO20" s="16"/>
      <c r="DP20" s="19"/>
      <c r="DQ20" s="16"/>
      <c r="DR20" s="19"/>
      <c r="DS20" s="16"/>
      <c r="DT20" s="19"/>
      <c r="DU20" s="16"/>
      <c r="DV20" s="19"/>
      <c r="DW20" s="16"/>
      <c r="DX20" s="19"/>
      <c r="DY20" s="16"/>
      <c r="DZ20" s="19"/>
      <c r="EA20" s="16"/>
      <c r="EB20" s="19"/>
      <c r="EC20" s="16"/>
      <c r="ED20" s="19"/>
      <c r="EE20" s="16"/>
      <c r="EF20" s="19"/>
      <c r="EG20" s="16"/>
      <c r="EH20" s="19"/>
      <c r="EI20" s="16"/>
      <c r="EJ20" s="19"/>
      <c r="EK20" s="16"/>
      <c r="EL20" s="19"/>
      <c r="EM20" s="16"/>
      <c r="EN20" s="19"/>
      <c r="EO20" s="16"/>
      <c r="EP20" s="19"/>
      <c r="EQ20" s="16"/>
      <c r="ER20" s="19"/>
      <c r="ES20" s="16"/>
      <c r="ET20" s="19"/>
      <c r="EU20" s="16"/>
      <c r="EV20" s="19"/>
      <c r="EW20" s="16"/>
      <c r="EX20" s="19"/>
      <c r="EY20" s="16"/>
      <c r="EZ20" s="19"/>
      <c r="FA20" s="16"/>
      <c r="FB20" s="19"/>
      <c r="FC20" s="16"/>
      <c r="FD20" s="19"/>
      <c r="FE20" s="16"/>
      <c r="FF20" s="19"/>
      <c r="FG20" s="16"/>
      <c r="FH20" s="19"/>
      <c r="FI20" s="16"/>
      <c r="FJ20" s="19"/>
      <c r="FK20" s="16"/>
      <c r="FL20" s="19"/>
      <c r="FM20" s="16"/>
      <c r="FN20" s="19"/>
      <c r="FO20" s="16"/>
      <c r="FP20" s="19"/>
      <c r="FQ20" s="16"/>
      <c r="FR20" s="19"/>
      <c r="FS20" s="16"/>
      <c r="FT20" s="19"/>
      <c r="FU20" s="16"/>
      <c r="FV20" s="19"/>
      <c r="FW20" s="16"/>
      <c r="FX20" s="19"/>
      <c r="FY20" s="16"/>
      <c r="FZ20" s="19"/>
      <c r="GA20" s="16"/>
      <c r="GB20" s="19"/>
      <c r="GC20" s="16"/>
      <c r="GD20" s="19"/>
      <c r="GE20" s="16"/>
      <c r="GF20" s="19"/>
      <c r="GG20" s="16"/>
      <c r="GH20" s="19"/>
      <c r="GI20" s="16"/>
      <c r="GJ20" s="19"/>
      <c r="GK20" s="16"/>
      <c r="GL20" s="19"/>
      <c r="GM20" s="16"/>
      <c r="GN20" s="19"/>
      <c r="GO20" s="16"/>
      <c r="GP20" s="19"/>
      <c r="GQ20" s="16"/>
      <c r="GR20" s="19"/>
      <c r="GS20" s="16"/>
      <c r="GT20" s="19"/>
      <c r="GU20" s="16"/>
      <c r="GV20" s="19"/>
      <c r="GW20" s="16"/>
      <c r="GX20" s="19"/>
      <c r="GY20" s="16"/>
      <c r="GZ20" s="19"/>
      <c r="HA20" s="16"/>
      <c r="HB20" s="19"/>
      <c r="HC20" s="16"/>
      <c r="HD20" s="19"/>
      <c r="HE20" s="16"/>
      <c r="HF20" s="19"/>
      <c r="HG20" s="16"/>
      <c r="HH20" s="19"/>
      <c r="HI20" s="16"/>
      <c r="HJ20" s="19"/>
      <c r="HK20" s="16"/>
      <c r="HL20" s="19"/>
      <c r="HM20" s="16"/>
      <c r="HN20" s="19"/>
      <c r="HO20" s="16"/>
      <c r="HP20" s="19"/>
      <c r="HQ20" s="16"/>
      <c r="HR20" s="19"/>
      <c r="HS20" s="16"/>
      <c r="HT20" s="19"/>
      <c r="HU20" s="16"/>
      <c r="HV20" s="19"/>
      <c r="HW20" s="16"/>
      <c r="HX20" s="19"/>
      <c r="HY20" s="16"/>
      <c r="HZ20" s="19"/>
      <c r="IA20" s="16"/>
      <c r="IB20" s="19"/>
      <c r="IC20" s="16"/>
      <c r="ID20" s="19"/>
      <c r="IE20" s="16"/>
      <c r="IF20" s="19"/>
      <c r="IG20" s="16"/>
      <c r="IH20" s="19"/>
      <c r="II20" s="16"/>
      <c r="IJ20" s="19"/>
      <c r="IK20" s="16"/>
      <c r="IL20" s="19"/>
      <c r="IM20" s="16"/>
      <c r="IN20" s="19"/>
      <c r="IO20" s="16"/>
      <c r="IP20" s="19"/>
      <c r="IQ20" s="16"/>
      <c r="IR20" s="19"/>
      <c r="IS20" s="16"/>
      <c r="IT20" s="19"/>
      <c r="IU20" s="16"/>
      <c r="IV20" s="19"/>
      <c r="IW20" s="16"/>
      <c r="IX20" s="19"/>
      <c r="IY20" s="16"/>
      <c r="IZ20" s="19"/>
      <c r="JA20" s="16"/>
      <c r="JB20" s="19"/>
      <c r="JC20" s="16"/>
      <c r="JD20" s="19"/>
      <c r="JE20" s="16"/>
      <c r="JF20" s="19"/>
      <c r="JG20" s="16"/>
      <c r="JH20" s="19"/>
      <c r="JI20" s="16"/>
      <c r="JJ20" s="19"/>
      <c r="JK20" s="16"/>
      <c r="JL20" s="19"/>
      <c r="JM20" s="16"/>
      <c r="JN20" s="19"/>
      <c r="JO20" s="16"/>
      <c r="JP20" s="19"/>
      <c r="JQ20" s="16"/>
      <c r="JR20" s="19"/>
      <c r="JS20" s="16"/>
      <c r="JT20" s="19"/>
      <c r="JU20" s="16"/>
      <c r="JV20" s="19"/>
      <c r="JW20" s="16"/>
      <c r="JX20" s="19"/>
      <c r="JY20" s="16"/>
      <c r="JZ20" s="19"/>
      <c r="KA20" s="16"/>
      <c r="KB20" s="19"/>
      <c r="KC20" s="16"/>
      <c r="KD20" s="19"/>
      <c r="KE20" s="16"/>
      <c r="KF20" s="19"/>
      <c r="KG20" s="16"/>
      <c r="KH20" s="19"/>
      <c r="KI20" s="16"/>
      <c r="KJ20" s="19"/>
      <c r="KK20" s="16"/>
      <c r="KL20" s="19"/>
      <c r="KM20" s="16"/>
      <c r="KN20" s="19"/>
      <c r="KO20" s="16"/>
      <c r="KP20" s="19"/>
      <c r="KQ20" s="16"/>
      <c r="KR20" s="19"/>
      <c r="KS20" s="16"/>
      <c r="KT20" s="19"/>
      <c r="KU20" s="16"/>
      <c r="KV20" s="19"/>
      <c r="KW20" s="16"/>
      <c r="KX20" s="19"/>
      <c r="KY20" s="16"/>
      <c r="KZ20" s="19"/>
      <c r="LA20" s="16"/>
      <c r="LB20" s="19"/>
      <c r="LC20" s="16"/>
      <c r="LD20" s="19"/>
      <c r="LE20" s="16"/>
      <c r="LF20" s="19"/>
      <c r="LG20" s="16"/>
      <c r="LH20" s="19"/>
      <c r="LI20" s="16"/>
      <c r="LJ20" s="19"/>
      <c r="LK20" s="16"/>
      <c r="LL20" s="19"/>
      <c r="LM20" s="16"/>
      <c r="LN20" s="19"/>
      <c r="LO20" s="16"/>
      <c r="LP20" s="19"/>
      <c r="LQ20" s="16"/>
      <c r="LR20" s="19"/>
      <c r="LS20" s="16"/>
      <c r="LT20" s="19"/>
      <c r="LU20" s="16"/>
      <c r="LV20" s="19"/>
      <c r="LW20" s="16"/>
      <c r="LX20" s="19"/>
      <c r="LY20" s="16"/>
      <c r="LZ20" s="19"/>
      <c r="MA20" s="16"/>
      <c r="MB20" s="19"/>
      <c r="MC20" s="16"/>
      <c r="MD20" s="19"/>
      <c r="ME20" s="16"/>
      <c r="MF20" s="19"/>
      <c r="MG20" s="16"/>
      <c r="MH20" s="19"/>
      <c r="MI20" s="16"/>
      <c r="MJ20" s="19"/>
      <c r="MK20" s="16"/>
      <c r="ML20" s="19"/>
      <c r="MM20" s="16"/>
      <c r="MN20" s="19"/>
      <c r="MO20" s="16"/>
      <c r="MP20" s="19"/>
      <c r="MQ20" s="16"/>
      <c r="MR20" s="19"/>
      <c r="MS20" s="16"/>
      <c r="MT20" s="19"/>
      <c r="MU20" s="16"/>
      <c r="MV20" s="19"/>
      <c r="MW20" s="16"/>
      <c r="MX20" s="19"/>
      <c r="MY20" s="16"/>
      <c r="MZ20" s="19"/>
      <c r="NA20" s="16"/>
      <c r="NB20" s="19"/>
      <c r="NC20" s="16"/>
      <c r="ND20" s="19"/>
      <c r="NE20" s="16"/>
      <c r="NF20" s="19"/>
      <c r="NG20" s="16"/>
      <c r="NH20" s="19"/>
      <c r="NI20" s="16"/>
      <c r="NJ20" s="19"/>
      <c r="NK20" s="16"/>
      <c r="NL20" s="19"/>
      <c r="NM20" s="16"/>
      <c r="NN20" s="19"/>
      <c r="NO20" s="16"/>
      <c r="NP20" s="19"/>
      <c r="NQ20" s="16"/>
      <c r="NR20" s="19"/>
      <c r="NS20" s="16"/>
      <c r="NT20" s="19"/>
      <c r="NU20" s="16"/>
      <c r="NV20" s="19"/>
      <c r="NW20" s="16"/>
      <c r="NX20" s="19"/>
      <c r="NY20" s="16"/>
      <c r="NZ20" s="19"/>
      <c r="OA20" s="16"/>
      <c r="OB20" s="19"/>
      <c r="OC20" s="16"/>
      <c r="OD20" s="19"/>
      <c r="OE20" s="16"/>
      <c r="OF20" s="19"/>
      <c r="OG20" s="16"/>
      <c r="OH20" s="19"/>
      <c r="OI20" s="16"/>
      <c r="OJ20" s="19"/>
      <c r="OK20" s="16"/>
      <c r="OL20" s="19"/>
      <c r="OM20" s="16"/>
      <c r="ON20" s="19"/>
      <c r="OO20" s="16"/>
      <c r="OP20" s="19"/>
      <c r="OQ20" s="16"/>
      <c r="OR20" s="19"/>
      <c r="OS20" s="16"/>
      <c r="OT20" s="19"/>
      <c r="OU20" s="16"/>
      <c r="OV20" s="19"/>
      <c r="OW20" s="16"/>
      <c r="OX20" s="19"/>
      <c r="OY20" s="16"/>
      <c r="OZ20" s="19"/>
      <c r="PA20" s="16"/>
      <c r="PB20" s="19"/>
      <c r="PC20" s="16"/>
      <c r="PD20" s="19"/>
      <c r="PE20" s="16"/>
      <c r="PF20" s="19"/>
      <c r="PG20" s="16"/>
      <c r="PH20" s="19"/>
      <c r="PI20" s="16"/>
      <c r="PJ20" s="19"/>
      <c r="PK20" s="16"/>
      <c r="PL20" s="19"/>
      <c r="PM20" s="16"/>
      <c r="PN20" s="19"/>
      <c r="PO20" s="16"/>
      <c r="PP20" s="19"/>
      <c r="PQ20" s="16"/>
      <c r="PR20" s="19"/>
      <c r="PS20" s="16"/>
      <c r="PT20" s="19"/>
      <c r="PU20" s="16"/>
      <c r="PV20" s="19"/>
      <c r="PW20" s="16"/>
      <c r="PX20" s="19"/>
      <c r="PY20" s="16"/>
      <c r="PZ20" s="19"/>
      <c r="QA20" s="16"/>
      <c r="QB20" s="19"/>
      <c r="QC20" s="16"/>
      <c r="QD20" s="19"/>
      <c r="QE20" s="16"/>
      <c r="QF20" s="19"/>
      <c r="QG20" s="16"/>
      <c r="QH20" s="19"/>
      <c r="QI20" s="16"/>
      <c r="QJ20" s="19"/>
      <c r="QK20" s="16"/>
      <c r="QL20" s="19"/>
      <c r="QM20" s="16"/>
      <c r="QN20" s="19"/>
      <c r="QO20" s="16"/>
      <c r="QP20" s="19"/>
      <c r="QQ20" s="16"/>
      <c r="QR20" s="19"/>
      <c r="QS20" s="16"/>
      <c r="QT20" s="19"/>
      <c r="QU20" s="16"/>
      <c r="QV20" s="19"/>
      <c r="QW20" s="16"/>
      <c r="QX20" s="19"/>
      <c r="QY20" s="16"/>
      <c r="QZ20" s="19"/>
      <c r="RA20" s="16"/>
      <c r="RB20" s="19"/>
      <c r="RC20" s="16"/>
      <c r="RD20" s="19"/>
      <c r="RE20" s="16"/>
      <c r="RF20" s="19"/>
      <c r="RG20" s="16"/>
      <c r="RH20" s="19"/>
      <c r="RI20" s="16"/>
      <c r="RJ20" s="19"/>
      <c r="RK20" s="16"/>
      <c r="RL20" s="19"/>
      <c r="RM20" s="16"/>
      <c r="RN20" s="19"/>
      <c r="RO20" s="16"/>
      <c r="RP20" s="19"/>
      <c r="RQ20" s="16"/>
      <c r="RR20" s="19"/>
      <c r="RS20" s="16"/>
      <c r="RT20" s="19"/>
      <c r="RU20" s="16"/>
      <c r="RV20" s="19"/>
      <c r="RW20" s="16"/>
      <c r="RX20" s="19"/>
      <c r="RY20" s="16"/>
      <c r="RZ20" s="19"/>
      <c r="SA20" s="16"/>
      <c r="SB20" s="19"/>
      <c r="SC20" s="16"/>
      <c r="SD20" s="19"/>
      <c r="SE20" s="16"/>
      <c r="SF20" s="19"/>
      <c r="SG20" s="16"/>
      <c r="SH20" s="19"/>
      <c r="SI20" s="16"/>
      <c r="SJ20" s="19"/>
      <c r="SK20" s="16"/>
      <c r="SL20" s="19"/>
      <c r="SM20" s="16"/>
      <c r="SN20" s="19"/>
      <c r="SO20" s="16"/>
      <c r="SP20" s="19"/>
      <c r="SQ20" s="16"/>
      <c r="SR20" s="19"/>
      <c r="SS20" s="16"/>
      <c r="ST20" s="19"/>
      <c r="SU20" s="16"/>
      <c r="SV20" s="19"/>
      <c r="SW20" s="16"/>
      <c r="SX20" s="19"/>
      <c r="SY20" s="16"/>
      <c r="SZ20" s="19"/>
      <c r="TA20" s="16"/>
      <c r="TB20" s="19"/>
      <c r="TC20" s="16"/>
      <c r="TD20" s="19"/>
      <c r="TE20" s="16"/>
      <c r="TF20" s="19"/>
      <c r="TG20" s="16"/>
      <c r="TH20" s="19"/>
      <c r="TI20" s="16"/>
      <c r="TJ20" s="19"/>
      <c r="TK20" s="16"/>
      <c r="TL20" s="19"/>
      <c r="TM20" s="16"/>
      <c r="TN20" s="19"/>
      <c r="TO20" s="16"/>
      <c r="TP20" s="19"/>
      <c r="TQ20" s="16"/>
      <c r="TR20" s="19"/>
      <c r="TS20" s="16"/>
      <c r="TT20" s="19"/>
      <c r="TU20" s="16"/>
      <c r="TV20" s="19"/>
      <c r="TW20" s="16"/>
      <c r="TX20" s="19"/>
      <c r="TY20" s="16"/>
      <c r="TZ20" s="19"/>
      <c r="UA20" s="16"/>
      <c r="UB20" s="19"/>
      <c r="UC20" s="16"/>
      <c r="UD20" s="19"/>
      <c r="UE20" s="16"/>
      <c r="UF20" s="19"/>
      <c r="UG20" s="16"/>
      <c r="UH20" s="19"/>
      <c r="UI20" s="16"/>
      <c r="UJ20" s="19"/>
      <c r="UK20" s="16"/>
      <c r="UL20" s="19"/>
      <c r="UM20" s="16"/>
      <c r="UN20" s="19"/>
      <c r="UO20" s="16"/>
      <c r="UP20" s="19"/>
      <c r="UQ20" s="16"/>
      <c r="UR20" s="19"/>
      <c r="US20" s="16"/>
      <c r="UT20" s="19"/>
      <c r="UU20" s="16"/>
      <c r="UV20" s="19"/>
      <c r="UW20" s="16"/>
      <c r="UX20" s="19"/>
      <c r="UY20" s="16"/>
      <c r="UZ20" s="19"/>
      <c r="VA20" s="16"/>
      <c r="VB20" s="19"/>
      <c r="VC20" s="16"/>
      <c r="VD20" s="19"/>
      <c r="VE20" s="16"/>
      <c r="VF20" s="19"/>
      <c r="VG20" s="16"/>
      <c r="VH20" s="19"/>
      <c r="VI20" s="16"/>
      <c r="VJ20" s="19"/>
      <c r="VK20" s="16"/>
      <c r="VL20" s="19"/>
      <c r="VM20" s="16"/>
      <c r="VN20" s="19"/>
      <c r="VO20" s="16"/>
      <c r="VP20" s="19"/>
      <c r="VQ20" s="16"/>
      <c r="VR20" s="19"/>
      <c r="VS20" s="16"/>
      <c r="VT20" s="19"/>
      <c r="VU20" s="16"/>
      <c r="VV20" s="19"/>
      <c r="VW20" s="16"/>
      <c r="VX20" s="19"/>
      <c r="VY20" s="16"/>
      <c r="VZ20" s="19"/>
      <c r="WA20" s="16"/>
      <c r="WB20" s="19"/>
      <c r="WC20" s="16"/>
      <c r="WD20" s="19"/>
      <c r="WE20" s="16"/>
      <c r="WF20" s="19"/>
      <c r="WG20" s="16"/>
      <c r="WH20" s="19"/>
      <c r="WI20" s="16"/>
      <c r="WJ20" s="19"/>
      <c r="WK20" s="16"/>
      <c r="WL20" s="19"/>
      <c r="WM20" s="16"/>
      <c r="WN20" s="19"/>
      <c r="WO20" s="16"/>
      <c r="WP20" s="19"/>
      <c r="WQ20" s="16"/>
      <c r="WR20" s="19"/>
      <c r="WS20" s="16"/>
      <c r="WT20" s="19"/>
      <c r="WU20" s="16"/>
      <c r="WV20" s="19"/>
      <c r="WW20" s="16"/>
      <c r="WX20" s="19"/>
      <c r="WY20" s="16"/>
      <c r="WZ20" s="19"/>
      <c r="XA20" s="16"/>
      <c r="XB20" s="19"/>
      <c r="XC20" s="16"/>
      <c r="XD20" s="19"/>
      <c r="XE20" s="16"/>
      <c r="XF20" s="19"/>
      <c r="XG20" s="16"/>
      <c r="XH20" s="19"/>
      <c r="XI20" s="16"/>
      <c r="XJ20" s="19"/>
      <c r="XK20" s="16"/>
      <c r="XL20" s="19"/>
      <c r="XM20" s="16"/>
      <c r="XN20" s="19"/>
      <c r="XO20" s="16"/>
      <c r="XP20" s="19"/>
      <c r="XQ20" s="16"/>
      <c r="XR20" s="19"/>
      <c r="XS20" s="16"/>
      <c r="XT20" s="19"/>
      <c r="XU20" s="16"/>
      <c r="XV20" s="19"/>
      <c r="XW20" s="16"/>
      <c r="XX20" s="19"/>
      <c r="XY20" s="16"/>
      <c r="XZ20" s="19"/>
      <c r="YA20" s="16"/>
      <c r="YB20" s="19"/>
      <c r="YC20" s="16"/>
      <c r="YD20" s="19"/>
      <c r="YE20" s="16"/>
      <c r="YF20" s="19"/>
      <c r="YG20" s="16"/>
      <c r="YH20" s="19"/>
      <c r="YI20" s="16"/>
      <c r="YJ20" s="19"/>
      <c r="YK20" s="16"/>
      <c r="YL20" s="19"/>
      <c r="YM20" s="16"/>
      <c r="YN20" s="19"/>
      <c r="YO20" s="16"/>
      <c r="YP20" s="19"/>
      <c r="YQ20" s="16"/>
      <c r="YR20" s="19"/>
      <c r="YS20" s="16"/>
      <c r="YT20" s="19"/>
      <c r="YU20" s="16"/>
      <c r="YV20" s="19"/>
      <c r="YW20" s="16"/>
      <c r="YX20" s="19"/>
      <c r="YY20" s="16"/>
      <c r="YZ20" s="19"/>
      <c r="ZA20" s="16"/>
      <c r="ZB20" s="19"/>
      <c r="ZC20" s="16"/>
      <c r="ZD20" s="19"/>
      <c r="ZE20" s="16"/>
      <c r="ZF20" s="19"/>
      <c r="ZG20" s="16"/>
      <c r="ZH20" s="19"/>
      <c r="ZI20" s="16"/>
      <c r="ZJ20" s="19"/>
      <c r="ZK20" s="16"/>
      <c r="ZL20" s="19"/>
      <c r="ZM20" s="16"/>
      <c r="ZN20" s="19"/>
      <c r="ZO20" s="16"/>
      <c r="ZP20" s="19"/>
      <c r="ZQ20" s="16"/>
      <c r="ZR20" s="19"/>
      <c r="ZS20" s="16"/>
      <c r="ZT20" s="19"/>
      <c r="ZU20" s="16"/>
      <c r="ZV20" s="19"/>
      <c r="ZW20" s="16"/>
      <c r="ZX20" s="19"/>
      <c r="ZY20" s="16"/>
      <c r="ZZ20" s="19"/>
      <c r="AAA20" s="16"/>
      <c r="AAB20" s="19"/>
      <c r="AAC20" s="16"/>
      <c r="AAD20" s="19"/>
      <c r="AAE20" s="16"/>
      <c r="AAF20" s="19"/>
      <c r="AAG20" s="16"/>
      <c r="AAH20" s="19"/>
      <c r="AAI20" s="16"/>
      <c r="AAJ20" s="19"/>
      <c r="AAK20" s="16"/>
      <c r="AAL20" s="19"/>
      <c r="AAM20" s="16"/>
      <c r="AAN20" s="19"/>
      <c r="AAO20" s="16"/>
      <c r="AAP20" s="19"/>
      <c r="AAQ20" s="16"/>
      <c r="AAR20" s="19"/>
      <c r="AAS20" s="16"/>
      <c r="AAT20" s="19"/>
      <c r="AAU20" s="16"/>
      <c r="AAV20" s="19"/>
      <c r="AAW20" s="16"/>
      <c r="AAX20" s="19"/>
      <c r="AAY20" s="16"/>
      <c r="AAZ20" s="19"/>
      <c r="ABA20" s="16"/>
      <c r="ABB20" s="19"/>
      <c r="ABC20" s="16"/>
      <c r="ABD20" s="19"/>
      <c r="ABE20" s="16"/>
      <c r="ABF20" s="19"/>
      <c r="ABG20" s="16"/>
      <c r="ABH20" s="19"/>
      <c r="ABI20" s="16"/>
      <c r="ABJ20" s="19"/>
      <c r="ABK20" s="16"/>
      <c r="ABL20" s="19"/>
      <c r="ABM20" s="16"/>
      <c r="ABN20" s="19"/>
      <c r="ABO20" s="16"/>
      <c r="ABP20" s="19"/>
      <c r="ABQ20" s="16"/>
      <c r="ABR20" s="19"/>
      <c r="ABS20" s="16"/>
      <c r="ABT20" s="19"/>
      <c r="ABU20" s="16"/>
      <c r="ABV20" s="19"/>
      <c r="ABW20" s="16"/>
      <c r="ABX20" s="19"/>
      <c r="ABY20" s="16"/>
      <c r="ABZ20" s="19"/>
      <c r="ACA20" s="16"/>
      <c r="ACB20" s="19"/>
      <c r="ACC20" s="16"/>
      <c r="ACD20" s="19"/>
      <c r="ACE20" s="16"/>
      <c r="ACF20" s="19"/>
      <c r="ACG20" s="16"/>
      <c r="ACH20" s="19"/>
      <c r="ACI20" s="16"/>
      <c r="ACJ20" s="19"/>
      <c r="ACK20" s="16"/>
      <c r="ACL20" s="19"/>
      <c r="ACM20" s="16"/>
      <c r="ACN20" s="19"/>
      <c r="ACO20" s="16"/>
      <c r="ACP20" s="19"/>
      <c r="ACQ20" s="16"/>
      <c r="ACR20" s="19"/>
      <c r="ACS20" s="16"/>
      <c r="ACT20" s="19"/>
      <c r="ACU20" s="16"/>
      <c r="ACV20" s="19"/>
      <c r="ACW20" s="16"/>
      <c r="ACX20" s="19"/>
      <c r="ACY20" s="16"/>
      <c r="ACZ20" s="19"/>
      <c r="ADA20" s="16"/>
      <c r="ADB20" s="19"/>
      <c r="ADC20" s="16"/>
      <c r="ADD20" s="19"/>
      <c r="ADE20" s="16"/>
      <c r="ADF20" s="19"/>
      <c r="ADG20" s="16"/>
      <c r="ADH20" s="19"/>
      <c r="ADI20" s="16"/>
      <c r="ADJ20" s="19"/>
      <c r="ADK20" s="16"/>
      <c r="ADL20" s="19"/>
      <c r="ADM20" s="16"/>
      <c r="ADN20" s="19"/>
      <c r="ADO20" s="16"/>
      <c r="ADP20" s="19"/>
      <c r="ADQ20" s="16"/>
      <c r="ADR20" s="19"/>
      <c r="ADS20" s="16"/>
      <c r="ADT20" s="19"/>
      <c r="ADU20" s="16"/>
      <c r="ADV20" s="19"/>
      <c r="ADW20" s="16"/>
      <c r="ADX20" s="19"/>
      <c r="ADY20" s="16"/>
      <c r="ADZ20" s="19"/>
      <c r="AEA20" s="16"/>
      <c r="AEB20" s="19"/>
      <c r="AEC20" s="16"/>
      <c r="AED20" s="19"/>
      <c r="AEE20" s="16"/>
      <c r="AEF20" s="19"/>
      <c r="AEG20" s="16"/>
      <c r="AEH20" s="19"/>
      <c r="AEI20" s="16"/>
      <c r="AEJ20" s="19"/>
      <c r="AEK20" s="16"/>
      <c r="AEL20" s="19"/>
      <c r="AEM20" s="16"/>
      <c r="AEN20" s="19"/>
      <c r="AEO20" s="16"/>
      <c r="AEP20" s="19"/>
      <c r="AEQ20" s="16"/>
      <c r="AER20" s="19"/>
      <c r="AES20" s="16"/>
      <c r="AET20" s="19"/>
      <c r="AEU20" s="16"/>
      <c r="AEV20" s="19"/>
      <c r="AEW20" s="16"/>
      <c r="AEX20" s="19"/>
      <c r="AEY20" s="16"/>
      <c r="AEZ20" s="19"/>
      <c r="AFA20" s="16"/>
      <c r="AFB20" s="19"/>
      <c r="AFC20" s="16"/>
      <c r="AFD20" s="19"/>
      <c r="AFE20" s="16"/>
      <c r="AFF20" s="19"/>
      <c r="AFG20" s="16"/>
      <c r="AFH20" s="19"/>
      <c r="AFI20" s="16"/>
      <c r="AFJ20" s="19"/>
      <c r="AFK20" s="16"/>
      <c r="AFL20" s="19"/>
      <c r="AFM20" s="16"/>
      <c r="AFN20" s="19"/>
      <c r="AFO20" s="16"/>
      <c r="AFP20" s="19"/>
      <c r="AFQ20" s="16"/>
      <c r="AFR20" s="19"/>
      <c r="AFS20" s="16"/>
      <c r="AFT20" s="19"/>
      <c r="AFU20" s="16"/>
      <c r="AFV20" s="19"/>
      <c r="AFW20" s="16"/>
      <c r="AFX20" s="19"/>
      <c r="AFY20" s="16"/>
      <c r="AFZ20" s="19"/>
      <c r="AGA20" s="16"/>
      <c r="AGB20" s="19"/>
      <c r="AGC20" s="16"/>
      <c r="AGD20" s="19"/>
      <c r="AGE20" s="16"/>
      <c r="AGF20" s="19"/>
      <c r="AGG20" s="16"/>
      <c r="AGH20" s="19"/>
      <c r="AGI20" s="16"/>
      <c r="AGJ20" s="19"/>
      <c r="AGK20" s="16"/>
      <c r="AGL20" s="19"/>
      <c r="AGM20" s="16"/>
      <c r="AGN20" s="19"/>
      <c r="AGO20" s="16"/>
      <c r="AGP20" s="19"/>
      <c r="AGQ20" s="16"/>
      <c r="AGR20" s="19"/>
      <c r="AGS20" s="16"/>
      <c r="AGT20" s="19"/>
      <c r="AGU20" s="16"/>
      <c r="AGV20" s="19"/>
      <c r="AGW20" s="16"/>
      <c r="AGX20" s="19"/>
      <c r="AGY20" s="16"/>
      <c r="AGZ20" s="19"/>
      <c r="AHA20" s="16"/>
      <c r="AHB20" s="19"/>
      <c r="AHC20" s="16"/>
      <c r="AHD20" s="19"/>
      <c r="AHE20" s="16"/>
      <c r="AHF20" s="19"/>
      <c r="AHG20" s="16"/>
      <c r="AHH20" s="19"/>
      <c r="AHI20" s="16"/>
      <c r="AHJ20" s="19"/>
      <c r="AHK20" s="16"/>
      <c r="AHL20" s="19"/>
      <c r="AHM20" s="16"/>
      <c r="AHN20" s="19"/>
      <c r="AHO20" s="16"/>
      <c r="AHP20" s="19"/>
      <c r="AHQ20" s="16"/>
      <c r="AHR20" s="19"/>
      <c r="AHS20" s="16"/>
      <c r="AHT20" s="19"/>
      <c r="AHU20" s="16"/>
      <c r="AHV20" s="19"/>
      <c r="AHW20" s="16"/>
      <c r="AHX20" s="19"/>
      <c r="AHY20" s="16"/>
      <c r="AHZ20" s="19"/>
      <c r="AIA20" s="16"/>
      <c r="AIB20" s="19"/>
      <c r="AIC20" s="16"/>
      <c r="AID20" s="19"/>
      <c r="AIE20" s="16"/>
      <c r="AIF20" s="19"/>
      <c r="AIG20" s="16"/>
      <c r="AIH20" s="19"/>
      <c r="AII20" s="16"/>
      <c r="AIJ20" s="19"/>
      <c r="AIK20" s="16"/>
      <c r="AIL20" s="19"/>
      <c r="AIM20" s="16"/>
      <c r="AIN20" s="19"/>
      <c r="AIO20" s="16"/>
      <c r="AIP20" s="19"/>
      <c r="AIQ20" s="16"/>
      <c r="AIR20" s="19"/>
      <c r="AIS20" s="16"/>
      <c r="AIT20" s="19"/>
      <c r="AIU20" s="16"/>
      <c r="AIV20" s="19"/>
      <c r="AIW20" s="16"/>
      <c r="AIX20" s="19"/>
      <c r="AIY20" s="16"/>
      <c r="AIZ20" s="19"/>
      <c r="AJA20" s="16"/>
      <c r="AJB20" s="19"/>
      <c r="AJC20" s="16"/>
      <c r="AJD20" s="19"/>
      <c r="AJE20" s="16"/>
      <c r="AJF20" s="19"/>
      <c r="AJG20" s="16"/>
      <c r="AJH20" s="19"/>
      <c r="AJI20" s="16"/>
      <c r="AJJ20" s="19"/>
      <c r="AJK20" s="16"/>
      <c r="AJL20" s="19"/>
      <c r="AJM20" s="16"/>
      <c r="AJN20" s="19"/>
      <c r="AJO20" s="16"/>
      <c r="AJP20" s="19"/>
      <c r="AJQ20" s="16"/>
      <c r="AJR20" s="19"/>
      <c r="AJS20" s="16"/>
      <c r="AJT20" s="19"/>
      <c r="AJU20" s="16"/>
      <c r="AJV20" s="19"/>
      <c r="AJW20" s="16"/>
      <c r="AJX20" s="19"/>
      <c r="AJY20" s="16"/>
      <c r="AJZ20" s="19"/>
      <c r="AKA20" s="16"/>
      <c r="AKB20" s="19"/>
      <c r="AKC20" s="16"/>
      <c r="AKD20" s="19"/>
      <c r="AKE20" s="16"/>
      <c r="AKF20" s="19"/>
      <c r="AKG20" s="16"/>
      <c r="AKH20" s="19"/>
      <c r="AKI20" s="16"/>
      <c r="AKJ20" s="19"/>
      <c r="AKK20" s="16"/>
      <c r="AKL20" s="19"/>
      <c r="AKM20" s="16"/>
      <c r="AKN20" s="19"/>
      <c r="AKO20" s="16"/>
      <c r="AKP20" s="19"/>
      <c r="AKQ20" s="16"/>
      <c r="AKR20" s="19"/>
      <c r="AKS20" s="16"/>
      <c r="AKT20" s="19"/>
      <c r="AKU20" s="16"/>
      <c r="AKV20" s="19"/>
      <c r="AKW20" s="16"/>
      <c r="AKX20" s="19"/>
      <c r="AKY20" s="16"/>
      <c r="AKZ20" s="19"/>
      <c r="ALA20" s="16"/>
      <c r="ALB20" s="19"/>
      <c r="ALC20" s="16"/>
      <c r="ALD20" s="19"/>
      <c r="ALE20" s="16"/>
      <c r="ALF20" s="19"/>
      <c r="ALG20" s="16"/>
      <c r="ALH20" s="19"/>
      <c r="ALI20" s="16"/>
      <c r="ALJ20" s="19"/>
      <c r="ALK20" s="16"/>
      <c r="ALL20" s="19"/>
      <c r="ALM20" s="16"/>
      <c r="ALN20" s="19"/>
      <c r="ALO20" s="16"/>
      <c r="ALP20" s="19"/>
      <c r="ALQ20" s="16"/>
      <c r="ALR20" s="19"/>
      <c r="ALS20" s="16"/>
      <c r="ALT20" s="19"/>
      <c r="ALU20" s="16"/>
      <c r="ALV20" s="19"/>
      <c r="ALW20" s="16"/>
      <c r="ALX20" s="19"/>
      <c r="ALY20" s="16"/>
      <c r="ALZ20" s="19"/>
      <c r="AMA20" s="16"/>
      <c r="AMB20" s="19"/>
      <c r="AMC20" s="16"/>
      <c r="AMD20" s="19"/>
      <c r="AME20" s="16"/>
      <c r="AMF20" s="19"/>
      <c r="AMG20" s="16"/>
      <c r="AMH20" s="19"/>
      <c r="AMI20" s="16"/>
      <c r="AMJ20" s="19"/>
      <c r="AMK20" s="16"/>
      <c r="AML20" s="19"/>
      <c r="AMM20" s="16"/>
      <c r="AMN20" s="19"/>
      <c r="AMO20" s="16"/>
      <c r="AMP20" s="19"/>
      <c r="AMQ20" s="16"/>
      <c r="AMR20" s="19"/>
      <c r="AMS20" s="16"/>
      <c r="AMT20" s="19"/>
      <c r="AMU20" s="16"/>
      <c r="AMV20" s="19"/>
      <c r="AMW20" s="16"/>
      <c r="AMX20" s="19"/>
      <c r="AMY20" s="16"/>
      <c r="AMZ20" s="19"/>
      <c r="ANA20" s="16"/>
      <c r="ANB20" s="19"/>
      <c r="ANC20" s="16"/>
      <c r="AND20" s="19"/>
      <c r="ANE20" s="16"/>
      <c r="ANF20" s="19"/>
      <c r="ANG20" s="16"/>
      <c r="ANH20" s="19"/>
      <c r="ANI20" s="16"/>
      <c r="ANJ20" s="19"/>
      <c r="ANK20" s="16"/>
      <c r="ANL20" s="19"/>
      <c r="ANM20" s="16"/>
      <c r="ANN20" s="19"/>
      <c r="ANO20" s="16"/>
      <c r="ANP20" s="19"/>
      <c r="ANQ20" s="16"/>
      <c r="ANR20" s="19"/>
      <c r="ANS20" s="16"/>
      <c r="ANT20" s="19"/>
      <c r="ANU20" s="16"/>
      <c r="ANV20" s="19"/>
      <c r="ANW20" s="16"/>
      <c r="ANX20" s="19"/>
      <c r="ANY20" s="16"/>
      <c r="ANZ20" s="19"/>
      <c r="AOA20" s="16"/>
      <c r="AOB20" s="19"/>
      <c r="AOC20" s="16"/>
      <c r="AOD20" s="19"/>
      <c r="AOE20" s="16"/>
      <c r="AOF20" s="19"/>
      <c r="AOG20" s="16"/>
      <c r="AOH20" s="19"/>
      <c r="AOI20" s="16"/>
      <c r="AOJ20" s="19"/>
      <c r="AOK20" s="16"/>
      <c r="AOL20" s="19"/>
      <c r="AOM20" s="16"/>
      <c r="AON20" s="19"/>
      <c r="AOO20" s="16"/>
      <c r="AOP20" s="19"/>
      <c r="AOQ20" s="16"/>
      <c r="AOR20" s="19"/>
      <c r="AOS20" s="16"/>
      <c r="AOT20" s="19"/>
      <c r="AOU20" s="16"/>
      <c r="AOV20" s="19"/>
      <c r="AOW20" s="16"/>
      <c r="AOX20" s="19"/>
      <c r="AOY20" s="16"/>
      <c r="AOZ20" s="19"/>
      <c r="APA20" s="16"/>
      <c r="APB20" s="19"/>
      <c r="APC20" s="16"/>
      <c r="APD20" s="19"/>
      <c r="APE20" s="16"/>
      <c r="APF20" s="19"/>
      <c r="APG20" s="16"/>
      <c r="APH20" s="19"/>
      <c r="API20" s="16"/>
      <c r="APJ20" s="19"/>
      <c r="APK20" s="16"/>
      <c r="APL20" s="19"/>
      <c r="APM20" s="16"/>
      <c r="APN20" s="19"/>
      <c r="APO20" s="16"/>
      <c r="APP20" s="19"/>
      <c r="APQ20" s="16"/>
      <c r="APR20" s="19"/>
      <c r="APS20" s="16"/>
      <c r="APT20" s="19"/>
      <c r="APU20" s="16"/>
      <c r="APV20" s="19"/>
      <c r="APW20" s="16"/>
      <c r="APX20" s="19"/>
      <c r="APY20" s="16"/>
      <c r="APZ20" s="19"/>
      <c r="AQA20" s="16"/>
      <c r="AQB20" s="19"/>
      <c r="AQC20" s="16"/>
      <c r="AQD20" s="19"/>
      <c r="AQE20" s="16"/>
      <c r="AQF20" s="19"/>
      <c r="AQG20" s="16"/>
      <c r="AQH20" s="19"/>
      <c r="AQI20" s="16"/>
      <c r="AQJ20" s="19"/>
      <c r="AQK20" s="16"/>
      <c r="AQL20" s="19"/>
      <c r="AQM20" s="16"/>
      <c r="AQN20" s="19"/>
      <c r="AQO20" s="16"/>
      <c r="AQP20" s="19"/>
      <c r="AQQ20" s="16"/>
      <c r="AQR20" s="19"/>
      <c r="AQS20" s="16"/>
      <c r="AQT20" s="19"/>
      <c r="AQU20" s="16"/>
      <c r="AQV20" s="19"/>
      <c r="AQW20" s="16"/>
      <c r="AQX20" s="19"/>
      <c r="AQY20" s="16"/>
      <c r="AQZ20" s="19"/>
      <c r="ARA20" s="16"/>
      <c r="ARB20" s="19"/>
      <c r="ARC20" s="16"/>
      <c r="ARD20" s="19"/>
      <c r="ARE20" s="16"/>
      <c r="ARF20" s="19"/>
      <c r="ARG20" s="16"/>
      <c r="ARH20" s="19"/>
      <c r="ARI20" s="16"/>
      <c r="ARJ20" s="19"/>
      <c r="ARK20" s="16"/>
      <c r="ARL20" s="19"/>
      <c r="ARM20" s="16"/>
      <c r="ARN20" s="19"/>
      <c r="ARO20" s="16"/>
      <c r="ARP20" s="19"/>
      <c r="ARQ20" s="16"/>
      <c r="ARR20" s="19"/>
      <c r="ARS20" s="16"/>
      <c r="ART20" s="19"/>
      <c r="ARU20" s="16"/>
      <c r="ARV20" s="19"/>
      <c r="ARW20" s="16"/>
      <c r="ARX20" s="19"/>
      <c r="ARY20" s="16"/>
      <c r="ARZ20" s="19"/>
      <c r="ASA20" s="16"/>
      <c r="ASB20" s="19"/>
      <c r="ASC20" s="16"/>
      <c r="ASD20" s="19"/>
      <c r="ASE20" s="16"/>
      <c r="ASF20" s="19"/>
      <c r="ASG20" s="16"/>
      <c r="ASH20" s="19"/>
      <c r="ASI20" s="16"/>
      <c r="ASJ20" s="19"/>
      <c r="ASK20" s="16"/>
      <c r="ASL20" s="19"/>
      <c r="ASM20" s="16"/>
      <c r="ASN20" s="19"/>
      <c r="ASO20" s="16"/>
      <c r="ASP20" s="19"/>
      <c r="ASQ20" s="16"/>
      <c r="ASR20" s="19"/>
      <c r="ASS20" s="16"/>
      <c r="AST20" s="19"/>
      <c r="ASU20" s="16"/>
      <c r="ASV20" s="19"/>
      <c r="ASW20" s="16"/>
      <c r="ASX20" s="19"/>
      <c r="ASY20" s="16"/>
      <c r="ASZ20" s="19"/>
      <c r="ATA20" s="16"/>
      <c r="ATB20" s="19"/>
      <c r="ATC20" s="16"/>
      <c r="ATD20" s="19"/>
      <c r="ATE20" s="16"/>
      <c r="ATF20" s="19"/>
      <c r="ATG20" s="16"/>
      <c r="ATH20" s="19"/>
      <c r="ATI20" s="16"/>
      <c r="ATJ20" s="19"/>
      <c r="ATK20" s="16"/>
      <c r="ATL20" s="19"/>
      <c r="ATM20" s="16"/>
      <c r="ATN20" s="19"/>
      <c r="ATO20" s="16"/>
      <c r="ATP20" s="19"/>
      <c r="ATQ20" s="16"/>
      <c r="ATR20" s="19"/>
      <c r="ATS20" s="16"/>
      <c r="ATT20" s="19"/>
      <c r="ATU20" s="16"/>
      <c r="ATV20" s="19"/>
      <c r="ATW20" s="16"/>
      <c r="ATX20" s="19"/>
      <c r="ATY20" s="16"/>
      <c r="ATZ20" s="19"/>
      <c r="AUA20" s="16"/>
      <c r="AUB20" s="19"/>
      <c r="AUC20" s="16"/>
      <c r="AUD20" s="19"/>
      <c r="AUE20" s="16"/>
      <c r="AUF20" s="19"/>
      <c r="AUG20" s="16"/>
      <c r="AUH20" s="19"/>
      <c r="AUI20" s="16"/>
      <c r="AUJ20" s="19"/>
      <c r="AUK20" s="16"/>
      <c r="AUL20" s="19"/>
      <c r="AUM20" s="16"/>
      <c r="AUN20" s="19"/>
      <c r="AUO20" s="16"/>
      <c r="AUP20" s="19"/>
      <c r="AUQ20" s="16"/>
      <c r="AUR20" s="19"/>
      <c r="AUS20" s="16"/>
      <c r="AUT20" s="19"/>
      <c r="AUU20" s="16"/>
      <c r="AUV20" s="19"/>
      <c r="AUW20" s="16"/>
      <c r="AUX20" s="19"/>
      <c r="AUY20" s="16"/>
      <c r="AUZ20" s="19"/>
      <c r="AVA20" s="16"/>
      <c r="AVB20" s="19"/>
      <c r="AVC20" s="16"/>
      <c r="AVD20" s="19"/>
      <c r="AVE20" s="16"/>
      <c r="AVF20" s="19"/>
      <c r="AVG20" s="16"/>
      <c r="AVH20" s="19"/>
      <c r="AVI20" s="16"/>
      <c r="AVJ20" s="19"/>
      <c r="AVK20" s="16"/>
      <c r="AVL20" s="19"/>
      <c r="AVM20" s="16"/>
      <c r="AVN20" s="19"/>
      <c r="AVO20" s="16"/>
      <c r="AVP20" s="19"/>
      <c r="AVQ20" s="16"/>
      <c r="AVR20" s="19"/>
      <c r="AVS20" s="16"/>
      <c r="AVT20" s="19"/>
      <c r="AVU20" s="16"/>
      <c r="AVV20" s="19"/>
      <c r="AVW20" s="16"/>
      <c r="AVX20" s="19"/>
      <c r="AVY20" s="16"/>
      <c r="AVZ20" s="19"/>
      <c r="AWA20" s="16"/>
      <c r="AWB20" s="19"/>
      <c r="AWC20" s="16"/>
      <c r="AWD20" s="19"/>
      <c r="AWE20" s="16"/>
      <c r="AWF20" s="19"/>
      <c r="AWG20" s="16"/>
      <c r="AWH20" s="19"/>
      <c r="AWI20" s="16"/>
      <c r="AWJ20" s="19"/>
      <c r="AWK20" s="16"/>
      <c r="AWL20" s="19"/>
      <c r="AWM20" s="16"/>
      <c r="AWN20" s="19"/>
      <c r="AWO20" s="16"/>
      <c r="AWP20" s="19"/>
      <c r="AWQ20" s="16"/>
      <c r="AWR20" s="19"/>
      <c r="AWS20" s="16"/>
      <c r="AWT20" s="19"/>
      <c r="AWU20" s="16"/>
      <c r="AWV20" s="19"/>
      <c r="AWW20" s="16"/>
      <c r="AWX20" s="19"/>
      <c r="AWY20" s="16"/>
      <c r="AWZ20" s="19"/>
      <c r="AXA20" s="16"/>
      <c r="AXB20" s="19"/>
      <c r="AXC20" s="16"/>
      <c r="AXD20" s="19"/>
      <c r="AXE20" s="16"/>
      <c r="AXF20" s="19"/>
      <c r="AXG20" s="16"/>
      <c r="AXH20" s="19"/>
      <c r="AXI20" s="16"/>
      <c r="AXJ20" s="19"/>
      <c r="AXK20" s="16"/>
      <c r="AXL20" s="19"/>
      <c r="AXM20" s="16"/>
      <c r="AXN20" s="19"/>
      <c r="AXO20" s="16"/>
      <c r="AXP20" s="19"/>
      <c r="AXQ20" s="16"/>
      <c r="AXR20" s="19"/>
      <c r="AXS20" s="16"/>
      <c r="AXT20" s="19"/>
      <c r="AXU20" s="16"/>
      <c r="AXV20" s="19"/>
      <c r="AXW20" s="16"/>
      <c r="AXX20" s="19"/>
      <c r="AXY20" s="16"/>
      <c r="AXZ20" s="19"/>
      <c r="AYA20" s="16"/>
      <c r="AYB20" s="19"/>
      <c r="AYC20" s="16"/>
      <c r="AYD20" s="19"/>
      <c r="AYE20" s="16"/>
      <c r="AYF20" s="19"/>
      <c r="AYG20" s="16"/>
      <c r="AYH20" s="19"/>
      <c r="AYI20" s="16"/>
      <c r="AYJ20" s="19"/>
      <c r="AYK20" s="16"/>
      <c r="AYL20" s="19"/>
      <c r="AYM20" s="16"/>
      <c r="AYN20" s="19"/>
      <c r="AYO20" s="16"/>
      <c r="AYP20" s="19"/>
      <c r="AYQ20" s="16"/>
      <c r="AYR20" s="19"/>
      <c r="AYS20" s="16"/>
      <c r="AYT20" s="19"/>
      <c r="AYU20" s="16"/>
      <c r="AYV20" s="19"/>
      <c r="AYW20" s="16"/>
      <c r="AYX20" s="19"/>
      <c r="AYY20" s="16"/>
      <c r="AYZ20" s="19"/>
      <c r="AZA20" s="16"/>
      <c r="AZB20" s="19"/>
      <c r="AZC20" s="16"/>
      <c r="AZD20" s="19"/>
      <c r="AZE20" s="16"/>
      <c r="AZF20" s="19"/>
      <c r="AZG20" s="16"/>
      <c r="AZH20" s="19"/>
      <c r="AZI20" s="16"/>
      <c r="AZJ20" s="19"/>
      <c r="AZK20" s="16"/>
      <c r="AZL20" s="19"/>
      <c r="AZM20" s="16"/>
      <c r="AZN20" s="19"/>
      <c r="AZO20" s="16"/>
      <c r="AZP20" s="19"/>
      <c r="AZQ20" s="16"/>
      <c r="AZR20" s="19"/>
      <c r="AZS20" s="16"/>
      <c r="AZT20" s="19"/>
      <c r="AZU20" s="16"/>
      <c r="AZV20" s="19"/>
      <c r="AZW20" s="16"/>
      <c r="AZX20" s="19"/>
      <c r="AZY20" s="16"/>
      <c r="AZZ20" s="19"/>
      <c r="BAA20" s="16"/>
      <c r="BAB20" s="19"/>
      <c r="BAC20" s="16"/>
      <c r="BAD20" s="19"/>
      <c r="BAE20" s="16"/>
      <c r="BAF20" s="19"/>
      <c r="BAG20" s="16"/>
      <c r="BAH20" s="19"/>
      <c r="BAI20" s="16"/>
      <c r="BAJ20" s="19"/>
      <c r="BAK20" s="16"/>
      <c r="BAL20" s="19"/>
      <c r="BAM20" s="16"/>
      <c r="BAN20" s="19"/>
      <c r="BAO20" s="16"/>
      <c r="BAP20" s="19"/>
      <c r="BAQ20" s="16"/>
      <c r="BAR20" s="19"/>
      <c r="BAS20" s="16"/>
      <c r="BAT20" s="19"/>
      <c r="BAU20" s="16"/>
      <c r="BAV20" s="19"/>
      <c r="BAW20" s="16"/>
      <c r="BAX20" s="19"/>
      <c r="BAY20" s="16"/>
      <c r="BAZ20" s="19"/>
      <c r="BBA20" s="16"/>
      <c r="BBB20" s="19"/>
      <c r="BBC20" s="16"/>
      <c r="BBD20" s="19"/>
      <c r="BBE20" s="16"/>
      <c r="BBF20" s="19"/>
      <c r="BBG20" s="16"/>
      <c r="BBH20" s="19"/>
      <c r="BBI20" s="16"/>
      <c r="BBJ20" s="19"/>
      <c r="BBK20" s="16"/>
      <c r="BBL20" s="19"/>
      <c r="BBM20" s="16"/>
      <c r="BBN20" s="19"/>
      <c r="BBO20" s="16"/>
      <c r="BBP20" s="19"/>
      <c r="BBQ20" s="16"/>
      <c r="BBR20" s="19"/>
      <c r="BBS20" s="16"/>
      <c r="BBT20" s="19"/>
      <c r="BBU20" s="16"/>
      <c r="BBV20" s="19"/>
      <c r="BBW20" s="16"/>
      <c r="BBX20" s="19"/>
      <c r="BBY20" s="16"/>
      <c r="BBZ20" s="19"/>
      <c r="BCA20" s="16"/>
      <c r="BCB20" s="19"/>
      <c r="BCC20" s="16"/>
      <c r="BCD20" s="19"/>
      <c r="BCE20" s="16"/>
      <c r="BCF20" s="19"/>
      <c r="BCG20" s="16"/>
      <c r="BCH20" s="19"/>
      <c r="BCI20" s="16"/>
      <c r="BCJ20" s="19"/>
      <c r="BCK20" s="16"/>
      <c r="BCL20" s="19"/>
      <c r="BCM20" s="16"/>
      <c r="BCN20" s="19"/>
      <c r="BCO20" s="16"/>
      <c r="BCP20" s="19"/>
      <c r="BCQ20" s="16"/>
      <c r="BCR20" s="19"/>
      <c r="BCS20" s="16"/>
      <c r="BCT20" s="19"/>
      <c r="BCU20" s="16"/>
      <c r="BCV20" s="19"/>
      <c r="BCW20" s="16"/>
      <c r="BCX20" s="19"/>
      <c r="BCY20" s="16"/>
      <c r="BCZ20" s="19"/>
      <c r="BDA20" s="16"/>
      <c r="BDB20" s="19"/>
      <c r="BDC20" s="16"/>
      <c r="BDD20" s="19"/>
      <c r="BDE20" s="16"/>
      <c r="BDF20" s="19"/>
      <c r="BDG20" s="16"/>
      <c r="BDH20" s="19"/>
      <c r="BDI20" s="16"/>
      <c r="BDJ20" s="19"/>
      <c r="BDK20" s="16"/>
      <c r="BDL20" s="19"/>
      <c r="BDM20" s="16"/>
      <c r="BDN20" s="19"/>
      <c r="BDO20" s="16"/>
      <c r="BDP20" s="19"/>
      <c r="BDQ20" s="16"/>
      <c r="BDR20" s="19"/>
      <c r="BDS20" s="16"/>
      <c r="BDT20" s="19"/>
      <c r="BDU20" s="16"/>
      <c r="BDV20" s="19"/>
      <c r="BDW20" s="16"/>
      <c r="BDX20" s="19"/>
      <c r="BDY20" s="16"/>
      <c r="BDZ20" s="19"/>
      <c r="BEA20" s="16"/>
      <c r="BEB20" s="19"/>
      <c r="BEC20" s="16"/>
      <c r="BED20" s="19"/>
      <c r="BEE20" s="16"/>
      <c r="BEF20" s="19"/>
      <c r="BEG20" s="16"/>
      <c r="BEH20" s="19"/>
      <c r="BEI20" s="16"/>
      <c r="BEJ20" s="19"/>
      <c r="BEK20" s="16"/>
      <c r="BEL20" s="19"/>
      <c r="BEM20" s="16"/>
      <c r="BEN20" s="19"/>
      <c r="BEO20" s="16"/>
      <c r="BEP20" s="19"/>
      <c r="BEQ20" s="16"/>
      <c r="BER20" s="19"/>
      <c r="BES20" s="16"/>
      <c r="BET20" s="19"/>
      <c r="BEU20" s="16"/>
      <c r="BEV20" s="19"/>
      <c r="BEW20" s="16"/>
      <c r="BEX20" s="19"/>
      <c r="BEY20" s="16"/>
      <c r="BEZ20" s="19"/>
      <c r="BFA20" s="16"/>
      <c r="BFB20" s="19"/>
      <c r="BFC20" s="16"/>
      <c r="BFD20" s="19"/>
      <c r="BFE20" s="16"/>
      <c r="BFF20" s="19"/>
      <c r="BFG20" s="16"/>
      <c r="BFH20" s="19"/>
      <c r="BFI20" s="16"/>
      <c r="BFJ20" s="19"/>
      <c r="BFK20" s="16"/>
      <c r="BFL20" s="19"/>
      <c r="BFM20" s="16"/>
      <c r="BFN20" s="19"/>
      <c r="BFO20" s="16"/>
      <c r="BFP20" s="19"/>
      <c r="BFQ20" s="16"/>
      <c r="BFR20" s="19"/>
      <c r="BFS20" s="16"/>
      <c r="BFT20" s="19"/>
      <c r="BFU20" s="16"/>
      <c r="BFV20" s="19"/>
      <c r="BFW20" s="16"/>
      <c r="BFX20" s="19"/>
      <c r="BFY20" s="16"/>
      <c r="BFZ20" s="19"/>
      <c r="BGA20" s="16"/>
      <c r="BGB20" s="19"/>
      <c r="BGC20" s="16"/>
      <c r="BGD20" s="19"/>
      <c r="BGE20" s="16"/>
      <c r="BGF20" s="19"/>
      <c r="BGG20" s="16"/>
      <c r="BGH20" s="19"/>
      <c r="BGI20" s="16"/>
      <c r="BGJ20" s="19"/>
      <c r="BGK20" s="16"/>
      <c r="BGL20" s="19"/>
      <c r="BGM20" s="16"/>
      <c r="BGN20" s="19"/>
      <c r="BGO20" s="16"/>
      <c r="BGP20" s="19"/>
      <c r="BGQ20" s="16"/>
      <c r="BGR20" s="19"/>
      <c r="BGS20" s="16"/>
      <c r="BGT20" s="19"/>
      <c r="BGU20" s="16"/>
      <c r="BGV20" s="19"/>
      <c r="BGW20" s="16"/>
      <c r="BGX20" s="19"/>
      <c r="BGY20" s="16"/>
      <c r="BGZ20" s="19"/>
      <c r="BHA20" s="16"/>
      <c r="BHB20" s="19"/>
      <c r="BHC20" s="16"/>
      <c r="BHD20" s="19"/>
      <c r="BHE20" s="16"/>
      <c r="BHF20" s="19"/>
      <c r="BHG20" s="16"/>
      <c r="BHH20" s="19"/>
      <c r="BHI20" s="16"/>
      <c r="BHJ20" s="19"/>
      <c r="BHK20" s="16"/>
      <c r="BHL20" s="19"/>
      <c r="BHM20" s="16"/>
      <c r="BHN20" s="19"/>
      <c r="BHO20" s="16"/>
      <c r="BHP20" s="19"/>
      <c r="BHQ20" s="16"/>
      <c r="BHR20" s="19"/>
      <c r="BHS20" s="16"/>
      <c r="BHT20" s="19"/>
      <c r="BHU20" s="16"/>
      <c r="BHV20" s="19"/>
      <c r="BHW20" s="16"/>
      <c r="BHX20" s="19"/>
      <c r="BHY20" s="16"/>
      <c r="BHZ20" s="19"/>
      <c r="BIA20" s="16"/>
      <c r="BIB20" s="19"/>
      <c r="BIC20" s="16"/>
      <c r="BID20" s="19"/>
      <c r="BIE20" s="16"/>
      <c r="BIF20" s="19"/>
      <c r="BIG20" s="16"/>
      <c r="BIH20" s="19"/>
      <c r="BII20" s="16"/>
      <c r="BIJ20" s="19"/>
      <c r="BIK20" s="16"/>
      <c r="BIL20" s="19"/>
      <c r="BIM20" s="16"/>
      <c r="BIN20" s="19"/>
      <c r="BIO20" s="16"/>
      <c r="BIP20" s="19"/>
      <c r="BIQ20" s="16"/>
      <c r="BIR20" s="19"/>
      <c r="BIS20" s="16"/>
      <c r="BIT20" s="19"/>
      <c r="BIU20" s="16"/>
      <c r="BIV20" s="19"/>
      <c r="BIW20" s="16"/>
      <c r="BIX20" s="19"/>
      <c r="BIY20" s="16"/>
      <c r="BIZ20" s="19"/>
      <c r="BJA20" s="16"/>
      <c r="BJB20" s="19"/>
      <c r="BJC20" s="16"/>
      <c r="BJD20" s="19"/>
      <c r="BJE20" s="16"/>
      <c r="BJF20" s="19"/>
      <c r="BJG20" s="16"/>
      <c r="BJH20" s="19"/>
      <c r="BJI20" s="16"/>
      <c r="BJJ20" s="19"/>
      <c r="BJK20" s="16"/>
      <c r="BJL20" s="19"/>
      <c r="BJM20" s="16"/>
      <c r="BJN20" s="19"/>
      <c r="BJO20" s="16"/>
      <c r="BJP20" s="19"/>
      <c r="BJQ20" s="16"/>
      <c r="BJR20" s="19"/>
      <c r="BJS20" s="16"/>
      <c r="BJT20" s="19"/>
      <c r="BJU20" s="16"/>
      <c r="BJV20" s="19"/>
      <c r="BJW20" s="16"/>
      <c r="BJX20" s="19"/>
      <c r="BJY20" s="16"/>
      <c r="BJZ20" s="19"/>
      <c r="BKA20" s="16"/>
      <c r="BKB20" s="19"/>
      <c r="BKC20" s="16"/>
      <c r="BKD20" s="19"/>
      <c r="BKE20" s="16"/>
      <c r="BKF20" s="19"/>
      <c r="BKG20" s="16"/>
      <c r="BKH20" s="19"/>
      <c r="BKI20" s="16"/>
      <c r="BKJ20" s="19"/>
      <c r="BKK20" s="16"/>
      <c r="BKL20" s="19"/>
      <c r="BKM20" s="16"/>
      <c r="BKN20" s="19"/>
      <c r="BKO20" s="16"/>
      <c r="BKP20" s="19"/>
      <c r="BKQ20" s="16"/>
      <c r="BKR20" s="19"/>
      <c r="BKS20" s="16"/>
      <c r="BKT20" s="19"/>
      <c r="BKU20" s="16"/>
      <c r="BKV20" s="19"/>
      <c r="BKW20" s="16"/>
      <c r="BKX20" s="19"/>
      <c r="BKY20" s="16"/>
      <c r="BKZ20" s="19"/>
      <c r="BLA20" s="16"/>
      <c r="BLB20" s="19"/>
      <c r="BLC20" s="16"/>
      <c r="BLD20" s="19"/>
      <c r="BLE20" s="16"/>
      <c r="BLF20" s="19"/>
      <c r="BLG20" s="16"/>
      <c r="BLH20" s="19"/>
      <c r="BLI20" s="16"/>
      <c r="BLJ20" s="19"/>
      <c r="BLK20" s="16"/>
      <c r="BLL20" s="19"/>
      <c r="BLM20" s="16"/>
      <c r="BLN20" s="19"/>
      <c r="BLO20" s="16"/>
      <c r="BLP20" s="19"/>
      <c r="BLQ20" s="16"/>
      <c r="BLR20" s="19"/>
      <c r="BLS20" s="16"/>
      <c r="BLT20" s="19"/>
      <c r="BLU20" s="16"/>
      <c r="BLV20" s="19"/>
      <c r="BLW20" s="16"/>
      <c r="BLX20" s="19"/>
      <c r="BLY20" s="16"/>
      <c r="BLZ20" s="19"/>
      <c r="BMA20" s="16"/>
      <c r="BMB20" s="19"/>
      <c r="BMC20" s="16"/>
      <c r="BMD20" s="19"/>
      <c r="BME20" s="16"/>
      <c r="BMF20" s="19"/>
      <c r="BMG20" s="16"/>
      <c r="BMH20" s="19"/>
      <c r="BMI20" s="16"/>
      <c r="BMJ20" s="19"/>
      <c r="BMK20" s="16"/>
      <c r="BML20" s="19"/>
      <c r="BMM20" s="16"/>
      <c r="BMN20" s="19"/>
      <c r="BMO20" s="16"/>
      <c r="BMP20" s="19"/>
      <c r="BMQ20" s="16"/>
      <c r="BMR20" s="19"/>
      <c r="BMS20" s="16"/>
      <c r="BMT20" s="19"/>
      <c r="BMU20" s="16"/>
      <c r="BMV20" s="19"/>
      <c r="BMW20" s="16"/>
      <c r="BMX20" s="19"/>
      <c r="BMY20" s="16"/>
      <c r="BMZ20" s="19"/>
      <c r="BNA20" s="16"/>
      <c r="BNB20" s="19"/>
      <c r="BNC20" s="16"/>
      <c r="BND20" s="19"/>
      <c r="BNE20" s="16"/>
      <c r="BNF20" s="19"/>
      <c r="BNG20" s="16"/>
      <c r="BNH20" s="19"/>
      <c r="BNI20" s="16"/>
      <c r="BNJ20" s="19"/>
      <c r="BNK20" s="16"/>
      <c r="BNL20" s="19"/>
      <c r="BNM20" s="16"/>
      <c r="BNN20" s="19"/>
      <c r="BNO20" s="16"/>
      <c r="BNP20" s="19"/>
      <c r="BNQ20" s="16"/>
      <c r="BNR20" s="19"/>
      <c r="BNS20" s="16"/>
      <c r="BNT20" s="19"/>
      <c r="BNU20" s="16"/>
      <c r="BNV20" s="19"/>
      <c r="BNW20" s="16"/>
      <c r="BNX20" s="19"/>
      <c r="BNY20" s="16"/>
      <c r="BNZ20" s="19"/>
      <c r="BOA20" s="16"/>
      <c r="BOB20" s="19"/>
      <c r="BOC20" s="16"/>
      <c r="BOD20" s="19"/>
      <c r="BOE20" s="16"/>
      <c r="BOF20" s="19"/>
      <c r="BOG20" s="16"/>
      <c r="BOH20" s="19"/>
      <c r="BOI20" s="16"/>
      <c r="BOJ20" s="19"/>
      <c r="BOK20" s="16"/>
      <c r="BOL20" s="19"/>
      <c r="BOM20" s="16"/>
      <c r="BON20" s="19"/>
      <c r="BOO20" s="16"/>
      <c r="BOP20" s="19"/>
      <c r="BOQ20" s="16"/>
      <c r="BOR20" s="19"/>
      <c r="BOS20" s="16"/>
      <c r="BOT20" s="19"/>
      <c r="BOU20" s="16"/>
      <c r="BOV20" s="19"/>
      <c r="BOW20" s="16"/>
      <c r="BOX20" s="19"/>
      <c r="BOY20" s="16"/>
      <c r="BOZ20" s="19"/>
      <c r="BPA20" s="16"/>
      <c r="BPB20" s="19"/>
      <c r="BPC20" s="16"/>
      <c r="BPD20" s="19"/>
      <c r="BPE20" s="16"/>
      <c r="BPF20" s="19"/>
      <c r="BPG20" s="16"/>
      <c r="BPH20" s="19"/>
      <c r="BPI20" s="16"/>
      <c r="BPJ20" s="19"/>
      <c r="BPK20" s="16"/>
      <c r="BPL20" s="19"/>
      <c r="BPM20" s="16"/>
      <c r="BPN20" s="19"/>
      <c r="BPO20" s="16"/>
      <c r="BPP20" s="19"/>
      <c r="BPQ20" s="16"/>
      <c r="BPR20" s="19"/>
      <c r="BPS20" s="16"/>
      <c r="BPT20" s="19"/>
      <c r="BPU20" s="16"/>
      <c r="BPV20" s="19"/>
      <c r="BPW20" s="16"/>
      <c r="BPX20" s="19"/>
      <c r="BPY20" s="16"/>
      <c r="BPZ20" s="19"/>
      <c r="BQA20" s="16"/>
      <c r="BQB20" s="19"/>
      <c r="BQC20" s="16"/>
      <c r="BQD20" s="19"/>
      <c r="BQE20" s="16"/>
      <c r="BQF20" s="19"/>
      <c r="BQG20" s="16"/>
      <c r="BQH20" s="19"/>
      <c r="BQI20" s="16"/>
      <c r="BQJ20" s="19"/>
      <c r="BQK20" s="16"/>
      <c r="BQL20" s="19"/>
      <c r="BQM20" s="16"/>
      <c r="BQN20" s="19"/>
      <c r="BQO20" s="16"/>
      <c r="BQP20" s="19"/>
      <c r="BQQ20" s="16"/>
      <c r="BQR20" s="19"/>
      <c r="BQS20" s="16"/>
      <c r="BQT20" s="19"/>
      <c r="BQU20" s="16"/>
      <c r="BQV20" s="19"/>
      <c r="BQW20" s="16"/>
      <c r="BQX20" s="19"/>
      <c r="BQY20" s="16"/>
      <c r="BQZ20" s="19"/>
      <c r="BRA20" s="16"/>
      <c r="BRB20" s="19"/>
      <c r="BRC20" s="16"/>
      <c r="BRD20" s="19"/>
      <c r="BRE20" s="16"/>
      <c r="BRF20" s="19"/>
      <c r="BRG20" s="16"/>
      <c r="BRH20" s="19"/>
      <c r="BRI20" s="16"/>
      <c r="BRJ20" s="19"/>
      <c r="BRK20" s="16"/>
      <c r="BRL20" s="19"/>
      <c r="BRM20" s="16"/>
      <c r="BRN20" s="19"/>
      <c r="BRO20" s="16"/>
      <c r="BRP20" s="19"/>
      <c r="BRQ20" s="16"/>
      <c r="BRR20" s="19"/>
      <c r="BRS20" s="16"/>
      <c r="BRT20" s="19"/>
      <c r="BRU20" s="16"/>
      <c r="BRV20" s="19"/>
      <c r="BRW20" s="16"/>
      <c r="BRX20" s="19"/>
      <c r="BRY20" s="16"/>
      <c r="BRZ20" s="19"/>
      <c r="BSA20" s="16"/>
      <c r="BSB20" s="19"/>
      <c r="BSC20" s="16"/>
      <c r="BSD20" s="19"/>
      <c r="BSE20" s="16"/>
      <c r="BSF20" s="19"/>
      <c r="BSG20" s="16"/>
      <c r="BSH20" s="19"/>
      <c r="BSI20" s="16"/>
      <c r="BSJ20" s="19"/>
      <c r="BSK20" s="16"/>
      <c r="BSL20" s="19"/>
      <c r="BSM20" s="16"/>
      <c r="BSN20" s="19"/>
      <c r="BSO20" s="16"/>
      <c r="BSP20" s="19"/>
      <c r="BSQ20" s="16"/>
      <c r="BSR20" s="19"/>
      <c r="BSS20" s="16"/>
      <c r="BST20" s="19"/>
      <c r="BSU20" s="16"/>
      <c r="BSV20" s="19"/>
      <c r="BSW20" s="16"/>
      <c r="BSX20" s="19"/>
      <c r="BSY20" s="16"/>
      <c r="BSZ20" s="19"/>
      <c r="BTA20" s="16"/>
      <c r="BTB20" s="19"/>
      <c r="BTC20" s="16"/>
      <c r="BTD20" s="19"/>
      <c r="BTE20" s="16"/>
      <c r="BTF20" s="19"/>
      <c r="BTG20" s="16"/>
      <c r="BTH20" s="19"/>
      <c r="BTI20" s="16"/>
      <c r="BTJ20" s="19"/>
      <c r="BTK20" s="16"/>
      <c r="BTL20" s="19"/>
      <c r="BTM20" s="16"/>
      <c r="BTN20" s="19"/>
      <c r="BTO20" s="16"/>
      <c r="BTP20" s="19"/>
      <c r="BTQ20" s="16"/>
      <c r="BTR20" s="19"/>
      <c r="BTS20" s="16"/>
      <c r="BTT20" s="19"/>
      <c r="BTU20" s="16"/>
      <c r="BTV20" s="19"/>
      <c r="BTW20" s="16"/>
      <c r="BTX20" s="19"/>
      <c r="BTY20" s="16"/>
      <c r="BTZ20" s="19"/>
      <c r="BUA20" s="16"/>
      <c r="BUB20" s="19"/>
      <c r="BUC20" s="16"/>
      <c r="BUD20" s="19"/>
      <c r="BUE20" s="16"/>
      <c r="BUF20" s="19"/>
      <c r="BUG20" s="16"/>
      <c r="BUH20" s="19"/>
      <c r="BUI20" s="16"/>
      <c r="BUJ20" s="19"/>
      <c r="BUK20" s="16"/>
      <c r="BUL20" s="19"/>
      <c r="BUM20" s="16"/>
      <c r="BUN20" s="19"/>
      <c r="BUO20" s="16"/>
      <c r="BUP20" s="19"/>
      <c r="BUQ20" s="16"/>
      <c r="BUR20" s="19"/>
      <c r="BUS20" s="16"/>
      <c r="BUT20" s="19"/>
      <c r="BUU20" s="16"/>
      <c r="BUV20" s="19"/>
      <c r="BUW20" s="16"/>
      <c r="BUX20" s="19"/>
      <c r="BUY20" s="16"/>
      <c r="BUZ20" s="19"/>
      <c r="BVA20" s="16"/>
      <c r="BVB20" s="19"/>
      <c r="BVC20" s="16"/>
      <c r="BVD20" s="19"/>
      <c r="BVE20" s="16"/>
      <c r="BVF20" s="19"/>
      <c r="BVG20" s="16"/>
      <c r="BVH20" s="19"/>
      <c r="BVI20" s="16"/>
      <c r="BVJ20" s="19"/>
      <c r="BVK20" s="16"/>
      <c r="BVL20" s="19"/>
      <c r="BVM20" s="16"/>
      <c r="BVN20" s="19"/>
      <c r="BVO20" s="16"/>
      <c r="BVP20" s="19"/>
      <c r="BVQ20" s="16"/>
      <c r="BVR20" s="19"/>
      <c r="BVS20" s="16"/>
      <c r="BVT20" s="19"/>
      <c r="BVU20" s="16"/>
      <c r="BVV20" s="19"/>
      <c r="BVW20" s="16"/>
      <c r="BVX20" s="19"/>
      <c r="BVY20" s="16"/>
      <c r="BVZ20" s="19"/>
      <c r="BWA20" s="16"/>
      <c r="BWB20" s="19"/>
      <c r="BWC20" s="16"/>
      <c r="BWD20" s="19"/>
      <c r="BWE20" s="16"/>
      <c r="BWF20" s="19"/>
      <c r="BWG20" s="16"/>
      <c r="BWH20" s="19"/>
      <c r="BWI20" s="16"/>
      <c r="BWJ20" s="19"/>
      <c r="BWK20" s="16"/>
      <c r="BWL20" s="19"/>
      <c r="BWM20" s="16"/>
      <c r="BWN20" s="19"/>
      <c r="BWO20" s="16"/>
      <c r="BWP20" s="19"/>
      <c r="BWQ20" s="16"/>
      <c r="BWR20" s="19"/>
      <c r="BWS20" s="16"/>
      <c r="BWT20" s="19"/>
      <c r="BWU20" s="16"/>
      <c r="BWV20" s="19"/>
      <c r="BWW20" s="16"/>
      <c r="BWX20" s="19"/>
      <c r="BWY20" s="16"/>
      <c r="BWZ20" s="19"/>
      <c r="BXA20" s="16"/>
      <c r="BXB20" s="19"/>
      <c r="BXC20" s="16"/>
      <c r="BXD20" s="19"/>
      <c r="BXE20" s="16"/>
      <c r="BXF20" s="19"/>
      <c r="BXG20" s="16"/>
      <c r="BXH20" s="19"/>
      <c r="BXI20" s="16"/>
      <c r="BXJ20" s="19"/>
      <c r="BXK20" s="16"/>
      <c r="BXL20" s="19"/>
      <c r="BXM20" s="16"/>
      <c r="BXN20" s="19"/>
      <c r="BXO20" s="16"/>
      <c r="BXP20" s="19"/>
      <c r="BXQ20" s="16"/>
      <c r="BXR20" s="19"/>
      <c r="BXS20" s="16"/>
      <c r="BXT20" s="19"/>
      <c r="BXU20" s="16"/>
      <c r="BXV20" s="19"/>
      <c r="BXW20" s="16"/>
      <c r="BXX20" s="19"/>
      <c r="BXY20" s="16"/>
      <c r="BXZ20" s="19"/>
      <c r="BYA20" s="16"/>
      <c r="BYB20" s="19"/>
      <c r="BYC20" s="16"/>
      <c r="BYD20" s="19"/>
      <c r="BYE20" s="16"/>
      <c r="BYF20" s="19"/>
      <c r="BYG20" s="16"/>
      <c r="BYH20" s="19"/>
      <c r="BYI20" s="16"/>
      <c r="BYJ20" s="19"/>
      <c r="BYK20" s="16"/>
      <c r="BYL20" s="19"/>
      <c r="BYM20" s="16"/>
      <c r="BYN20" s="19"/>
      <c r="BYO20" s="16"/>
      <c r="BYP20" s="19"/>
      <c r="BYQ20" s="16"/>
      <c r="BYR20" s="19"/>
      <c r="BYS20" s="16"/>
      <c r="BYT20" s="19"/>
      <c r="BYU20" s="16"/>
      <c r="BYV20" s="19"/>
      <c r="BYW20" s="16"/>
      <c r="BYX20" s="19"/>
      <c r="BYY20" s="16"/>
      <c r="BYZ20" s="19"/>
      <c r="BZA20" s="16"/>
      <c r="BZB20" s="19"/>
      <c r="BZC20" s="16"/>
      <c r="BZD20" s="19"/>
      <c r="BZE20" s="16"/>
      <c r="BZF20" s="19"/>
      <c r="BZG20" s="16"/>
      <c r="BZH20" s="19"/>
      <c r="BZI20" s="16"/>
      <c r="BZJ20" s="19"/>
      <c r="BZK20" s="16"/>
      <c r="BZL20" s="19"/>
      <c r="BZM20" s="16"/>
      <c r="BZN20" s="19"/>
      <c r="BZO20" s="16"/>
      <c r="BZP20" s="19"/>
      <c r="BZQ20" s="16"/>
      <c r="BZR20" s="19"/>
      <c r="BZS20" s="16"/>
      <c r="BZT20" s="19"/>
      <c r="BZU20" s="16"/>
      <c r="BZV20" s="19"/>
      <c r="BZW20" s="16"/>
      <c r="BZX20" s="19"/>
      <c r="BZY20" s="16"/>
      <c r="BZZ20" s="19"/>
      <c r="CAA20" s="16"/>
      <c r="CAB20" s="19"/>
      <c r="CAC20" s="16"/>
      <c r="CAD20" s="19"/>
      <c r="CAE20" s="16"/>
      <c r="CAF20" s="19"/>
      <c r="CAG20" s="16"/>
      <c r="CAH20" s="19"/>
      <c r="CAI20" s="16"/>
      <c r="CAJ20" s="19"/>
      <c r="CAK20" s="16"/>
      <c r="CAL20" s="19"/>
      <c r="CAM20" s="16"/>
      <c r="CAN20" s="19"/>
      <c r="CAO20" s="16"/>
      <c r="CAP20" s="19"/>
      <c r="CAQ20" s="16"/>
      <c r="CAR20" s="19"/>
      <c r="CAS20" s="16"/>
      <c r="CAT20" s="19"/>
      <c r="CAU20" s="16"/>
      <c r="CAV20" s="19"/>
      <c r="CAW20" s="16"/>
      <c r="CAX20" s="19"/>
      <c r="CAY20" s="16"/>
      <c r="CAZ20" s="19"/>
      <c r="CBA20" s="16"/>
      <c r="CBB20" s="19"/>
      <c r="CBC20" s="16"/>
      <c r="CBD20" s="19"/>
      <c r="CBE20" s="16"/>
      <c r="CBF20" s="19"/>
      <c r="CBG20" s="16"/>
      <c r="CBH20" s="19"/>
      <c r="CBI20" s="16"/>
      <c r="CBJ20" s="19"/>
      <c r="CBK20" s="16"/>
      <c r="CBL20" s="19"/>
      <c r="CBM20" s="16"/>
      <c r="CBN20" s="19"/>
      <c r="CBO20" s="16"/>
      <c r="CBP20" s="19"/>
      <c r="CBQ20" s="16"/>
      <c r="CBR20" s="19"/>
      <c r="CBS20" s="16"/>
      <c r="CBT20" s="19"/>
      <c r="CBU20" s="16"/>
      <c r="CBV20" s="19"/>
      <c r="CBW20" s="16"/>
      <c r="CBX20" s="19"/>
      <c r="CBY20" s="16"/>
      <c r="CBZ20" s="19"/>
      <c r="CCA20" s="16"/>
      <c r="CCB20" s="19"/>
      <c r="CCC20" s="16"/>
      <c r="CCD20" s="19"/>
      <c r="CCE20" s="16"/>
      <c r="CCF20" s="19"/>
      <c r="CCG20" s="16"/>
      <c r="CCH20" s="19"/>
      <c r="CCI20" s="16"/>
      <c r="CCJ20" s="19"/>
      <c r="CCK20" s="16"/>
      <c r="CCL20" s="19"/>
      <c r="CCM20" s="16"/>
      <c r="CCN20" s="19"/>
      <c r="CCO20" s="16"/>
      <c r="CCP20" s="19"/>
      <c r="CCQ20" s="16"/>
      <c r="CCR20" s="19"/>
      <c r="CCS20" s="16"/>
      <c r="CCT20" s="19"/>
      <c r="CCU20" s="16"/>
      <c r="CCV20" s="19"/>
      <c r="CCW20" s="16"/>
      <c r="CCX20" s="19"/>
      <c r="CCY20" s="16"/>
      <c r="CCZ20" s="19"/>
      <c r="CDA20" s="16"/>
      <c r="CDB20" s="19"/>
      <c r="CDC20" s="16"/>
      <c r="CDD20" s="19"/>
      <c r="CDE20" s="16"/>
      <c r="CDF20" s="19"/>
      <c r="CDG20" s="16"/>
      <c r="CDH20" s="19"/>
      <c r="CDI20" s="16"/>
      <c r="CDJ20" s="19"/>
      <c r="CDK20" s="16"/>
      <c r="CDL20" s="19"/>
      <c r="CDM20" s="16"/>
      <c r="CDN20" s="19"/>
      <c r="CDO20" s="16"/>
      <c r="CDP20" s="19"/>
      <c r="CDQ20" s="16"/>
      <c r="CDR20" s="19"/>
      <c r="CDS20" s="16"/>
      <c r="CDT20" s="19"/>
      <c r="CDU20" s="16"/>
      <c r="CDV20" s="19"/>
      <c r="CDW20" s="16"/>
      <c r="CDX20" s="19"/>
      <c r="CDY20" s="16"/>
      <c r="CDZ20" s="19"/>
      <c r="CEA20" s="16"/>
      <c r="CEB20" s="19"/>
      <c r="CEC20" s="16"/>
      <c r="CED20" s="19"/>
      <c r="CEE20" s="16"/>
      <c r="CEF20" s="19"/>
      <c r="CEG20" s="16"/>
      <c r="CEH20" s="19"/>
      <c r="CEI20" s="16"/>
      <c r="CEJ20" s="19"/>
      <c r="CEK20" s="16"/>
      <c r="CEL20" s="19"/>
      <c r="CEM20" s="16"/>
      <c r="CEN20" s="19"/>
      <c r="CEO20" s="16"/>
      <c r="CEP20" s="19"/>
      <c r="CEQ20" s="16"/>
      <c r="CER20" s="19"/>
      <c r="CES20" s="16"/>
      <c r="CET20" s="19"/>
      <c r="CEU20" s="16"/>
      <c r="CEV20" s="19"/>
      <c r="CEW20" s="16"/>
      <c r="CEX20" s="19"/>
      <c r="CEY20" s="16"/>
      <c r="CEZ20" s="19"/>
      <c r="CFA20" s="16"/>
      <c r="CFB20" s="19"/>
      <c r="CFC20" s="16"/>
      <c r="CFD20" s="19"/>
      <c r="CFE20" s="16"/>
      <c r="CFF20" s="19"/>
      <c r="CFG20" s="16"/>
      <c r="CFH20" s="19"/>
      <c r="CFI20" s="16"/>
      <c r="CFJ20" s="19"/>
      <c r="CFK20" s="16"/>
      <c r="CFL20" s="19"/>
      <c r="CFM20" s="16"/>
      <c r="CFN20" s="19"/>
      <c r="CFO20" s="16"/>
      <c r="CFP20" s="19"/>
      <c r="CFQ20" s="16"/>
      <c r="CFR20" s="19"/>
      <c r="CFS20" s="16"/>
      <c r="CFT20" s="19"/>
      <c r="CFU20" s="16"/>
      <c r="CFV20" s="19"/>
      <c r="CFW20" s="16"/>
      <c r="CFX20" s="19"/>
      <c r="CFY20" s="16"/>
      <c r="CFZ20" s="19"/>
      <c r="CGA20" s="16"/>
      <c r="CGB20" s="19"/>
      <c r="CGC20" s="16"/>
      <c r="CGD20" s="19"/>
      <c r="CGE20" s="16"/>
      <c r="CGF20" s="19"/>
      <c r="CGG20" s="16"/>
      <c r="CGH20" s="19"/>
      <c r="CGI20" s="16"/>
      <c r="CGJ20" s="19"/>
      <c r="CGK20" s="16"/>
      <c r="CGL20" s="19"/>
      <c r="CGM20" s="16"/>
      <c r="CGN20" s="19"/>
      <c r="CGO20" s="16"/>
      <c r="CGP20" s="19"/>
      <c r="CGQ20" s="16"/>
      <c r="CGR20" s="19"/>
      <c r="CGS20" s="16"/>
      <c r="CGT20" s="19"/>
      <c r="CGU20" s="16"/>
      <c r="CGV20" s="19"/>
      <c r="CGW20" s="16"/>
      <c r="CGX20" s="19"/>
      <c r="CGY20" s="16"/>
      <c r="CGZ20" s="19"/>
      <c r="CHA20" s="16"/>
      <c r="CHB20" s="19"/>
      <c r="CHC20" s="16"/>
      <c r="CHD20" s="19"/>
      <c r="CHE20" s="16"/>
      <c r="CHF20" s="19"/>
      <c r="CHG20" s="16"/>
      <c r="CHH20" s="19"/>
      <c r="CHI20" s="16"/>
      <c r="CHJ20" s="19"/>
      <c r="CHK20" s="16"/>
      <c r="CHL20" s="19"/>
      <c r="CHM20" s="16"/>
      <c r="CHN20" s="19"/>
      <c r="CHO20" s="16"/>
      <c r="CHP20" s="19"/>
      <c r="CHQ20" s="16"/>
      <c r="CHR20" s="19"/>
      <c r="CHS20" s="16"/>
      <c r="CHT20" s="19"/>
      <c r="CHU20" s="16"/>
      <c r="CHV20" s="19"/>
      <c r="CHW20" s="16"/>
      <c r="CHX20" s="19"/>
      <c r="CHY20" s="16"/>
      <c r="CHZ20" s="19"/>
      <c r="CIA20" s="16"/>
      <c r="CIB20" s="19"/>
      <c r="CIC20" s="16"/>
      <c r="CID20" s="19"/>
      <c r="CIE20" s="16"/>
      <c r="CIF20" s="19"/>
      <c r="CIG20" s="16"/>
      <c r="CIH20" s="19"/>
      <c r="CII20" s="16"/>
      <c r="CIJ20" s="19"/>
      <c r="CIK20" s="16"/>
      <c r="CIL20" s="19"/>
      <c r="CIM20" s="16"/>
      <c r="CIN20" s="19"/>
      <c r="CIO20" s="16"/>
      <c r="CIP20" s="19"/>
      <c r="CIQ20" s="16"/>
      <c r="CIR20" s="19"/>
      <c r="CIS20" s="16"/>
      <c r="CIT20" s="19"/>
      <c r="CIU20" s="16"/>
      <c r="CIV20" s="19"/>
      <c r="CIW20" s="16"/>
      <c r="CIX20" s="19"/>
      <c r="CIY20" s="16"/>
      <c r="CIZ20" s="19"/>
      <c r="CJA20" s="16"/>
      <c r="CJB20" s="19"/>
      <c r="CJC20" s="16"/>
      <c r="CJD20" s="19"/>
      <c r="CJE20" s="16"/>
      <c r="CJF20" s="19"/>
      <c r="CJG20" s="16"/>
      <c r="CJH20" s="19"/>
      <c r="CJI20" s="16"/>
      <c r="CJJ20" s="19"/>
      <c r="CJK20" s="16"/>
      <c r="CJL20" s="19"/>
      <c r="CJM20" s="16"/>
      <c r="CJN20" s="19"/>
      <c r="CJO20" s="16"/>
      <c r="CJP20" s="19"/>
      <c r="CJQ20" s="16"/>
      <c r="CJR20" s="19"/>
      <c r="CJS20" s="16"/>
      <c r="CJT20" s="19"/>
      <c r="CJU20" s="16"/>
      <c r="CJV20" s="19"/>
      <c r="CJW20" s="16"/>
      <c r="CJX20" s="19"/>
      <c r="CJY20" s="16"/>
      <c r="CJZ20" s="19"/>
      <c r="CKA20" s="16"/>
      <c r="CKB20" s="19"/>
      <c r="CKC20" s="16"/>
      <c r="CKD20" s="19"/>
      <c r="CKE20" s="16"/>
      <c r="CKF20" s="19"/>
      <c r="CKG20" s="16"/>
      <c r="CKH20" s="19"/>
      <c r="CKI20" s="16"/>
      <c r="CKJ20" s="19"/>
      <c r="CKK20" s="16"/>
      <c r="CKL20" s="19"/>
      <c r="CKM20" s="16"/>
      <c r="CKN20" s="19"/>
      <c r="CKO20" s="16"/>
      <c r="CKP20" s="19"/>
      <c r="CKQ20" s="16"/>
      <c r="CKR20" s="19"/>
      <c r="CKS20" s="16"/>
      <c r="CKT20" s="19"/>
      <c r="CKU20" s="16"/>
      <c r="CKV20" s="19"/>
      <c r="CKW20" s="16"/>
      <c r="CKX20" s="19"/>
      <c r="CKY20" s="16"/>
      <c r="CKZ20" s="19"/>
      <c r="CLA20" s="16"/>
      <c r="CLB20" s="19"/>
      <c r="CLC20" s="16"/>
      <c r="CLD20" s="19"/>
      <c r="CLE20" s="16"/>
      <c r="CLF20" s="19"/>
      <c r="CLG20" s="16"/>
      <c r="CLH20" s="19"/>
      <c r="CLI20" s="16"/>
      <c r="CLJ20" s="19"/>
      <c r="CLK20" s="16"/>
      <c r="CLL20" s="19"/>
      <c r="CLM20" s="16"/>
      <c r="CLN20" s="19"/>
      <c r="CLO20" s="16"/>
      <c r="CLP20" s="19"/>
      <c r="CLQ20" s="16"/>
      <c r="CLR20" s="19"/>
      <c r="CLS20" s="16"/>
      <c r="CLT20" s="19"/>
      <c r="CLU20" s="16"/>
      <c r="CLV20" s="19"/>
      <c r="CLW20" s="16"/>
      <c r="CLX20" s="19"/>
      <c r="CLY20" s="16"/>
      <c r="CLZ20" s="19"/>
      <c r="CMA20" s="16"/>
      <c r="CMB20" s="19"/>
      <c r="CMC20" s="16"/>
      <c r="CMD20" s="19"/>
      <c r="CME20" s="16"/>
      <c r="CMF20" s="19"/>
      <c r="CMG20" s="16"/>
      <c r="CMH20" s="19"/>
      <c r="CMI20" s="16"/>
      <c r="CMJ20" s="19"/>
      <c r="CMK20" s="16"/>
      <c r="CML20" s="19"/>
      <c r="CMM20" s="16"/>
      <c r="CMN20" s="19"/>
      <c r="CMO20" s="16"/>
      <c r="CMP20" s="19"/>
      <c r="CMQ20" s="16"/>
      <c r="CMR20" s="19"/>
      <c r="CMS20" s="16"/>
      <c r="CMT20" s="19"/>
      <c r="CMU20" s="16"/>
      <c r="CMV20" s="19"/>
      <c r="CMW20" s="16"/>
      <c r="CMX20" s="19"/>
      <c r="CMY20" s="16"/>
      <c r="CMZ20" s="19"/>
      <c r="CNA20" s="16"/>
      <c r="CNB20" s="19"/>
      <c r="CNC20" s="16"/>
      <c r="CND20" s="19"/>
      <c r="CNE20" s="16"/>
      <c r="CNF20" s="19"/>
      <c r="CNG20" s="16"/>
      <c r="CNH20" s="19"/>
      <c r="CNI20" s="16"/>
      <c r="CNJ20" s="19"/>
      <c r="CNK20" s="16"/>
      <c r="CNL20" s="19"/>
      <c r="CNM20" s="16"/>
      <c r="CNN20" s="19"/>
      <c r="CNO20" s="16"/>
      <c r="CNP20" s="19"/>
      <c r="CNQ20" s="16"/>
      <c r="CNR20" s="19"/>
      <c r="CNS20" s="16"/>
      <c r="CNT20" s="19"/>
      <c r="CNU20" s="16"/>
      <c r="CNV20" s="19"/>
      <c r="CNW20" s="16"/>
      <c r="CNX20" s="19"/>
      <c r="CNY20" s="16"/>
      <c r="CNZ20" s="19"/>
      <c r="COA20" s="16"/>
      <c r="COB20" s="19"/>
      <c r="COC20" s="16"/>
      <c r="COD20" s="19"/>
      <c r="COE20" s="16"/>
      <c r="COF20" s="19"/>
      <c r="COG20" s="16"/>
      <c r="COH20" s="19"/>
      <c r="COI20" s="16"/>
      <c r="COJ20" s="19"/>
      <c r="COK20" s="16"/>
      <c r="COL20" s="19"/>
      <c r="COM20" s="16"/>
      <c r="CON20" s="19"/>
      <c r="COO20" s="16"/>
      <c r="COP20" s="19"/>
      <c r="COQ20" s="16"/>
      <c r="COR20" s="19"/>
      <c r="COS20" s="16"/>
      <c r="COT20" s="19"/>
      <c r="COU20" s="16"/>
      <c r="COV20" s="19"/>
      <c r="COW20" s="16"/>
      <c r="COX20" s="19"/>
      <c r="COY20" s="16"/>
      <c r="COZ20" s="19"/>
      <c r="CPA20" s="16"/>
      <c r="CPB20" s="19"/>
      <c r="CPC20" s="16"/>
      <c r="CPD20" s="19"/>
      <c r="CPE20" s="16"/>
      <c r="CPF20" s="19"/>
      <c r="CPG20" s="16"/>
      <c r="CPH20" s="19"/>
      <c r="CPI20" s="16"/>
      <c r="CPJ20" s="19"/>
      <c r="CPK20" s="16"/>
      <c r="CPL20" s="19"/>
      <c r="CPM20" s="16"/>
      <c r="CPN20" s="19"/>
      <c r="CPO20" s="16"/>
      <c r="CPP20" s="19"/>
      <c r="CPQ20" s="16"/>
      <c r="CPR20" s="19"/>
      <c r="CPS20" s="16"/>
      <c r="CPT20" s="19"/>
      <c r="CPU20" s="16"/>
      <c r="CPV20" s="19"/>
      <c r="CPW20" s="16"/>
      <c r="CPX20" s="19"/>
      <c r="CPY20" s="16"/>
      <c r="CPZ20" s="19"/>
      <c r="CQA20" s="16"/>
      <c r="CQB20" s="19"/>
      <c r="CQC20" s="16"/>
      <c r="CQD20" s="19"/>
      <c r="CQE20" s="16"/>
      <c r="CQF20" s="19"/>
      <c r="CQG20" s="16"/>
      <c r="CQH20" s="19"/>
      <c r="CQI20" s="16"/>
      <c r="CQJ20" s="19"/>
      <c r="CQK20" s="16"/>
      <c r="CQL20" s="19"/>
      <c r="CQM20" s="16"/>
      <c r="CQN20" s="19"/>
      <c r="CQO20" s="16"/>
      <c r="CQP20" s="19"/>
      <c r="CQQ20" s="16"/>
      <c r="CQR20" s="19"/>
      <c r="CQS20" s="16"/>
      <c r="CQT20" s="19"/>
      <c r="CQU20" s="16"/>
      <c r="CQV20" s="19"/>
      <c r="CQW20" s="16"/>
      <c r="CQX20" s="19"/>
      <c r="CQY20" s="16"/>
      <c r="CQZ20" s="19"/>
      <c r="CRA20" s="16"/>
      <c r="CRB20" s="19"/>
      <c r="CRC20" s="16"/>
      <c r="CRD20" s="19"/>
      <c r="CRE20" s="16"/>
      <c r="CRF20" s="19"/>
      <c r="CRG20" s="16"/>
      <c r="CRH20" s="19"/>
      <c r="CRI20" s="16"/>
      <c r="CRJ20" s="19"/>
      <c r="CRK20" s="16"/>
      <c r="CRL20" s="19"/>
      <c r="CRM20" s="16"/>
      <c r="CRN20" s="19"/>
      <c r="CRO20" s="16"/>
      <c r="CRP20" s="19"/>
      <c r="CRQ20" s="16"/>
      <c r="CRR20" s="19"/>
      <c r="CRS20" s="16"/>
      <c r="CRT20" s="19"/>
      <c r="CRU20" s="16"/>
      <c r="CRV20" s="19"/>
      <c r="CRW20" s="16"/>
      <c r="CRX20" s="19"/>
      <c r="CRY20" s="16"/>
      <c r="CRZ20" s="19"/>
      <c r="CSA20" s="16"/>
      <c r="CSB20" s="19"/>
      <c r="CSC20" s="16"/>
      <c r="CSD20" s="19"/>
      <c r="CSE20" s="16"/>
      <c r="CSF20" s="19"/>
      <c r="CSG20" s="16"/>
      <c r="CSH20" s="19"/>
      <c r="CSI20" s="16"/>
      <c r="CSJ20" s="19"/>
      <c r="CSK20" s="16"/>
      <c r="CSL20" s="19"/>
      <c r="CSM20" s="16"/>
      <c r="CSN20" s="19"/>
      <c r="CSO20" s="16"/>
      <c r="CSP20" s="19"/>
      <c r="CSQ20" s="16"/>
      <c r="CSR20" s="19"/>
      <c r="CSS20" s="16"/>
      <c r="CST20" s="19"/>
      <c r="CSU20" s="16"/>
      <c r="CSV20" s="19"/>
      <c r="CSW20" s="16"/>
      <c r="CSX20" s="19"/>
      <c r="CSY20" s="16"/>
      <c r="CSZ20" s="19"/>
      <c r="CTA20" s="16"/>
      <c r="CTB20" s="19"/>
      <c r="CTC20" s="16"/>
      <c r="CTD20" s="19"/>
      <c r="CTE20" s="16"/>
      <c r="CTF20" s="19"/>
      <c r="CTG20" s="16"/>
      <c r="CTH20" s="19"/>
      <c r="CTI20" s="16"/>
      <c r="CTJ20" s="19"/>
      <c r="CTK20" s="16"/>
      <c r="CTL20" s="19"/>
      <c r="CTM20" s="16"/>
      <c r="CTN20" s="19"/>
      <c r="CTO20" s="16"/>
      <c r="CTP20" s="19"/>
      <c r="CTQ20" s="16"/>
      <c r="CTR20" s="19"/>
      <c r="CTS20" s="16"/>
      <c r="CTT20" s="19"/>
      <c r="CTU20" s="16"/>
      <c r="CTV20" s="19"/>
      <c r="CTW20" s="16"/>
      <c r="CTX20" s="19"/>
      <c r="CTY20" s="16"/>
      <c r="CTZ20" s="19"/>
      <c r="CUA20" s="16"/>
      <c r="CUB20" s="19"/>
      <c r="CUC20" s="16"/>
      <c r="CUD20" s="19"/>
      <c r="CUE20" s="16"/>
      <c r="CUF20" s="19"/>
      <c r="CUG20" s="16"/>
      <c r="CUH20" s="19"/>
      <c r="CUI20" s="16"/>
      <c r="CUJ20" s="19"/>
      <c r="CUK20" s="16"/>
      <c r="CUL20" s="19"/>
      <c r="CUM20" s="16"/>
      <c r="CUN20" s="19"/>
      <c r="CUO20" s="16"/>
      <c r="CUP20" s="19"/>
      <c r="CUQ20" s="16"/>
      <c r="CUR20" s="19"/>
      <c r="CUS20" s="16"/>
      <c r="CUT20" s="19"/>
      <c r="CUU20" s="16"/>
      <c r="CUV20" s="19"/>
      <c r="CUW20" s="16"/>
      <c r="CUX20" s="19"/>
      <c r="CUY20" s="16"/>
      <c r="CUZ20" s="19"/>
      <c r="CVA20" s="16"/>
      <c r="CVB20" s="19"/>
      <c r="CVC20" s="16"/>
      <c r="CVD20" s="19"/>
      <c r="CVE20" s="16"/>
      <c r="CVF20" s="19"/>
      <c r="CVG20" s="16"/>
      <c r="CVH20" s="19"/>
      <c r="CVI20" s="16"/>
      <c r="CVJ20" s="19"/>
      <c r="CVK20" s="16"/>
      <c r="CVL20" s="19"/>
      <c r="CVM20" s="16"/>
      <c r="CVN20" s="19"/>
      <c r="CVO20" s="16"/>
      <c r="CVP20" s="19"/>
      <c r="CVQ20" s="16"/>
      <c r="CVR20" s="19"/>
      <c r="CVS20" s="16"/>
      <c r="CVT20" s="19"/>
      <c r="CVU20" s="16"/>
      <c r="CVV20" s="19"/>
      <c r="CVW20" s="16"/>
      <c r="CVX20" s="19"/>
      <c r="CVY20" s="16"/>
      <c r="CVZ20" s="19"/>
      <c r="CWA20" s="16"/>
      <c r="CWB20" s="19"/>
      <c r="CWC20" s="16"/>
      <c r="CWD20" s="19"/>
      <c r="CWE20" s="16"/>
      <c r="CWF20" s="19"/>
      <c r="CWG20" s="16"/>
      <c r="CWH20" s="19"/>
      <c r="CWI20" s="16"/>
      <c r="CWJ20" s="19"/>
      <c r="CWK20" s="16"/>
      <c r="CWL20" s="19"/>
      <c r="CWM20" s="16"/>
      <c r="CWN20" s="19"/>
      <c r="CWO20" s="16"/>
      <c r="CWP20" s="19"/>
      <c r="CWQ20" s="16"/>
      <c r="CWR20" s="19"/>
      <c r="CWS20" s="16"/>
      <c r="CWT20" s="19"/>
      <c r="CWU20" s="16"/>
      <c r="CWV20" s="19"/>
      <c r="CWW20" s="16"/>
      <c r="CWX20" s="19"/>
      <c r="CWY20" s="16"/>
      <c r="CWZ20" s="19"/>
      <c r="CXA20" s="16"/>
      <c r="CXB20" s="19"/>
      <c r="CXC20" s="16"/>
      <c r="CXD20" s="19"/>
      <c r="CXE20" s="16"/>
      <c r="CXF20" s="19"/>
      <c r="CXG20" s="16"/>
      <c r="CXH20" s="19"/>
      <c r="CXI20" s="16"/>
      <c r="CXJ20" s="19"/>
      <c r="CXK20" s="16"/>
      <c r="CXL20" s="19"/>
      <c r="CXM20" s="16"/>
      <c r="CXN20" s="19"/>
      <c r="CXO20" s="16"/>
      <c r="CXP20" s="19"/>
      <c r="CXQ20" s="16"/>
      <c r="CXR20" s="19"/>
      <c r="CXS20" s="16"/>
      <c r="CXT20" s="19"/>
      <c r="CXU20" s="16"/>
      <c r="CXV20" s="19"/>
      <c r="CXW20" s="16"/>
      <c r="CXX20" s="19"/>
      <c r="CXY20" s="16"/>
      <c r="CXZ20" s="19"/>
      <c r="CYA20" s="16"/>
      <c r="CYB20" s="19"/>
      <c r="CYC20" s="16"/>
      <c r="CYD20" s="19"/>
      <c r="CYE20" s="16"/>
      <c r="CYF20" s="19"/>
      <c r="CYG20" s="16"/>
      <c r="CYH20" s="19"/>
      <c r="CYI20" s="16"/>
      <c r="CYJ20" s="19"/>
      <c r="CYK20" s="16"/>
      <c r="CYL20" s="19"/>
      <c r="CYM20" s="16"/>
      <c r="CYN20" s="19"/>
      <c r="CYO20" s="16"/>
      <c r="CYP20" s="19"/>
      <c r="CYQ20" s="16"/>
      <c r="CYR20" s="19"/>
      <c r="CYS20" s="16"/>
      <c r="CYT20" s="19"/>
      <c r="CYU20" s="16"/>
      <c r="CYV20" s="19"/>
      <c r="CYW20" s="16"/>
      <c r="CYX20" s="19"/>
      <c r="CYY20" s="16"/>
      <c r="CYZ20" s="19"/>
      <c r="CZA20" s="16"/>
      <c r="CZB20" s="19"/>
      <c r="CZC20" s="16"/>
      <c r="CZD20" s="19"/>
      <c r="CZE20" s="16"/>
      <c r="CZF20" s="19"/>
      <c r="CZG20" s="16"/>
      <c r="CZH20" s="19"/>
      <c r="CZI20" s="16"/>
      <c r="CZJ20" s="19"/>
      <c r="CZK20" s="16"/>
      <c r="CZL20" s="19"/>
      <c r="CZM20" s="16"/>
      <c r="CZN20" s="19"/>
      <c r="CZO20" s="16"/>
      <c r="CZP20" s="19"/>
      <c r="CZQ20" s="16"/>
      <c r="CZR20" s="19"/>
      <c r="CZS20" s="16"/>
      <c r="CZT20" s="19"/>
      <c r="CZU20" s="16"/>
      <c r="CZV20" s="19"/>
      <c r="CZW20" s="16"/>
      <c r="CZX20" s="19"/>
      <c r="CZY20" s="16"/>
      <c r="CZZ20" s="19"/>
      <c r="DAA20" s="16"/>
      <c r="DAB20" s="19"/>
      <c r="DAC20" s="16"/>
      <c r="DAD20" s="19"/>
      <c r="DAE20" s="16"/>
      <c r="DAF20" s="19"/>
      <c r="DAG20" s="16"/>
      <c r="DAH20" s="19"/>
      <c r="DAI20" s="16"/>
      <c r="DAJ20" s="19"/>
      <c r="DAK20" s="16"/>
      <c r="DAL20" s="19"/>
      <c r="DAM20" s="16"/>
      <c r="DAN20" s="19"/>
      <c r="DAO20" s="16"/>
      <c r="DAP20" s="19"/>
      <c r="DAQ20" s="16"/>
      <c r="DAR20" s="19"/>
      <c r="DAS20" s="16"/>
      <c r="DAT20" s="19"/>
      <c r="DAU20" s="16"/>
      <c r="DAV20" s="19"/>
      <c r="DAW20" s="16"/>
      <c r="DAX20" s="19"/>
      <c r="DAY20" s="16"/>
      <c r="DAZ20" s="19"/>
      <c r="DBA20" s="16"/>
      <c r="DBB20" s="19"/>
      <c r="DBC20" s="16"/>
      <c r="DBD20" s="19"/>
      <c r="DBE20" s="16"/>
      <c r="DBF20" s="19"/>
      <c r="DBG20" s="16"/>
      <c r="DBH20" s="19"/>
      <c r="DBI20" s="16"/>
      <c r="DBJ20" s="19"/>
      <c r="DBK20" s="16"/>
      <c r="DBL20" s="19"/>
      <c r="DBM20" s="16"/>
      <c r="DBN20" s="19"/>
      <c r="DBO20" s="16"/>
      <c r="DBP20" s="19"/>
      <c r="DBQ20" s="16"/>
      <c r="DBR20" s="19"/>
      <c r="DBS20" s="16"/>
      <c r="DBT20" s="19"/>
      <c r="DBU20" s="16"/>
      <c r="DBV20" s="19"/>
      <c r="DBW20" s="16"/>
      <c r="DBX20" s="19"/>
      <c r="DBY20" s="16"/>
      <c r="DBZ20" s="19"/>
      <c r="DCA20" s="16"/>
      <c r="DCB20" s="19"/>
      <c r="DCC20" s="16"/>
      <c r="DCD20" s="19"/>
      <c r="DCE20" s="16"/>
      <c r="DCF20" s="19"/>
      <c r="DCG20" s="16"/>
      <c r="DCH20" s="19"/>
      <c r="DCI20" s="16"/>
      <c r="DCJ20" s="19"/>
      <c r="DCK20" s="16"/>
      <c r="DCL20" s="19"/>
      <c r="DCM20" s="16"/>
      <c r="DCN20" s="19"/>
      <c r="DCO20" s="16"/>
      <c r="DCP20" s="19"/>
      <c r="DCQ20" s="16"/>
      <c r="DCR20" s="19"/>
      <c r="DCS20" s="16"/>
      <c r="DCT20" s="19"/>
      <c r="DCU20" s="16"/>
      <c r="DCV20" s="19"/>
      <c r="DCW20" s="16"/>
      <c r="DCX20" s="19"/>
      <c r="DCY20" s="16"/>
      <c r="DCZ20" s="19"/>
      <c r="DDA20" s="16"/>
      <c r="DDB20" s="19"/>
      <c r="DDC20" s="16"/>
      <c r="DDD20" s="19"/>
      <c r="DDE20" s="16"/>
      <c r="DDF20" s="19"/>
      <c r="DDG20" s="16"/>
      <c r="DDH20" s="19"/>
      <c r="DDI20" s="16"/>
      <c r="DDJ20" s="19"/>
      <c r="DDK20" s="16"/>
      <c r="DDL20" s="19"/>
      <c r="DDM20" s="16"/>
      <c r="DDN20" s="19"/>
      <c r="DDO20" s="16"/>
      <c r="DDP20" s="19"/>
      <c r="DDQ20" s="16"/>
      <c r="DDR20" s="19"/>
      <c r="DDS20" s="16"/>
      <c r="DDT20" s="19"/>
      <c r="DDU20" s="16"/>
      <c r="DDV20" s="19"/>
      <c r="DDW20" s="16"/>
      <c r="DDX20" s="19"/>
      <c r="DDY20" s="16"/>
      <c r="DDZ20" s="19"/>
      <c r="DEA20" s="16"/>
      <c r="DEB20" s="19"/>
      <c r="DEC20" s="16"/>
      <c r="DED20" s="19"/>
      <c r="DEE20" s="16"/>
      <c r="DEF20" s="19"/>
      <c r="DEG20" s="16"/>
      <c r="DEH20" s="19"/>
      <c r="DEI20" s="16"/>
      <c r="DEJ20" s="19"/>
      <c r="DEK20" s="16"/>
      <c r="DEL20" s="19"/>
      <c r="DEM20" s="16"/>
      <c r="DEN20" s="19"/>
      <c r="DEO20" s="16"/>
      <c r="DEP20" s="19"/>
      <c r="DEQ20" s="16"/>
      <c r="DER20" s="19"/>
      <c r="DES20" s="16"/>
      <c r="DET20" s="19"/>
      <c r="DEU20" s="16"/>
      <c r="DEV20" s="19"/>
      <c r="DEW20" s="16"/>
      <c r="DEX20" s="19"/>
      <c r="DEY20" s="16"/>
      <c r="DEZ20" s="19"/>
      <c r="DFA20" s="16"/>
      <c r="DFB20" s="19"/>
      <c r="DFC20" s="16"/>
      <c r="DFD20" s="19"/>
      <c r="DFE20" s="16"/>
      <c r="DFF20" s="19"/>
      <c r="DFG20" s="16"/>
      <c r="DFH20" s="19"/>
      <c r="DFI20" s="16"/>
      <c r="DFJ20" s="19"/>
      <c r="DFK20" s="16"/>
      <c r="DFL20" s="19"/>
      <c r="DFM20" s="16"/>
      <c r="DFN20" s="19"/>
      <c r="DFO20" s="16"/>
      <c r="DFP20" s="19"/>
      <c r="DFQ20" s="16"/>
      <c r="DFR20" s="19"/>
      <c r="DFS20" s="16"/>
      <c r="DFT20" s="19"/>
      <c r="DFU20" s="16"/>
      <c r="DFV20" s="19"/>
      <c r="DFW20" s="16"/>
      <c r="DFX20" s="19"/>
      <c r="DFY20" s="16"/>
      <c r="DFZ20" s="19"/>
      <c r="DGA20" s="16"/>
      <c r="DGB20" s="19"/>
      <c r="DGC20" s="16"/>
      <c r="DGD20" s="19"/>
      <c r="DGE20" s="16"/>
      <c r="DGF20" s="19"/>
      <c r="DGG20" s="16"/>
      <c r="DGH20" s="19"/>
      <c r="DGI20" s="16"/>
      <c r="DGJ20" s="19"/>
      <c r="DGK20" s="16"/>
      <c r="DGL20" s="19"/>
      <c r="DGM20" s="16"/>
      <c r="DGN20" s="19"/>
      <c r="DGO20" s="16"/>
      <c r="DGP20" s="19"/>
      <c r="DGQ20" s="16"/>
      <c r="DGR20" s="19"/>
      <c r="DGS20" s="16"/>
      <c r="DGT20" s="19"/>
      <c r="DGU20" s="16"/>
      <c r="DGV20" s="19"/>
      <c r="DGW20" s="16"/>
      <c r="DGX20" s="19"/>
      <c r="DGY20" s="16"/>
      <c r="DGZ20" s="19"/>
      <c r="DHA20" s="16"/>
      <c r="DHB20" s="19"/>
      <c r="DHC20" s="16"/>
      <c r="DHD20" s="19"/>
      <c r="DHE20" s="16"/>
      <c r="DHF20" s="19"/>
      <c r="DHG20" s="16"/>
      <c r="DHH20" s="19"/>
      <c r="DHI20" s="16"/>
      <c r="DHJ20" s="19"/>
      <c r="DHK20" s="16"/>
      <c r="DHL20" s="19"/>
      <c r="DHM20" s="16"/>
      <c r="DHN20" s="19"/>
      <c r="DHO20" s="16"/>
      <c r="DHP20" s="19"/>
      <c r="DHQ20" s="16"/>
      <c r="DHR20" s="19"/>
      <c r="DHS20" s="16"/>
      <c r="DHT20" s="19"/>
      <c r="DHU20" s="16"/>
      <c r="DHV20" s="19"/>
      <c r="DHW20" s="16"/>
      <c r="DHX20" s="19"/>
      <c r="DHY20" s="16"/>
      <c r="DHZ20" s="19"/>
      <c r="DIA20" s="16"/>
      <c r="DIB20" s="19"/>
      <c r="DIC20" s="16"/>
      <c r="DID20" s="19"/>
      <c r="DIE20" s="16"/>
      <c r="DIF20" s="19"/>
      <c r="DIG20" s="16"/>
      <c r="DIH20" s="19"/>
      <c r="DII20" s="16"/>
      <c r="DIJ20" s="19"/>
      <c r="DIK20" s="16"/>
      <c r="DIL20" s="19"/>
      <c r="DIM20" s="16"/>
      <c r="DIN20" s="19"/>
      <c r="DIO20" s="16"/>
      <c r="DIP20" s="19"/>
      <c r="DIQ20" s="16"/>
      <c r="DIR20" s="19"/>
      <c r="DIS20" s="16"/>
      <c r="DIT20" s="19"/>
      <c r="DIU20" s="16"/>
      <c r="DIV20" s="19"/>
      <c r="DIW20" s="16"/>
      <c r="DIX20" s="19"/>
      <c r="DIY20" s="16"/>
      <c r="DIZ20" s="19"/>
      <c r="DJA20" s="16"/>
      <c r="DJB20" s="19"/>
      <c r="DJC20" s="16"/>
      <c r="DJD20" s="19"/>
      <c r="DJE20" s="16"/>
      <c r="DJF20" s="19"/>
      <c r="DJG20" s="16"/>
      <c r="DJH20" s="19"/>
      <c r="DJI20" s="16"/>
      <c r="DJJ20" s="19"/>
      <c r="DJK20" s="16"/>
      <c r="DJL20" s="19"/>
      <c r="DJM20" s="16"/>
      <c r="DJN20" s="19"/>
      <c r="DJO20" s="16"/>
      <c r="DJP20" s="19"/>
      <c r="DJQ20" s="16"/>
      <c r="DJR20" s="19"/>
      <c r="DJS20" s="16"/>
      <c r="DJT20" s="19"/>
      <c r="DJU20" s="16"/>
      <c r="DJV20" s="19"/>
      <c r="DJW20" s="16"/>
      <c r="DJX20" s="19"/>
      <c r="DJY20" s="16"/>
      <c r="DJZ20" s="19"/>
      <c r="DKA20" s="16"/>
      <c r="DKB20" s="19"/>
      <c r="DKC20" s="16"/>
      <c r="DKD20" s="19"/>
      <c r="DKE20" s="16"/>
      <c r="DKF20" s="19"/>
      <c r="DKG20" s="16"/>
      <c r="DKH20" s="19"/>
      <c r="DKI20" s="16"/>
      <c r="DKJ20" s="19"/>
      <c r="DKK20" s="16"/>
      <c r="DKL20" s="19"/>
      <c r="DKM20" s="16"/>
      <c r="DKN20" s="19"/>
      <c r="DKO20" s="16"/>
      <c r="DKP20" s="19"/>
      <c r="DKQ20" s="16"/>
      <c r="DKR20" s="19"/>
      <c r="DKS20" s="16"/>
      <c r="DKT20" s="19"/>
      <c r="DKU20" s="16"/>
      <c r="DKV20" s="19"/>
      <c r="DKW20" s="16"/>
      <c r="DKX20" s="19"/>
      <c r="DKY20" s="16"/>
      <c r="DKZ20" s="19"/>
      <c r="DLA20" s="16"/>
      <c r="DLB20" s="19"/>
      <c r="DLC20" s="16"/>
      <c r="DLD20" s="19"/>
      <c r="DLE20" s="16"/>
      <c r="DLF20" s="19"/>
      <c r="DLG20" s="16"/>
      <c r="DLH20" s="19"/>
      <c r="DLI20" s="16"/>
      <c r="DLJ20" s="19"/>
      <c r="DLK20" s="16"/>
      <c r="DLL20" s="19"/>
      <c r="DLM20" s="16"/>
      <c r="DLN20" s="19"/>
      <c r="DLO20" s="16"/>
      <c r="DLP20" s="19"/>
      <c r="DLQ20" s="16"/>
      <c r="DLR20" s="19"/>
      <c r="DLS20" s="16"/>
      <c r="DLT20" s="19"/>
      <c r="DLU20" s="16"/>
      <c r="DLV20" s="19"/>
      <c r="DLW20" s="16"/>
      <c r="DLX20" s="19"/>
      <c r="DLY20" s="16"/>
      <c r="DLZ20" s="19"/>
      <c r="DMA20" s="16"/>
      <c r="DMB20" s="19"/>
      <c r="DMC20" s="16"/>
      <c r="DMD20" s="19"/>
      <c r="DME20" s="16"/>
      <c r="DMF20" s="19"/>
      <c r="DMG20" s="16"/>
      <c r="DMH20" s="19"/>
      <c r="DMI20" s="16"/>
      <c r="DMJ20" s="19"/>
      <c r="DMK20" s="16"/>
      <c r="DML20" s="19"/>
      <c r="DMM20" s="16"/>
      <c r="DMN20" s="19"/>
      <c r="DMO20" s="16"/>
      <c r="DMP20" s="19"/>
      <c r="DMQ20" s="16"/>
      <c r="DMR20" s="19"/>
      <c r="DMS20" s="16"/>
      <c r="DMT20" s="19"/>
      <c r="DMU20" s="16"/>
      <c r="DMV20" s="19"/>
      <c r="DMW20" s="16"/>
      <c r="DMX20" s="19"/>
      <c r="DMY20" s="16"/>
      <c r="DMZ20" s="19"/>
      <c r="DNA20" s="16"/>
      <c r="DNB20" s="19"/>
      <c r="DNC20" s="16"/>
      <c r="DND20" s="19"/>
      <c r="DNE20" s="16"/>
      <c r="DNF20" s="19"/>
      <c r="DNG20" s="16"/>
      <c r="DNH20" s="19"/>
      <c r="DNI20" s="16"/>
      <c r="DNJ20" s="19"/>
      <c r="DNK20" s="16"/>
      <c r="DNL20" s="19"/>
      <c r="DNM20" s="16"/>
      <c r="DNN20" s="19"/>
      <c r="DNO20" s="16"/>
      <c r="DNP20" s="19"/>
      <c r="DNQ20" s="16"/>
      <c r="DNR20" s="19"/>
      <c r="DNS20" s="16"/>
      <c r="DNT20" s="19"/>
      <c r="DNU20" s="16"/>
      <c r="DNV20" s="19"/>
      <c r="DNW20" s="16"/>
      <c r="DNX20" s="19"/>
      <c r="DNY20" s="16"/>
      <c r="DNZ20" s="19"/>
      <c r="DOA20" s="16"/>
      <c r="DOB20" s="19"/>
      <c r="DOC20" s="16"/>
      <c r="DOD20" s="19"/>
      <c r="DOE20" s="16"/>
      <c r="DOF20" s="19"/>
      <c r="DOG20" s="16"/>
      <c r="DOH20" s="19"/>
      <c r="DOI20" s="16"/>
      <c r="DOJ20" s="19"/>
      <c r="DOK20" s="16"/>
      <c r="DOL20" s="19"/>
      <c r="DOM20" s="16"/>
      <c r="DON20" s="19"/>
      <c r="DOO20" s="16"/>
      <c r="DOP20" s="19"/>
      <c r="DOQ20" s="16"/>
      <c r="DOR20" s="19"/>
      <c r="DOS20" s="16"/>
      <c r="DOT20" s="19"/>
      <c r="DOU20" s="16"/>
      <c r="DOV20" s="19"/>
      <c r="DOW20" s="16"/>
      <c r="DOX20" s="19"/>
      <c r="DOY20" s="16"/>
      <c r="DOZ20" s="19"/>
      <c r="DPA20" s="16"/>
      <c r="DPB20" s="19"/>
      <c r="DPC20" s="16"/>
      <c r="DPD20" s="19"/>
      <c r="DPE20" s="16"/>
      <c r="DPF20" s="19"/>
      <c r="DPG20" s="16"/>
      <c r="DPH20" s="19"/>
      <c r="DPI20" s="16"/>
      <c r="DPJ20" s="19"/>
      <c r="DPK20" s="16"/>
      <c r="DPL20" s="19"/>
      <c r="DPM20" s="16"/>
      <c r="DPN20" s="19"/>
      <c r="DPO20" s="16"/>
      <c r="DPP20" s="19"/>
      <c r="DPQ20" s="16"/>
      <c r="DPR20" s="19"/>
      <c r="DPS20" s="16"/>
      <c r="DPT20" s="19"/>
      <c r="DPU20" s="16"/>
      <c r="DPV20" s="19"/>
      <c r="DPW20" s="16"/>
      <c r="DPX20" s="19"/>
      <c r="DPY20" s="16"/>
      <c r="DPZ20" s="19"/>
      <c r="DQA20" s="16"/>
      <c r="DQB20" s="19"/>
      <c r="DQC20" s="16"/>
      <c r="DQD20" s="19"/>
      <c r="DQE20" s="16"/>
      <c r="DQF20" s="19"/>
      <c r="DQG20" s="16"/>
      <c r="DQH20" s="19"/>
      <c r="DQI20" s="16"/>
      <c r="DQJ20" s="19"/>
      <c r="DQK20" s="16"/>
      <c r="DQL20" s="19"/>
      <c r="DQM20" s="16"/>
      <c r="DQN20" s="19"/>
      <c r="DQO20" s="16"/>
      <c r="DQP20" s="19"/>
      <c r="DQQ20" s="16"/>
      <c r="DQR20" s="19"/>
      <c r="DQS20" s="16"/>
      <c r="DQT20" s="19"/>
      <c r="DQU20" s="16"/>
      <c r="DQV20" s="19"/>
      <c r="DQW20" s="16"/>
      <c r="DQX20" s="19"/>
      <c r="DQY20" s="16"/>
      <c r="DQZ20" s="19"/>
      <c r="DRA20" s="16"/>
      <c r="DRB20" s="19"/>
      <c r="DRC20" s="16"/>
      <c r="DRD20" s="19"/>
      <c r="DRE20" s="16"/>
      <c r="DRF20" s="19"/>
      <c r="DRG20" s="16"/>
      <c r="DRH20" s="19"/>
      <c r="DRI20" s="16"/>
      <c r="DRJ20" s="19"/>
      <c r="DRK20" s="16"/>
      <c r="DRL20" s="19"/>
      <c r="DRM20" s="16"/>
      <c r="DRN20" s="19"/>
      <c r="DRO20" s="16"/>
      <c r="DRP20" s="19"/>
      <c r="DRQ20" s="16"/>
      <c r="DRR20" s="19"/>
      <c r="DRS20" s="16"/>
      <c r="DRT20" s="19"/>
      <c r="DRU20" s="16"/>
      <c r="DRV20" s="19"/>
      <c r="DRW20" s="16"/>
      <c r="DRX20" s="19"/>
      <c r="DRY20" s="16"/>
      <c r="DRZ20" s="19"/>
      <c r="DSA20" s="16"/>
      <c r="DSB20" s="19"/>
      <c r="DSC20" s="16"/>
      <c r="DSD20" s="19"/>
      <c r="DSE20" s="16"/>
      <c r="DSF20" s="19"/>
      <c r="DSG20" s="16"/>
      <c r="DSH20" s="19"/>
      <c r="DSI20" s="16"/>
      <c r="DSJ20" s="19"/>
      <c r="DSK20" s="16"/>
      <c r="DSL20" s="19"/>
      <c r="DSM20" s="16"/>
      <c r="DSN20" s="19"/>
      <c r="DSO20" s="16"/>
      <c r="DSP20" s="19"/>
      <c r="DSQ20" s="16"/>
      <c r="DSR20" s="19"/>
      <c r="DSS20" s="16"/>
      <c r="DST20" s="19"/>
      <c r="DSU20" s="16"/>
      <c r="DSV20" s="19"/>
      <c r="DSW20" s="16"/>
      <c r="DSX20" s="19"/>
      <c r="DSY20" s="16"/>
      <c r="DSZ20" s="19"/>
      <c r="DTA20" s="16"/>
      <c r="DTB20" s="19"/>
      <c r="DTC20" s="16"/>
      <c r="DTD20" s="19"/>
      <c r="DTE20" s="16"/>
      <c r="DTF20" s="19"/>
      <c r="DTG20" s="16"/>
      <c r="DTH20" s="19"/>
      <c r="DTI20" s="16"/>
      <c r="DTJ20" s="19"/>
      <c r="DTK20" s="16"/>
      <c r="DTL20" s="19"/>
      <c r="DTM20" s="16"/>
      <c r="DTN20" s="19"/>
      <c r="DTO20" s="16"/>
      <c r="DTP20" s="19"/>
      <c r="DTQ20" s="16"/>
      <c r="DTR20" s="19"/>
      <c r="DTS20" s="16"/>
      <c r="DTT20" s="19"/>
      <c r="DTU20" s="16"/>
      <c r="DTV20" s="19"/>
      <c r="DTW20" s="16"/>
      <c r="DTX20" s="19"/>
      <c r="DTY20" s="16"/>
      <c r="DTZ20" s="19"/>
      <c r="DUA20" s="16"/>
      <c r="DUB20" s="19"/>
      <c r="DUC20" s="16"/>
      <c r="DUD20" s="19"/>
      <c r="DUE20" s="16"/>
      <c r="DUF20" s="19"/>
      <c r="DUG20" s="16"/>
      <c r="DUH20" s="19"/>
      <c r="DUI20" s="16"/>
      <c r="DUJ20" s="19"/>
      <c r="DUK20" s="16"/>
      <c r="DUL20" s="19"/>
      <c r="DUM20" s="16"/>
      <c r="DUN20" s="19"/>
      <c r="DUO20" s="16"/>
      <c r="DUP20" s="19"/>
      <c r="DUQ20" s="16"/>
      <c r="DUR20" s="19"/>
      <c r="DUS20" s="16"/>
      <c r="DUT20" s="19"/>
      <c r="DUU20" s="16"/>
      <c r="DUV20" s="19"/>
      <c r="DUW20" s="16"/>
      <c r="DUX20" s="19"/>
      <c r="DUY20" s="16"/>
      <c r="DUZ20" s="19"/>
      <c r="DVA20" s="16"/>
      <c r="DVB20" s="19"/>
      <c r="DVC20" s="16"/>
      <c r="DVD20" s="19"/>
      <c r="DVE20" s="16"/>
      <c r="DVF20" s="19"/>
      <c r="DVG20" s="16"/>
      <c r="DVH20" s="19"/>
      <c r="DVI20" s="16"/>
      <c r="DVJ20" s="19"/>
      <c r="DVK20" s="16"/>
      <c r="DVL20" s="19"/>
      <c r="DVM20" s="16"/>
      <c r="DVN20" s="19"/>
      <c r="DVO20" s="16"/>
      <c r="DVP20" s="19"/>
      <c r="DVQ20" s="16"/>
      <c r="DVR20" s="19"/>
      <c r="DVS20" s="16"/>
      <c r="DVT20" s="19"/>
      <c r="DVU20" s="16"/>
      <c r="DVV20" s="19"/>
      <c r="DVW20" s="16"/>
      <c r="DVX20" s="19"/>
      <c r="DVY20" s="16"/>
      <c r="DVZ20" s="19"/>
      <c r="DWA20" s="16"/>
      <c r="DWB20" s="19"/>
      <c r="DWC20" s="16"/>
      <c r="DWD20" s="19"/>
      <c r="DWE20" s="16"/>
      <c r="DWF20" s="19"/>
      <c r="DWG20" s="16"/>
      <c r="DWH20" s="19"/>
      <c r="DWI20" s="16"/>
      <c r="DWJ20" s="19"/>
      <c r="DWK20" s="16"/>
      <c r="DWL20" s="19"/>
      <c r="DWM20" s="16"/>
      <c r="DWN20" s="19"/>
      <c r="DWO20" s="16"/>
      <c r="DWP20" s="19"/>
      <c r="DWQ20" s="16"/>
      <c r="DWR20" s="19"/>
      <c r="DWS20" s="16"/>
      <c r="DWT20" s="19"/>
      <c r="DWU20" s="16"/>
      <c r="DWV20" s="19"/>
      <c r="DWW20" s="16"/>
      <c r="DWX20" s="19"/>
      <c r="DWY20" s="16"/>
      <c r="DWZ20" s="19"/>
      <c r="DXA20" s="16"/>
      <c r="DXB20" s="19"/>
      <c r="DXC20" s="16"/>
      <c r="DXD20" s="19"/>
      <c r="DXE20" s="16"/>
      <c r="DXF20" s="19"/>
      <c r="DXG20" s="16"/>
      <c r="DXH20" s="19"/>
      <c r="DXI20" s="16"/>
      <c r="DXJ20" s="19"/>
      <c r="DXK20" s="16"/>
      <c r="DXL20" s="19"/>
      <c r="DXM20" s="16"/>
      <c r="DXN20" s="19"/>
      <c r="DXO20" s="16"/>
      <c r="DXP20" s="19"/>
      <c r="DXQ20" s="16"/>
      <c r="DXR20" s="19"/>
      <c r="DXS20" s="16"/>
      <c r="DXT20" s="19"/>
      <c r="DXU20" s="16"/>
      <c r="DXV20" s="19"/>
      <c r="DXW20" s="16"/>
      <c r="DXX20" s="19"/>
      <c r="DXY20" s="16"/>
      <c r="DXZ20" s="19"/>
      <c r="DYA20" s="16"/>
      <c r="DYB20" s="19"/>
      <c r="DYC20" s="16"/>
      <c r="DYD20" s="19"/>
      <c r="DYE20" s="16"/>
      <c r="DYF20" s="19"/>
      <c r="DYG20" s="16"/>
      <c r="DYH20" s="19"/>
      <c r="DYI20" s="16"/>
      <c r="DYJ20" s="19"/>
      <c r="DYK20" s="16"/>
      <c r="DYL20" s="19"/>
      <c r="DYM20" s="16"/>
      <c r="DYN20" s="19"/>
      <c r="DYO20" s="16"/>
      <c r="DYP20" s="19"/>
      <c r="DYQ20" s="16"/>
      <c r="DYR20" s="19"/>
      <c r="DYS20" s="16"/>
      <c r="DYT20" s="19"/>
      <c r="DYU20" s="16"/>
      <c r="DYV20" s="19"/>
      <c r="DYW20" s="16"/>
      <c r="DYX20" s="19"/>
      <c r="DYY20" s="16"/>
      <c r="DYZ20" s="19"/>
      <c r="DZA20" s="16"/>
      <c r="DZB20" s="19"/>
      <c r="DZC20" s="16"/>
      <c r="DZD20" s="19"/>
      <c r="DZE20" s="16"/>
      <c r="DZF20" s="19"/>
      <c r="DZG20" s="16"/>
      <c r="DZH20" s="19"/>
      <c r="DZI20" s="16"/>
      <c r="DZJ20" s="19"/>
      <c r="DZK20" s="16"/>
      <c r="DZL20" s="19"/>
      <c r="DZM20" s="16"/>
      <c r="DZN20" s="19"/>
      <c r="DZO20" s="16"/>
      <c r="DZP20" s="19"/>
      <c r="DZQ20" s="16"/>
      <c r="DZR20" s="19"/>
      <c r="DZS20" s="16"/>
      <c r="DZT20" s="19"/>
      <c r="DZU20" s="16"/>
      <c r="DZV20" s="19"/>
      <c r="DZW20" s="16"/>
      <c r="DZX20" s="19"/>
      <c r="DZY20" s="16"/>
      <c r="DZZ20" s="19"/>
      <c r="EAA20" s="16"/>
      <c r="EAB20" s="19"/>
      <c r="EAC20" s="16"/>
      <c r="EAD20" s="19"/>
      <c r="EAE20" s="16"/>
      <c r="EAF20" s="19"/>
      <c r="EAG20" s="16"/>
      <c r="EAH20" s="19"/>
      <c r="EAI20" s="16"/>
      <c r="EAJ20" s="19"/>
      <c r="EAK20" s="16"/>
      <c r="EAL20" s="19"/>
      <c r="EAM20" s="16"/>
      <c r="EAN20" s="19"/>
      <c r="EAO20" s="16"/>
      <c r="EAP20" s="19"/>
      <c r="EAQ20" s="16"/>
      <c r="EAR20" s="19"/>
      <c r="EAS20" s="16"/>
      <c r="EAT20" s="19"/>
      <c r="EAU20" s="16"/>
      <c r="EAV20" s="19"/>
      <c r="EAW20" s="16"/>
      <c r="EAX20" s="19"/>
      <c r="EAY20" s="16"/>
      <c r="EAZ20" s="19"/>
      <c r="EBA20" s="16"/>
      <c r="EBB20" s="19"/>
      <c r="EBC20" s="16"/>
      <c r="EBD20" s="19"/>
      <c r="EBE20" s="16"/>
      <c r="EBF20" s="19"/>
      <c r="EBG20" s="16"/>
      <c r="EBH20" s="19"/>
      <c r="EBI20" s="16"/>
      <c r="EBJ20" s="19"/>
      <c r="EBK20" s="16"/>
      <c r="EBL20" s="19"/>
      <c r="EBM20" s="16"/>
      <c r="EBN20" s="19"/>
      <c r="EBO20" s="16"/>
      <c r="EBP20" s="19"/>
      <c r="EBQ20" s="16"/>
      <c r="EBR20" s="19"/>
      <c r="EBS20" s="16"/>
      <c r="EBT20" s="19"/>
      <c r="EBU20" s="16"/>
      <c r="EBV20" s="19"/>
      <c r="EBW20" s="16"/>
      <c r="EBX20" s="19"/>
      <c r="EBY20" s="16"/>
      <c r="EBZ20" s="19"/>
      <c r="ECA20" s="16"/>
      <c r="ECB20" s="19"/>
      <c r="ECC20" s="16"/>
      <c r="ECD20" s="19"/>
      <c r="ECE20" s="16"/>
      <c r="ECF20" s="19"/>
      <c r="ECG20" s="16"/>
      <c r="ECH20" s="19"/>
      <c r="ECI20" s="16"/>
      <c r="ECJ20" s="19"/>
      <c r="ECK20" s="16"/>
      <c r="ECL20" s="19"/>
      <c r="ECM20" s="16"/>
      <c r="ECN20" s="19"/>
      <c r="ECO20" s="16"/>
      <c r="ECP20" s="19"/>
      <c r="ECQ20" s="16"/>
      <c r="ECR20" s="19"/>
      <c r="ECS20" s="16"/>
      <c r="ECT20" s="19"/>
      <c r="ECU20" s="16"/>
      <c r="ECV20" s="19"/>
      <c r="ECW20" s="16"/>
      <c r="ECX20" s="19"/>
      <c r="ECY20" s="16"/>
      <c r="ECZ20" s="19"/>
      <c r="EDA20" s="16"/>
      <c r="EDB20" s="19"/>
      <c r="EDC20" s="16"/>
      <c r="EDD20" s="19"/>
      <c r="EDE20" s="16"/>
      <c r="EDF20" s="19"/>
      <c r="EDG20" s="16"/>
      <c r="EDH20" s="19"/>
      <c r="EDI20" s="16"/>
      <c r="EDJ20" s="19"/>
      <c r="EDK20" s="16"/>
      <c r="EDL20" s="19"/>
      <c r="EDM20" s="16"/>
      <c r="EDN20" s="19"/>
      <c r="EDO20" s="16"/>
      <c r="EDP20" s="19"/>
      <c r="EDQ20" s="16"/>
      <c r="EDR20" s="19"/>
      <c r="EDS20" s="16"/>
      <c r="EDT20" s="19"/>
      <c r="EDU20" s="16"/>
      <c r="EDV20" s="19"/>
      <c r="EDW20" s="16"/>
      <c r="EDX20" s="19"/>
      <c r="EDY20" s="16"/>
      <c r="EDZ20" s="19"/>
      <c r="EEA20" s="16"/>
      <c r="EEB20" s="19"/>
      <c r="EEC20" s="16"/>
      <c r="EED20" s="19"/>
      <c r="EEE20" s="16"/>
      <c r="EEF20" s="19"/>
      <c r="EEG20" s="16"/>
      <c r="EEH20" s="19"/>
      <c r="EEI20" s="16"/>
      <c r="EEJ20" s="19"/>
      <c r="EEK20" s="16"/>
      <c r="EEL20" s="19"/>
      <c r="EEM20" s="16"/>
      <c r="EEN20" s="19"/>
      <c r="EEO20" s="16"/>
      <c r="EEP20" s="19"/>
      <c r="EEQ20" s="16"/>
      <c r="EER20" s="19"/>
      <c r="EES20" s="16"/>
      <c r="EET20" s="19"/>
      <c r="EEU20" s="16"/>
      <c r="EEV20" s="19"/>
      <c r="EEW20" s="16"/>
      <c r="EEX20" s="19"/>
      <c r="EEY20" s="16"/>
      <c r="EEZ20" s="19"/>
      <c r="EFA20" s="16"/>
      <c r="EFB20" s="19"/>
      <c r="EFC20" s="16"/>
      <c r="EFD20" s="19"/>
      <c r="EFE20" s="16"/>
      <c r="EFF20" s="19"/>
      <c r="EFG20" s="16"/>
      <c r="EFH20" s="19"/>
      <c r="EFI20" s="16"/>
      <c r="EFJ20" s="19"/>
      <c r="EFK20" s="16"/>
      <c r="EFL20" s="19"/>
      <c r="EFM20" s="16"/>
      <c r="EFN20" s="19"/>
      <c r="EFO20" s="16"/>
      <c r="EFP20" s="19"/>
      <c r="EFQ20" s="16"/>
      <c r="EFR20" s="19"/>
      <c r="EFS20" s="16"/>
      <c r="EFT20" s="19"/>
      <c r="EFU20" s="16"/>
      <c r="EFV20" s="19"/>
      <c r="EFW20" s="16"/>
      <c r="EFX20" s="19"/>
      <c r="EFY20" s="16"/>
      <c r="EFZ20" s="19"/>
      <c r="EGA20" s="16"/>
      <c r="EGB20" s="19"/>
      <c r="EGC20" s="16"/>
      <c r="EGD20" s="19"/>
      <c r="EGE20" s="16"/>
      <c r="EGF20" s="19"/>
      <c r="EGG20" s="16"/>
      <c r="EGH20" s="19"/>
      <c r="EGI20" s="16"/>
      <c r="EGJ20" s="19"/>
      <c r="EGK20" s="16"/>
      <c r="EGL20" s="19"/>
      <c r="EGM20" s="16"/>
      <c r="EGN20" s="19"/>
      <c r="EGO20" s="16"/>
      <c r="EGP20" s="19"/>
      <c r="EGQ20" s="16"/>
      <c r="EGR20" s="19"/>
      <c r="EGS20" s="16"/>
      <c r="EGT20" s="19"/>
      <c r="EGU20" s="16"/>
      <c r="EGV20" s="19"/>
      <c r="EGW20" s="16"/>
      <c r="EGX20" s="19"/>
      <c r="EGY20" s="16"/>
      <c r="EGZ20" s="19"/>
      <c r="EHA20" s="16"/>
      <c r="EHB20" s="19"/>
      <c r="EHC20" s="16"/>
      <c r="EHD20" s="19"/>
      <c r="EHE20" s="16"/>
      <c r="EHF20" s="19"/>
      <c r="EHG20" s="16"/>
      <c r="EHH20" s="19"/>
      <c r="EHI20" s="16"/>
      <c r="EHJ20" s="19"/>
      <c r="EHK20" s="16"/>
      <c r="EHL20" s="19"/>
      <c r="EHM20" s="16"/>
      <c r="EHN20" s="19"/>
      <c r="EHO20" s="16"/>
      <c r="EHP20" s="19"/>
      <c r="EHQ20" s="16"/>
      <c r="EHR20" s="19"/>
      <c r="EHS20" s="16"/>
      <c r="EHT20" s="19"/>
      <c r="EHU20" s="16"/>
      <c r="EHV20" s="19"/>
      <c r="EHW20" s="16"/>
      <c r="EHX20" s="19"/>
      <c r="EHY20" s="16"/>
      <c r="EHZ20" s="19"/>
      <c r="EIA20" s="16"/>
      <c r="EIB20" s="19"/>
      <c r="EIC20" s="16"/>
      <c r="EID20" s="19"/>
      <c r="EIE20" s="16"/>
      <c r="EIF20" s="19"/>
      <c r="EIG20" s="16"/>
      <c r="EIH20" s="19"/>
      <c r="EII20" s="16"/>
      <c r="EIJ20" s="19"/>
      <c r="EIK20" s="16"/>
      <c r="EIL20" s="19"/>
      <c r="EIM20" s="16"/>
      <c r="EIN20" s="19"/>
      <c r="EIO20" s="16"/>
      <c r="EIP20" s="19"/>
      <c r="EIQ20" s="16"/>
      <c r="EIR20" s="19"/>
      <c r="EIS20" s="16"/>
      <c r="EIT20" s="19"/>
      <c r="EIU20" s="16"/>
      <c r="EIV20" s="19"/>
      <c r="EIW20" s="16"/>
      <c r="EIX20" s="19"/>
      <c r="EIY20" s="16"/>
      <c r="EIZ20" s="19"/>
      <c r="EJA20" s="16"/>
      <c r="EJB20" s="19"/>
      <c r="EJC20" s="16"/>
      <c r="EJD20" s="19"/>
      <c r="EJE20" s="16"/>
      <c r="EJF20" s="19"/>
      <c r="EJG20" s="16"/>
      <c r="EJH20" s="19"/>
      <c r="EJI20" s="16"/>
      <c r="EJJ20" s="19"/>
      <c r="EJK20" s="16"/>
      <c r="EJL20" s="19"/>
      <c r="EJM20" s="16"/>
      <c r="EJN20" s="19"/>
      <c r="EJO20" s="16"/>
      <c r="EJP20" s="19"/>
      <c r="EJQ20" s="16"/>
      <c r="EJR20" s="19"/>
      <c r="EJS20" s="16"/>
      <c r="EJT20" s="19"/>
      <c r="EJU20" s="16"/>
      <c r="EJV20" s="19"/>
      <c r="EJW20" s="16"/>
      <c r="EJX20" s="19"/>
      <c r="EJY20" s="16"/>
      <c r="EJZ20" s="19"/>
      <c r="EKA20" s="16"/>
      <c r="EKB20" s="19"/>
      <c r="EKC20" s="16"/>
      <c r="EKD20" s="19"/>
      <c r="EKE20" s="16"/>
      <c r="EKF20" s="19"/>
      <c r="EKG20" s="16"/>
      <c r="EKH20" s="19"/>
      <c r="EKI20" s="16"/>
      <c r="EKJ20" s="19"/>
      <c r="EKK20" s="16"/>
      <c r="EKL20" s="19"/>
      <c r="EKM20" s="16"/>
      <c r="EKN20" s="19"/>
      <c r="EKO20" s="16"/>
      <c r="EKP20" s="19"/>
      <c r="EKQ20" s="16"/>
      <c r="EKR20" s="19"/>
      <c r="EKS20" s="16"/>
      <c r="EKT20" s="19"/>
      <c r="EKU20" s="16"/>
      <c r="EKV20" s="19"/>
      <c r="EKW20" s="16"/>
      <c r="EKX20" s="19"/>
      <c r="EKY20" s="16"/>
      <c r="EKZ20" s="19"/>
      <c r="ELA20" s="16"/>
      <c r="ELB20" s="19"/>
      <c r="ELC20" s="16"/>
      <c r="ELD20" s="19"/>
      <c r="ELE20" s="16"/>
      <c r="ELF20" s="19"/>
      <c r="ELG20" s="16"/>
      <c r="ELH20" s="19"/>
      <c r="ELI20" s="16"/>
      <c r="ELJ20" s="19"/>
      <c r="ELK20" s="16"/>
      <c r="ELL20" s="19"/>
      <c r="ELM20" s="16"/>
      <c r="ELN20" s="19"/>
      <c r="ELO20" s="16"/>
      <c r="ELP20" s="19"/>
      <c r="ELQ20" s="16"/>
      <c r="ELR20" s="19"/>
      <c r="ELS20" s="16"/>
      <c r="ELT20" s="19"/>
      <c r="ELU20" s="16"/>
      <c r="ELV20" s="19"/>
      <c r="ELW20" s="16"/>
      <c r="ELX20" s="19"/>
      <c r="ELY20" s="16"/>
      <c r="ELZ20" s="19"/>
      <c r="EMA20" s="16"/>
      <c r="EMB20" s="19"/>
      <c r="EMC20" s="16"/>
      <c r="EMD20" s="19"/>
      <c r="EME20" s="16"/>
      <c r="EMF20" s="19"/>
      <c r="EMG20" s="16"/>
      <c r="EMH20" s="19"/>
      <c r="EMI20" s="16"/>
      <c r="EMJ20" s="19"/>
      <c r="EMK20" s="16"/>
      <c r="EML20" s="19"/>
      <c r="EMM20" s="16"/>
      <c r="EMN20" s="19"/>
      <c r="EMO20" s="16"/>
      <c r="EMP20" s="19"/>
      <c r="EMQ20" s="16"/>
      <c r="EMR20" s="19"/>
      <c r="EMS20" s="16"/>
      <c r="EMT20" s="19"/>
      <c r="EMU20" s="16"/>
      <c r="EMV20" s="19"/>
      <c r="EMW20" s="16"/>
      <c r="EMX20" s="19"/>
      <c r="EMY20" s="16"/>
      <c r="EMZ20" s="19"/>
      <c r="ENA20" s="16"/>
      <c r="ENB20" s="19"/>
      <c r="ENC20" s="16"/>
      <c r="END20" s="19"/>
      <c r="ENE20" s="16"/>
      <c r="ENF20" s="19"/>
      <c r="ENG20" s="16"/>
      <c r="ENH20" s="19"/>
      <c r="ENI20" s="16"/>
      <c r="ENJ20" s="19"/>
      <c r="ENK20" s="16"/>
      <c r="ENL20" s="19"/>
      <c r="ENM20" s="16"/>
      <c r="ENN20" s="19"/>
      <c r="ENO20" s="16"/>
      <c r="ENP20" s="19"/>
      <c r="ENQ20" s="16"/>
      <c r="ENR20" s="19"/>
      <c r="ENS20" s="16"/>
      <c r="ENT20" s="19"/>
      <c r="ENU20" s="16"/>
      <c r="ENV20" s="19"/>
      <c r="ENW20" s="16"/>
      <c r="ENX20" s="19"/>
      <c r="ENY20" s="16"/>
      <c r="ENZ20" s="19"/>
      <c r="EOA20" s="16"/>
      <c r="EOB20" s="19"/>
      <c r="EOC20" s="16"/>
      <c r="EOD20" s="19"/>
      <c r="EOE20" s="16"/>
      <c r="EOF20" s="19"/>
      <c r="EOG20" s="16"/>
      <c r="EOH20" s="19"/>
      <c r="EOI20" s="16"/>
      <c r="EOJ20" s="19"/>
      <c r="EOK20" s="16"/>
      <c r="EOL20" s="19"/>
      <c r="EOM20" s="16"/>
      <c r="EON20" s="19"/>
      <c r="EOO20" s="16"/>
      <c r="EOP20" s="19"/>
      <c r="EOQ20" s="16"/>
      <c r="EOR20" s="19"/>
      <c r="EOS20" s="16"/>
      <c r="EOT20" s="19"/>
      <c r="EOU20" s="16"/>
      <c r="EOV20" s="19"/>
      <c r="EOW20" s="16"/>
      <c r="EOX20" s="19"/>
      <c r="EOY20" s="16"/>
      <c r="EOZ20" s="19"/>
      <c r="EPA20" s="16"/>
      <c r="EPB20" s="19"/>
      <c r="EPC20" s="16"/>
      <c r="EPD20" s="19"/>
      <c r="EPE20" s="16"/>
      <c r="EPF20" s="19"/>
      <c r="EPG20" s="16"/>
      <c r="EPH20" s="19"/>
      <c r="EPI20" s="16"/>
      <c r="EPJ20" s="19"/>
      <c r="EPK20" s="16"/>
      <c r="EPL20" s="19"/>
      <c r="EPM20" s="16"/>
      <c r="EPN20" s="19"/>
      <c r="EPO20" s="16"/>
      <c r="EPP20" s="19"/>
      <c r="EPQ20" s="16"/>
      <c r="EPR20" s="19"/>
      <c r="EPS20" s="16"/>
      <c r="EPT20" s="19"/>
      <c r="EPU20" s="16"/>
      <c r="EPV20" s="19"/>
      <c r="EPW20" s="16"/>
      <c r="EPX20" s="19"/>
      <c r="EPY20" s="16"/>
      <c r="EPZ20" s="19"/>
      <c r="EQA20" s="16"/>
      <c r="EQB20" s="19"/>
      <c r="EQC20" s="16"/>
      <c r="EQD20" s="19"/>
      <c r="EQE20" s="16"/>
      <c r="EQF20" s="19"/>
      <c r="EQG20" s="16"/>
      <c r="EQH20" s="19"/>
      <c r="EQI20" s="16"/>
      <c r="EQJ20" s="19"/>
      <c r="EQK20" s="16"/>
      <c r="EQL20" s="19"/>
      <c r="EQM20" s="16"/>
      <c r="EQN20" s="19"/>
      <c r="EQO20" s="16"/>
      <c r="EQP20" s="19"/>
      <c r="EQQ20" s="16"/>
      <c r="EQR20" s="19"/>
      <c r="EQS20" s="16"/>
      <c r="EQT20" s="19"/>
      <c r="EQU20" s="16"/>
      <c r="EQV20" s="19"/>
      <c r="EQW20" s="16"/>
      <c r="EQX20" s="19"/>
      <c r="EQY20" s="16"/>
      <c r="EQZ20" s="19"/>
      <c r="ERA20" s="16"/>
      <c r="ERB20" s="19"/>
      <c r="ERC20" s="16"/>
      <c r="ERD20" s="19"/>
      <c r="ERE20" s="16"/>
      <c r="ERF20" s="19"/>
      <c r="ERG20" s="16"/>
      <c r="ERH20" s="19"/>
      <c r="ERI20" s="16"/>
      <c r="ERJ20" s="19"/>
      <c r="ERK20" s="16"/>
      <c r="ERL20" s="19"/>
      <c r="ERM20" s="16"/>
      <c r="ERN20" s="19"/>
      <c r="ERO20" s="16"/>
      <c r="ERP20" s="19"/>
      <c r="ERQ20" s="16"/>
      <c r="ERR20" s="19"/>
      <c r="ERS20" s="16"/>
      <c r="ERT20" s="19"/>
      <c r="ERU20" s="16"/>
      <c r="ERV20" s="19"/>
      <c r="ERW20" s="16"/>
      <c r="ERX20" s="19"/>
      <c r="ERY20" s="16"/>
      <c r="ERZ20" s="19"/>
      <c r="ESA20" s="16"/>
      <c r="ESB20" s="19"/>
      <c r="ESC20" s="16"/>
      <c r="ESD20" s="19"/>
      <c r="ESE20" s="16"/>
      <c r="ESF20" s="19"/>
      <c r="ESG20" s="16"/>
      <c r="ESH20" s="19"/>
      <c r="ESI20" s="16"/>
      <c r="ESJ20" s="19"/>
      <c r="ESK20" s="16"/>
      <c r="ESL20" s="19"/>
      <c r="ESM20" s="16"/>
      <c r="ESN20" s="19"/>
      <c r="ESO20" s="16"/>
      <c r="ESP20" s="19"/>
      <c r="ESQ20" s="16"/>
      <c r="ESR20" s="19"/>
      <c r="ESS20" s="16"/>
      <c r="EST20" s="19"/>
      <c r="ESU20" s="16"/>
      <c r="ESV20" s="19"/>
      <c r="ESW20" s="16"/>
      <c r="ESX20" s="19"/>
      <c r="ESY20" s="16"/>
      <c r="ESZ20" s="19"/>
      <c r="ETA20" s="16"/>
      <c r="ETB20" s="19"/>
      <c r="ETC20" s="16"/>
      <c r="ETD20" s="19"/>
      <c r="ETE20" s="16"/>
      <c r="ETF20" s="19"/>
      <c r="ETG20" s="16"/>
      <c r="ETH20" s="19"/>
      <c r="ETI20" s="16"/>
      <c r="ETJ20" s="19"/>
      <c r="ETK20" s="16"/>
      <c r="ETL20" s="19"/>
      <c r="ETM20" s="16"/>
      <c r="ETN20" s="19"/>
      <c r="ETO20" s="16"/>
      <c r="ETP20" s="19"/>
      <c r="ETQ20" s="16"/>
      <c r="ETR20" s="19"/>
      <c r="ETS20" s="16"/>
      <c r="ETT20" s="19"/>
      <c r="ETU20" s="16"/>
      <c r="ETV20" s="19"/>
      <c r="ETW20" s="16"/>
      <c r="ETX20" s="19"/>
      <c r="ETY20" s="16"/>
      <c r="ETZ20" s="19"/>
      <c r="EUA20" s="16"/>
      <c r="EUB20" s="19"/>
      <c r="EUC20" s="16"/>
      <c r="EUD20" s="19"/>
      <c r="EUE20" s="16"/>
      <c r="EUF20" s="19"/>
      <c r="EUG20" s="16"/>
      <c r="EUH20" s="19"/>
      <c r="EUI20" s="16"/>
      <c r="EUJ20" s="19"/>
      <c r="EUK20" s="16"/>
      <c r="EUL20" s="19"/>
      <c r="EUM20" s="16"/>
      <c r="EUN20" s="19"/>
      <c r="EUO20" s="16"/>
      <c r="EUP20" s="19"/>
      <c r="EUQ20" s="16"/>
      <c r="EUR20" s="19"/>
      <c r="EUS20" s="16"/>
      <c r="EUT20" s="19"/>
      <c r="EUU20" s="16"/>
      <c r="EUV20" s="19"/>
      <c r="EUW20" s="16"/>
      <c r="EUX20" s="19"/>
      <c r="EUY20" s="16"/>
      <c r="EUZ20" s="19"/>
      <c r="EVA20" s="16"/>
      <c r="EVB20" s="19"/>
      <c r="EVC20" s="16"/>
      <c r="EVD20" s="19"/>
      <c r="EVE20" s="16"/>
      <c r="EVF20" s="19"/>
      <c r="EVG20" s="16"/>
      <c r="EVH20" s="19"/>
      <c r="EVI20" s="16"/>
      <c r="EVJ20" s="19"/>
      <c r="EVK20" s="16"/>
      <c r="EVL20" s="19"/>
      <c r="EVM20" s="16"/>
      <c r="EVN20" s="19"/>
      <c r="EVO20" s="16"/>
      <c r="EVP20" s="19"/>
      <c r="EVQ20" s="16"/>
      <c r="EVR20" s="19"/>
      <c r="EVS20" s="16"/>
      <c r="EVT20" s="19"/>
      <c r="EVU20" s="16"/>
      <c r="EVV20" s="19"/>
      <c r="EVW20" s="16"/>
      <c r="EVX20" s="19"/>
      <c r="EVY20" s="16"/>
      <c r="EVZ20" s="19"/>
      <c r="EWA20" s="16"/>
      <c r="EWB20" s="19"/>
      <c r="EWC20" s="16"/>
      <c r="EWD20" s="19"/>
      <c r="EWE20" s="16"/>
      <c r="EWF20" s="19"/>
      <c r="EWG20" s="16"/>
      <c r="EWH20" s="19"/>
      <c r="EWI20" s="16"/>
      <c r="EWJ20" s="19"/>
      <c r="EWK20" s="16"/>
      <c r="EWL20" s="19"/>
      <c r="EWM20" s="16"/>
      <c r="EWN20" s="19"/>
      <c r="EWO20" s="16"/>
      <c r="EWP20" s="19"/>
      <c r="EWQ20" s="16"/>
      <c r="EWR20" s="19"/>
      <c r="EWS20" s="16"/>
      <c r="EWT20" s="19"/>
      <c r="EWU20" s="16"/>
      <c r="EWV20" s="19"/>
      <c r="EWW20" s="16"/>
      <c r="EWX20" s="19"/>
      <c r="EWY20" s="16"/>
      <c r="EWZ20" s="19"/>
      <c r="EXA20" s="16"/>
      <c r="EXB20" s="19"/>
      <c r="EXC20" s="16"/>
      <c r="EXD20" s="19"/>
      <c r="EXE20" s="16"/>
      <c r="EXF20" s="19"/>
      <c r="EXG20" s="16"/>
      <c r="EXH20" s="19"/>
      <c r="EXI20" s="16"/>
      <c r="EXJ20" s="19"/>
      <c r="EXK20" s="16"/>
      <c r="EXL20" s="19"/>
      <c r="EXM20" s="16"/>
      <c r="EXN20" s="19"/>
      <c r="EXO20" s="16"/>
      <c r="EXP20" s="19"/>
      <c r="EXQ20" s="16"/>
      <c r="EXR20" s="19"/>
      <c r="EXS20" s="16"/>
      <c r="EXT20" s="19"/>
      <c r="EXU20" s="16"/>
      <c r="EXV20" s="19"/>
      <c r="EXW20" s="16"/>
      <c r="EXX20" s="19"/>
      <c r="EXY20" s="16"/>
      <c r="EXZ20" s="19"/>
      <c r="EYA20" s="16"/>
      <c r="EYB20" s="19"/>
      <c r="EYC20" s="16"/>
      <c r="EYD20" s="19"/>
      <c r="EYE20" s="16"/>
      <c r="EYF20" s="19"/>
      <c r="EYG20" s="16"/>
      <c r="EYH20" s="19"/>
      <c r="EYI20" s="16"/>
      <c r="EYJ20" s="19"/>
      <c r="EYK20" s="16"/>
      <c r="EYL20" s="19"/>
      <c r="EYM20" s="16"/>
      <c r="EYN20" s="19"/>
      <c r="EYO20" s="16"/>
      <c r="EYP20" s="19"/>
      <c r="EYQ20" s="16"/>
      <c r="EYR20" s="19"/>
      <c r="EYS20" s="16"/>
      <c r="EYT20" s="19"/>
      <c r="EYU20" s="16"/>
      <c r="EYV20" s="19"/>
      <c r="EYW20" s="16"/>
      <c r="EYX20" s="19"/>
      <c r="EYY20" s="16"/>
      <c r="EYZ20" s="19"/>
      <c r="EZA20" s="16"/>
      <c r="EZB20" s="19"/>
      <c r="EZC20" s="16"/>
      <c r="EZD20" s="19"/>
      <c r="EZE20" s="16"/>
      <c r="EZF20" s="19"/>
      <c r="EZG20" s="16"/>
      <c r="EZH20" s="19"/>
      <c r="EZI20" s="16"/>
      <c r="EZJ20" s="19"/>
      <c r="EZK20" s="16"/>
      <c r="EZL20" s="19"/>
      <c r="EZM20" s="16"/>
      <c r="EZN20" s="19"/>
      <c r="EZO20" s="16"/>
      <c r="EZP20" s="19"/>
      <c r="EZQ20" s="16"/>
      <c r="EZR20" s="19"/>
      <c r="EZS20" s="16"/>
      <c r="EZT20" s="19"/>
      <c r="EZU20" s="16"/>
      <c r="EZV20" s="19"/>
      <c r="EZW20" s="16"/>
      <c r="EZX20" s="19"/>
      <c r="EZY20" s="16"/>
      <c r="EZZ20" s="19"/>
      <c r="FAA20" s="16"/>
      <c r="FAB20" s="19"/>
      <c r="FAC20" s="16"/>
      <c r="FAD20" s="19"/>
      <c r="FAE20" s="16"/>
      <c r="FAF20" s="19"/>
      <c r="FAG20" s="16"/>
      <c r="FAH20" s="19"/>
      <c r="FAI20" s="16"/>
      <c r="FAJ20" s="19"/>
      <c r="FAK20" s="16"/>
      <c r="FAL20" s="19"/>
      <c r="FAM20" s="16"/>
      <c r="FAN20" s="19"/>
      <c r="FAO20" s="16"/>
      <c r="FAP20" s="19"/>
      <c r="FAQ20" s="16"/>
      <c r="FAR20" s="19"/>
      <c r="FAS20" s="16"/>
      <c r="FAT20" s="19"/>
      <c r="FAU20" s="16"/>
      <c r="FAV20" s="19"/>
      <c r="FAW20" s="16"/>
      <c r="FAX20" s="19"/>
      <c r="FAY20" s="16"/>
      <c r="FAZ20" s="19"/>
      <c r="FBA20" s="16"/>
      <c r="FBB20" s="19"/>
      <c r="FBC20" s="16"/>
      <c r="FBD20" s="19"/>
      <c r="FBE20" s="16"/>
      <c r="FBF20" s="19"/>
      <c r="FBG20" s="16"/>
      <c r="FBH20" s="19"/>
      <c r="FBI20" s="16"/>
      <c r="FBJ20" s="19"/>
      <c r="FBK20" s="16"/>
      <c r="FBL20" s="19"/>
      <c r="FBM20" s="16"/>
      <c r="FBN20" s="19"/>
      <c r="FBO20" s="16"/>
      <c r="FBP20" s="19"/>
      <c r="FBQ20" s="16"/>
      <c r="FBR20" s="19"/>
      <c r="FBS20" s="16"/>
      <c r="FBT20" s="19"/>
      <c r="FBU20" s="16"/>
      <c r="FBV20" s="19"/>
      <c r="FBW20" s="16"/>
      <c r="FBX20" s="19"/>
      <c r="FBY20" s="16"/>
      <c r="FBZ20" s="19"/>
      <c r="FCA20" s="16"/>
      <c r="FCB20" s="19"/>
      <c r="FCC20" s="16"/>
      <c r="FCD20" s="19"/>
      <c r="FCE20" s="16"/>
      <c r="FCF20" s="19"/>
      <c r="FCG20" s="16"/>
      <c r="FCH20" s="19"/>
      <c r="FCI20" s="16"/>
      <c r="FCJ20" s="19"/>
      <c r="FCK20" s="16"/>
      <c r="FCL20" s="19"/>
      <c r="FCM20" s="16"/>
      <c r="FCN20" s="19"/>
      <c r="FCO20" s="16"/>
      <c r="FCP20" s="19"/>
      <c r="FCQ20" s="16"/>
      <c r="FCR20" s="19"/>
      <c r="FCS20" s="16"/>
      <c r="FCT20" s="19"/>
      <c r="FCU20" s="16"/>
      <c r="FCV20" s="19"/>
      <c r="FCW20" s="16"/>
      <c r="FCX20" s="19"/>
      <c r="FCY20" s="16"/>
      <c r="FCZ20" s="19"/>
      <c r="FDA20" s="16"/>
      <c r="FDB20" s="19"/>
      <c r="FDC20" s="16"/>
      <c r="FDD20" s="19"/>
      <c r="FDE20" s="16"/>
      <c r="FDF20" s="19"/>
      <c r="FDG20" s="16"/>
      <c r="FDH20" s="19"/>
      <c r="FDI20" s="16"/>
      <c r="FDJ20" s="19"/>
      <c r="FDK20" s="16"/>
      <c r="FDL20" s="19"/>
      <c r="FDM20" s="16"/>
      <c r="FDN20" s="19"/>
      <c r="FDO20" s="16"/>
      <c r="FDP20" s="19"/>
      <c r="FDQ20" s="16"/>
      <c r="FDR20" s="19"/>
      <c r="FDS20" s="16"/>
      <c r="FDT20" s="19"/>
      <c r="FDU20" s="16"/>
      <c r="FDV20" s="19"/>
      <c r="FDW20" s="16"/>
      <c r="FDX20" s="19"/>
      <c r="FDY20" s="16"/>
      <c r="FDZ20" s="19"/>
      <c r="FEA20" s="16"/>
      <c r="FEB20" s="19"/>
      <c r="FEC20" s="16"/>
      <c r="FED20" s="19"/>
      <c r="FEE20" s="16"/>
      <c r="FEF20" s="19"/>
      <c r="FEG20" s="16"/>
      <c r="FEH20" s="19"/>
      <c r="FEI20" s="16"/>
      <c r="FEJ20" s="19"/>
      <c r="FEK20" s="16"/>
      <c r="FEL20" s="19"/>
      <c r="FEM20" s="16"/>
      <c r="FEN20" s="19"/>
      <c r="FEO20" s="16"/>
      <c r="FEP20" s="19"/>
      <c r="FEQ20" s="16"/>
      <c r="FER20" s="19"/>
      <c r="FES20" s="16"/>
      <c r="FET20" s="19"/>
      <c r="FEU20" s="16"/>
      <c r="FEV20" s="19"/>
      <c r="FEW20" s="16"/>
      <c r="FEX20" s="19"/>
      <c r="FEY20" s="16"/>
      <c r="FEZ20" s="19"/>
      <c r="FFA20" s="16"/>
      <c r="FFB20" s="19"/>
      <c r="FFC20" s="16"/>
      <c r="FFD20" s="19"/>
      <c r="FFE20" s="16"/>
      <c r="FFF20" s="19"/>
      <c r="FFG20" s="16"/>
      <c r="FFH20" s="19"/>
      <c r="FFI20" s="16"/>
      <c r="FFJ20" s="19"/>
      <c r="FFK20" s="16"/>
      <c r="FFL20" s="19"/>
      <c r="FFM20" s="16"/>
      <c r="FFN20" s="19"/>
      <c r="FFO20" s="16"/>
      <c r="FFP20" s="19"/>
      <c r="FFQ20" s="16"/>
      <c r="FFR20" s="19"/>
      <c r="FFS20" s="16"/>
      <c r="FFT20" s="19"/>
      <c r="FFU20" s="16"/>
      <c r="FFV20" s="19"/>
      <c r="FFW20" s="16"/>
      <c r="FFX20" s="19"/>
      <c r="FFY20" s="16"/>
      <c r="FFZ20" s="19"/>
      <c r="FGA20" s="16"/>
      <c r="FGB20" s="19"/>
      <c r="FGC20" s="16"/>
      <c r="FGD20" s="19"/>
      <c r="FGE20" s="16"/>
      <c r="FGF20" s="19"/>
      <c r="FGG20" s="16"/>
      <c r="FGH20" s="19"/>
      <c r="FGI20" s="16"/>
      <c r="FGJ20" s="19"/>
      <c r="FGK20" s="16"/>
      <c r="FGL20" s="19"/>
      <c r="FGM20" s="16"/>
      <c r="FGN20" s="19"/>
      <c r="FGO20" s="16"/>
      <c r="FGP20" s="19"/>
      <c r="FGQ20" s="16"/>
      <c r="FGR20" s="19"/>
      <c r="FGS20" s="16"/>
      <c r="FGT20" s="19"/>
      <c r="FGU20" s="16"/>
      <c r="FGV20" s="19"/>
      <c r="FGW20" s="16"/>
      <c r="FGX20" s="19"/>
      <c r="FGY20" s="16"/>
      <c r="FGZ20" s="19"/>
      <c r="FHA20" s="16"/>
      <c r="FHB20" s="19"/>
      <c r="FHC20" s="16"/>
      <c r="FHD20" s="19"/>
      <c r="FHE20" s="16"/>
      <c r="FHF20" s="19"/>
      <c r="FHG20" s="16"/>
      <c r="FHH20" s="19"/>
      <c r="FHI20" s="16"/>
      <c r="FHJ20" s="19"/>
      <c r="FHK20" s="16"/>
      <c r="FHL20" s="19"/>
      <c r="FHM20" s="16"/>
      <c r="FHN20" s="19"/>
      <c r="FHO20" s="16"/>
      <c r="FHP20" s="19"/>
      <c r="FHQ20" s="16"/>
      <c r="FHR20" s="19"/>
      <c r="FHS20" s="16"/>
      <c r="FHT20" s="19"/>
      <c r="FHU20" s="16"/>
      <c r="FHV20" s="19"/>
      <c r="FHW20" s="16"/>
      <c r="FHX20" s="19"/>
      <c r="FHY20" s="16"/>
      <c r="FHZ20" s="19"/>
      <c r="FIA20" s="16"/>
      <c r="FIB20" s="19"/>
      <c r="FIC20" s="16"/>
      <c r="FID20" s="19"/>
      <c r="FIE20" s="16"/>
      <c r="FIF20" s="19"/>
      <c r="FIG20" s="16"/>
      <c r="FIH20" s="19"/>
      <c r="FII20" s="16"/>
      <c r="FIJ20" s="19"/>
      <c r="FIK20" s="16"/>
      <c r="FIL20" s="19"/>
      <c r="FIM20" s="16"/>
      <c r="FIN20" s="19"/>
      <c r="FIO20" s="16"/>
      <c r="FIP20" s="19"/>
      <c r="FIQ20" s="16"/>
      <c r="FIR20" s="19"/>
      <c r="FIS20" s="16"/>
      <c r="FIT20" s="19"/>
      <c r="FIU20" s="16"/>
      <c r="FIV20" s="19"/>
      <c r="FIW20" s="16"/>
      <c r="FIX20" s="19"/>
      <c r="FIY20" s="16"/>
      <c r="FIZ20" s="19"/>
      <c r="FJA20" s="16"/>
      <c r="FJB20" s="19"/>
      <c r="FJC20" s="16"/>
      <c r="FJD20" s="19"/>
      <c r="FJE20" s="16"/>
      <c r="FJF20" s="19"/>
      <c r="FJG20" s="16"/>
      <c r="FJH20" s="19"/>
      <c r="FJI20" s="16"/>
      <c r="FJJ20" s="19"/>
      <c r="FJK20" s="16"/>
      <c r="FJL20" s="19"/>
      <c r="FJM20" s="16"/>
      <c r="FJN20" s="19"/>
      <c r="FJO20" s="16"/>
      <c r="FJP20" s="19"/>
      <c r="FJQ20" s="16"/>
      <c r="FJR20" s="19"/>
      <c r="FJS20" s="16"/>
      <c r="FJT20" s="19"/>
      <c r="FJU20" s="16"/>
      <c r="FJV20" s="19"/>
      <c r="FJW20" s="16"/>
      <c r="FJX20" s="19"/>
      <c r="FJY20" s="16"/>
      <c r="FJZ20" s="19"/>
      <c r="FKA20" s="16"/>
      <c r="FKB20" s="19"/>
      <c r="FKC20" s="16"/>
      <c r="FKD20" s="19"/>
      <c r="FKE20" s="16"/>
      <c r="FKF20" s="19"/>
      <c r="FKG20" s="16"/>
      <c r="FKH20" s="19"/>
      <c r="FKI20" s="16"/>
      <c r="FKJ20" s="19"/>
      <c r="FKK20" s="16"/>
      <c r="FKL20" s="19"/>
      <c r="FKM20" s="16"/>
      <c r="FKN20" s="19"/>
      <c r="FKO20" s="16"/>
      <c r="FKP20" s="19"/>
      <c r="FKQ20" s="16"/>
      <c r="FKR20" s="19"/>
      <c r="FKS20" s="16"/>
      <c r="FKT20" s="19"/>
      <c r="FKU20" s="16"/>
      <c r="FKV20" s="19"/>
      <c r="FKW20" s="16"/>
      <c r="FKX20" s="19"/>
      <c r="FKY20" s="16"/>
      <c r="FKZ20" s="19"/>
      <c r="FLA20" s="16"/>
      <c r="FLB20" s="19"/>
      <c r="FLC20" s="16"/>
      <c r="FLD20" s="19"/>
      <c r="FLE20" s="16"/>
      <c r="FLF20" s="19"/>
      <c r="FLG20" s="16"/>
      <c r="FLH20" s="19"/>
      <c r="FLI20" s="16"/>
      <c r="FLJ20" s="19"/>
      <c r="FLK20" s="16"/>
      <c r="FLL20" s="19"/>
      <c r="FLM20" s="16"/>
      <c r="FLN20" s="19"/>
      <c r="FLO20" s="16"/>
      <c r="FLP20" s="19"/>
      <c r="FLQ20" s="16"/>
      <c r="FLR20" s="19"/>
      <c r="FLS20" s="16"/>
      <c r="FLT20" s="19"/>
      <c r="FLU20" s="16"/>
      <c r="FLV20" s="19"/>
      <c r="FLW20" s="16"/>
      <c r="FLX20" s="19"/>
      <c r="FLY20" s="16"/>
      <c r="FLZ20" s="19"/>
      <c r="FMA20" s="16"/>
      <c r="FMB20" s="19"/>
      <c r="FMC20" s="16"/>
      <c r="FMD20" s="19"/>
      <c r="FME20" s="16"/>
      <c r="FMF20" s="19"/>
      <c r="FMG20" s="16"/>
      <c r="FMH20" s="19"/>
      <c r="FMI20" s="16"/>
      <c r="FMJ20" s="19"/>
      <c r="FMK20" s="16"/>
      <c r="FML20" s="19"/>
      <c r="FMM20" s="16"/>
      <c r="FMN20" s="19"/>
      <c r="FMO20" s="16"/>
      <c r="FMP20" s="19"/>
      <c r="FMQ20" s="16"/>
      <c r="FMR20" s="19"/>
      <c r="FMS20" s="16"/>
      <c r="FMT20" s="19"/>
      <c r="FMU20" s="16"/>
      <c r="FMV20" s="19"/>
      <c r="FMW20" s="16"/>
      <c r="FMX20" s="19"/>
      <c r="FMY20" s="16"/>
      <c r="FMZ20" s="19"/>
      <c r="FNA20" s="16"/>
      <c r="FNB20" s="19"/>
      <c r="FNC20" s="16"/>
      <c r="FND20" s="19"/>
      <c r="FNE20" s="16"/>
      <c r="FNF20" s="19"/>
      <c r="FNG20" s="16"/>
      <c r="FNH20" s="19"/>
      <c r="FNI20" s="16"/>
      <c r="FNJ20" s="19"/>
      <c r="FNK20" s="16"/>
      <c r="FNL20" s="19"/>
      <c r="FNM20" s="16"/>
      <c r="FNN20" s="19"/>
      <c r="FNO20" s="16"/>
      <c r="FNP20" s="19"/>
      <c r="FNQ20" s="16"/>
      <c r="FNR20" s="19"/>
      <c r="FNS20" s="16"/>
      <c r="FNT20" s="19"/>
      <c r="FNU20" s="16"/>
      <c r="FNV20" s="19"/>
      <c r="FNW20" s="16"/>
      <c r="FNX20" s="19"/>
      <c r="FNY20" s="16"/>
      <c r="FNZ20" s="19"/>
      <c r="FOA20" s="16"/>
      <c r="FOB20" s="19"/>
      <c r="FOC20" s="16"/>
      <c r="FOD20" s="19"/>
      <c r="FOE20" s="16"/>
      <c r="FOF20" s="19"/>
      <c r="FOG20" s="16"/>
      <c r="FOH20" s="19"/>
      <c r="FOI20" s="16"/>
      <c r="FOJ20" s="19"/>
      <c r="FOK20" s="16"/>
      <c r="FOL20" s="19"/>
      <c r="FOM20" s="16"/>
      <c r="FON20" s="19"/>
      <c r="FOO20" s="16"/>
      <c r="FOP20" s="19"/>
      <c r="FOQ20" s="16"/>
      <c r="FOR20" s="19"/>
      <c r="FOS20" s="16"/>
      <c r="FOT20" s="19"/>
      <c r="FOU20" s="16"/>
      <c r="FOV20" s="19"/>
      <c r="FOW20" s="16"/>
      <c r="FOX20" s="19"/>
      <c r="FOY20" s="16"/>
      <c r="FOZ20" s="19"/>
      <c r="FPA20" s="16"/>
      <c r="FPB20" s="19"/>
      <c r="FPC20" s="16"/>
      <c r="FPD20" s="19"/>
      <c r="FPE20" s="16"/>
      <c r="FPF20" s="19"/>
      <c r="FPG20" s="16"/>
      <c r="FPH20" s="19"/>
      <c r="FPI20" s="16"/>
      <c r="FPJ20" s="19"/>
      <c r="FPK20" s="16"/>
      <c r="FPL20" s="19"/>
      <c r="FPM20" s="16"/>
      <c r="FPN20" s="19"/>
      <c r="FPO20" s="16"/>
      <c r="FPP20" s="19"/>
      <c r="FPQ20" s="16"/>
      <c r="FPR20" s="19"/>
      <c r="FPS20" s="16"/>
      <c r="FPT20" s="19"/>
      <c r="FPU20" s="16"/>
      <c r="FPV20" s="19"/>
      <c r="FPW20" s="16"/>
      <c r="FPX20" s="19"/>
      <c r="FPY20" s="16"/>
      <c r="FPZ20" s="19"/>
      <c r="FQA20" s="16"/>
      <c r="FQB20" s="19"/>
      <c r="FQC20" s="16"/>
      <c r="FQD20" s="19"/>
      <c r="FQE20" s="16"/>
      <c r="FQF20" s="19"/>
      <c r="FQG20" s="16"/>
      <c r="FQH20" s="19"/>
      <c r="FQI20" s="16"/>
      <c r="FQJ20" s="19"/>
      <c r="FQK20" s="16"/>
      <c r="FQL20" s="19"/>
      <c r="FQM20" s="16"/>
      <c r="FQN20" s="19"/>
      <c r="FQO20" s="16"/>
      <c r="FQP20" s="19"/>
      <c r="FQQ20" s="16"/>
      <c r="FQR20" s="19"/>
      <c r="FQS20" s="16"/>
      <c r="FQT20" s="19"/>
      <c r="FQU20" s="16"/>
      <c r="FQV20" s="19"/>
      <c r="FQW20" s="16"/>
      <c r="FQX20" s="19"/>
      <c r="FQY20" s="16"/>
      <c r="FQZ20" s="19"/>
      <c r="FRA20" s="16"/>
      <c r="FRB20" s="19"/>
      <c r="FRC20" s="16"/>
      <c r="FRD20" s="19"/>
      <c r="FRE20" s="16"/>
      <c r="FRF20" s="19"/>
      <c r="FRG20" s="16"/>
      <c r="FRH20" s="19"/>
      <c r="FRI20" s="16"/>
      <c r="FRJ20" s="19"/>
      <c r="FRK20" s="16"/>
      <c r="FRL20" s="19"/>
      <c r="FRM20" s="16"/>
      <c r="FRN20" s="19"/>
      <c r="FRO20" s="16"/>
      <c r="FRP20" s="19"/>
      <c r="FRQ20" s="16"/>
      <c r="FRR20" s="19"/>
      <c r="FRS20" s="16"/>
      <c r="FRT20" s="19"/>
      <c r="FRU20" s="16"/>
      <c r="FRV20" s="19"/>
      <c r="FRW20" s="16"/>
      <c r="FRX20" s="19"/>
      <c r="FRY20" s="16"/>
      <c r="FRZ20" s="19"/>
      <c r="FSA20" s="16"/>
      <c r="FSB20" s="19"/>
      <c r="FSC20" s="16"/>
      <c r="FSD20" s="19"/>
      <c r="FSE20" s="16"/>
      <c r="FSF20" s="19"/>
      <c r="FSG20" s="16"/>
      <c r="FSH20" s="19"/>
      <c r="FSI20" s="16"/>
      <c r="FSJ20" s="19"/>
      <c r="FSK20" s="16"/>
      <c r="FSL20" s="19"/>
      <c r="FSM20" s="16"/>
      <c r="FSN20" s="19"/>
      <c r="FSO20" s="16"/>
      <c r="FSP20" s="19"/>
      <c r="FSQ20" s="16"/>
      <c r="FSR20" s="19"/>
      <c r="FSS20" s="16"/>
      <c r="FST20" s="19"/>
      <c r="FSU20" s="16"/>
      <c r="FSV20" s="19"/>
      <c r="FSW20" s="16"/>
      <c r="FSX20" s="19"/>
      <c r="FSY20" s="16"/>
      <c r="FSZ20" s="19"/>
      <c r="FTA20" s="16"/>
      <c r="FTB20" s="19"/>
      <c r="FTC20" s="16"/>
      <c r="FTD20" s="19"/>
      <c r="FTE20" s="16"/>
      <c r="FTF20" s="19"/>
      <c r="FTG20" s="16"/>
      <c r="FTH20" s="19"/>
      <c r="FTI20" s="16"/>
      <c r="FTJ20" s="19"/>
      <c r="FTK20" s="16"/>
      <c r="FTL20" s="19"/>
      <c r="FTM20" s="16"/>
      <c r="FTN20" s="19"/>
      <c r="FTO20" s="16"/>
      <c r="FTP20" s="19"/>
      <c r="FTQ20" s="16"/>
      <c r="FTR20" s="19"/>
      <c r="FTS20" s="16"/>
      <c r="FTT20" s="19"/>
      <c r="FTU20" s="16"/>
      <c r="FTV20" s="19"/>
      <c r="FTW20" s="16"/>
      <c r="FTX20" s="19"/>
      <c r="FTY20" s="16"/>
      <c r="FTZ20" s="19"/>
      <c r="FUA20" s="16"/>
      <c r="FUB20" s="19"/>
      <c r="FUC20" s="16"/>
      <c r="FUD20" s="19"/>
      <c r="FUE20" s="16"/>
      <c r="FUF20" s="19"/>
      <c r="FUG20" s="16"/>
      <c r="FUH20" s="19"/>
      <c r="FUI20" s="16"/>
      <c r="FUJ20" s="19"/>
      <c r="FUK20" s="16"/>
      <c r="FUL20" s="19"/>
      <c r="FUM20" s="16"/>
      <c r="FUN20" s="19"/>
      <c r="FUO20" s="16"/>
      <c r="FUP20" s="19"/>
      <c r="FUQ20" s="16"/>
      <c r="FUR20" s="19"/>
      <c r="FUS20" s="16"/>
      <c r="FUT20" s="19"/>
      <c r="FUU20" s="16"/>
      <c r="FUV20" s="19"/>
      <c r="FUW20" s="16"/>
      <c r="FUX20" s="19"/>
      <c r="FUY20" s="16"/>
      <c r="FUZ20" s="19"/>
      <c r="FVA20" s="16"/>
      <c r="FVB20" s="19"/>
      <c r="FVC20" s="16"/>
      <c r="FVD20" s="19"/>
      <c r="FVE20" s="16"/>
      <c r="FVF20" s="19"/>
      <c r="FVG20" s="16"/>
      <c r="FVH20" s="19"/>
      <c r="FVI20" s="16"/>
      <c r="FVJ20" s="19"/>
      <c r="FVK20" s="16"/>
      <c r="FVL20" s="19"/>
      <c r="FVM20" s="16"/>
      <c r="FVN20" s="19"/>
      <c r="FVO20" s="16"/>
      <c r="FVP20" s="19"/>
      <c r="FVQ20" s="16"/>
      <c r="FVR20" s="19"/>
      <c r="FVS20" s="16"/>
      <c r="FVT20" s="19"/>
      <c r="FVU20" s="16"/>
      <c r="FVV20" s="19"/>
      <c r="FVW20" s="16"/>
      <c r="FVX20" s="19"/>
      <c r="FVY20" s="16"/>
      <c r="FVZ20" s="19"/>
      <c r="FWA20" s="16"/>
      <c r="FWB20" s="19"/>
      <c r="FWC20" s="16"/>
      <c r="FWD20" s="19"/>
      <c r="FWE20" s="16"/>
      <c r="FWF20" s="19"/>
      <c r="FWG20" s="16"/>
      <c r="FWH20" s="19"/>
      <c r="FWI20" s="16"/>
      <c r="FWJ20" s="19"/>
      <c r="FWK20" s="16"/>
      <c r="FWL20" s="19"/>
      <c r="FWM20" s="16"/>
      <c r="FWN20" s="19"/>
      <c r="FWO20" s="16"/>
      <c r="FWP20" s="19"/>
      <c r="FWQ20" s="16"/>
      <c r="FWR20" s="19"/>
      <c r="FWS20" s="16"/>
      <c r="FWT20" s="19"/>
      <c r="FWU20" s="16"/>
      <c r="FWV20" s="19"/>
      <c r="FWW20" s="16"/>
      <c r="FWX20" s="19"/>
      <c r="FWY20" s="16"/>
      <c r="FWZ20" s="19"/>
      <c r="FXA20" s="16"/>
      <c r="FXB20" s="19"/>
      <c r="FXC20" s="16"/>
      <c r="FXD20" s="19"/>
      <c r="FXE20" s="16"/>
      <c r="FXF20" s="19"/>
      <c r="FXG20" s="16"/>
      <c r="FXH20" s="19"/>
      <c r="FXI20" s="16"/>
      <c r="FXJ20" s="19"/>
      <c r="FXK20" s="16"/>
      <c r="FXL20" s="19"/>
      <c r="FXM20" s="16"/>
      <c r="FXN20" s="19"/>
      <c r="FXO20" s="16"/>
      <c r="FXP20" s="19"/>
      <c r="FXQ20" s="16"/>
      <c r="FXR20" s="19"/>
      <c r="FXS20" s="16"/>
      <c r="FXT20" s="19"/>
      <c r="FXU20" s="16"/>
      <c r="FXV20" s="19"/>
      <c r="FXW20" s="16"/>
      <c r="FXX20" s="19"/>
      <c r="FXY20" s="16"/>
      <c r="FXZ20" s="19"/>
      <c r="FYA20" s="16"/>
      <c r="FYB20" s="19"/>
      <c r="FYC20" s="16"/>
      <c r="FYD20" s="19"/>
      <c r="FYE20" s="16"/>
      <c r="FYF20" s="19"/>
      <c r="FYG20" s="16"/>
      <c r="FYH20" s="19"/>
      <c r="FYI20" s="16"/>
      <c r="FYJ20" s="19"/>
      <c r="FYK20" s="16"/>
      <c r="FYL20" s="19"/>
      <c r="FYM20" s="16"/>
      <c r="FYN20" s="19"/>
      <c r="FYO20" s="16"/>
      <c r="FYP20" s="19"/>
      <c r="FYQ20" s="16"/>
      <c r="FYR20" s="19"/>
      <c r="FYS20" s="16"/>
      <c r="FYT20" s="19"/>
      <c r="FYU20" s="16"/>
      <c r="FYV20" s="19"/>
      <c r="FYW20" s="16"/>
      <c r="FYX20" s="19"/>
      <c r="FYY20" s="16"/>
      <c r="FYZ20" s="19"/>
      <c r="FZA20" s="16"/>
      <c r="FZB20" s="19"/>
      <c r="FZC20" s="16"/>
      <c r="FZD20" s="19"/>
      <c r="FZE20" s="16"/>
      <c r="FZF20" s="19"/>
      <c r="FZG20" s="16"/>
      <c r="FZH20" s="19"/>
      <c r="FZI20" s="16"/>
      <c r="FZJ20" s="19"/>
      <c r="FZK20" s="16"/>
      <c r="FZL20" s="19"/>
      <c r="FZM20" s="16"/>
      <c r="FZN20" s="19"/>
      <c r="FZO20" s="16"/>
      <c r="FZP20" s="19"/>
      <c r="FZQ20" s="16"/>
      <c r="FZR20" s="19"/>
      <c r="FZS20" s="16"/>
      <c r="FZT20" s="19"/>
      <c r="FZU20" s="16"/>
      <c r="FZV20" s="19"/>
      <c r="FZW20" s="16"/>
      <c r="FZX20" s="19"/>
      <c r="FZY20" s="16"/>
      <c r="FZZ20" s="19"/>
      <c r="GAA20" s="16"/>
      <c r="GAB20" s="19"/>
      <c r="GAC20" s="16"/>
      <c r="GAD20" s="19"/>
      <c r="GAE20" s="16"/>
      <c r="GAF20" s="19"/>
      <c r="GAG20" s="16"/>
      <c r="GAH20" s="19"/>
      <c r="GAI20" s="16"/>
      <c r="GAJ20" s="19"/>
      <c r="GAK20" s="16"/>
      <c r="GAL20" s="19"/>
      <c r="GAM20" s="16"/>
      <c r="GAN20" s="19"/>
      <c r="GAO20" s="16"/>
      <c r="GAP20" s="19"/>
      <c r="GAQ20" s="16"/>
      <c r="GAR20" s="19"/>
      <c r="GAS20" s="16"/>
      <c r="GAT20" s="19"/>
      <c r="GAU20" s="16"/>
      <c r="GAV20" s="19"/>
      <c r="GAW20" s="16"/>
      <c r="GAX20" s="19"/>
      <c r="GAY20" s="16"/>
      <c r="GAZ20" s="19"/>
      <c r="GBA20" s="16"/>
      <c r="GBB20" s="19"/>
      <c r="GBC20" s="16"/>
      <c r="GBD20" s="19"/>
      <c r="GBE20" s="16"/>
      <c r="GBF20" s="19"/>
      <c r="GBG20" s="16"/>
      <c r="GBH20" s="19"/>
      <c r="GBI20" s="16"/>
      <c r="GBJ20" s="19"/>
      <c r="GBK20" s="16"/>
      <c r="GBL20" s="19"/>
      <c r="GBM20" s="16"/>
      <c r="GBN20" s="19"/>
      <c r="GBO20" s="16"/>
      <c r="GBP20" s="19"/>
      <c r="GBQ20" s="16"/>
      <c r="GBR20" s="19"/>
      <c r="GBS20" s="16"/>
      <c r="GBT20" s="19"/>
      <c r="GBU20" s="16"/>
      <c r="GBV20" s="19"/>
      <c r="GBW20" s="16"/>
      <c r="GBX20" s="19"/>
      <c r="GBY20" s="16"/>
      <c r="GBZ20" s="19"/>
      <c r="GCA20" s="16"/>
      <c r="GCB20" s="19"/>
      <c r="GCC20" s="16"/>
      <c r="GCD20" s="19"/>
      <c r="GCE20" s="16"/>
      <c r="GCF20" s="19"/>
      <c r="GCG20" s="16"/>
      <c r="GCH20" s="19"/>
      <c r="GCI20" s="16"/>
      <c r="GCJ20" s="19"/>
      <c r="GCK20" s="16"/>
      <c r="GCL20" s="19"/>
      <c r="GCM20" s="16"/>
      <c r="GCN20" s="19"/>
      <c r="GCO20" s="16"/>
      <c r="GCP20" s="19"/>
      <c r="GCQ20" s="16"/>
      <c r="GCR20" s="19"/>
      <c r="GCS20" s="16"/>
      <c r="GCT20" s="19"/>
      <c r="GCU20" s="16"/>
      <c r="GCV20" s="19"/>
      <c r="GCW20" s="16"/>
      <c r="GCX20" s="19"/>
      <c r="GCY20" s="16"/>
      <c r="GCZ20" s="19"/>
      <c r="GDA20" s="16"/>
      <c r="GDB20" s="19"/>
      <c r="GDC20" s="16"/>
      <c r="GDD20" s="19"/>
      <c r="GDE20" s="16"/>
      <c r="GDF20" s="19"/>
      <c r="GDG20" s="16"/>
      <c r="GDH20" s="19"/>
      <c r="GDI20" s="16"/>
      <c r="GDJ20" s="19"/>
      <c r="GDK20" s="16"/>
      <c r="GDL20" s="19"/>
      <c r="GDM20" s="16"/>
      <c r="GDN20" s="19"/>
      <c r="GDO20" s="16"/>
      <c r="GDP20" s="19"/>
      <c r="GDQ20" s="16"/>
      <c r="GDR20" s="19"/>
      <c r="GDS20" s="16"/>
      <c r="GDT20" s="19"/>
      <c r="GDU20" s="16"/>
      <c r="GDV20" s="19"/>
      <c r="GDW20" s="16"/>
      <c r="GDX20" s="19"/>
      <c r="GDY20" s="16"/>
      <c r="GDZ20" s="19"/>
      <c r="GEA20" s="16"/>
      <c r="GEB20" s="19"/>
      <c r="GEC20" s="16"/>
      <c r="GED20" s="19"/>
      <c r="GEE20" s="16"/>
      <c r="GEF20" s="19"/>
      <c r="GEG20" s="16"/>
      <c r="GEH20" s="19"/>
      <c r="GEI20" s="16"/>
      <c r="GEJ20" s="19"/>
      <c r="GEK20" s="16"/>
      <c r="GEL20" s="19"/>
      <c r="GEM20" s="16"/>
      <c r="GEN20" s="19"/>
      <c r="GEO20" s="16"/>
      <c r="GEP20" s="19"/>
      <c r="GEQ20" s="16"/>
      <c r="GER20" s="19"/>
      <c r="GES20" s="16"/>
      <c r="GET20" s="19"/>
      <c r="GEU20" s="16"/>
      <c r="GEV20" s="19"/>
      <c r="GEW20" s="16"/>
      <c r="GEX20" s="19"/>
      <c r="GEY20" s="16"/>
      <c r="GEZ20" s="19"/>
      <c r="GFA20" s="16"/>
      <c r="GFB20" s="19"/>
      <c r="GFC20" s="16"/>
      <c r="GFD20" s="19"/>
      <c r="GFE20" s="16"/>
      <c r="GFF20" s="19"/>
      <c r="GFG20" s="16"/>
      <c r="GFH20" s="19"/>
      <c r="GFI20" s="16"/>
      <c r="GFJ20" s="19"/>
      <c r="GFK20" s="16"/>
      <c r="GFL20" s="19"/>
      <c r="GFM20" s="16"/>
      <c r="GFN20" s="19"/>
      <c r="GFO20" s="16"/>
      <c r="GFP20" s="19"/>
      <c r="GFQ20" s="16"/>
      <c r="GFR20" s="19"/>
      <c r="GFS20" s="16"/>
      <c r="GFT20" s="19"/>
      <c r="GFU20" s="16"/>
      <c r="GFV20" s="19"/>
      <c r="GFW20" s="16"/>
      <c r="GFX20" s="19"/>
      <c r="GFY20" s="16"/>
      <c r="GFZ20" s="19"/>
      <c r="GGA20" s="16"/>
      <c r="GGB20" s="19"/>
      <c r="GGC20" s="16"/>
      <c r="GGD20" s="19"/>
      <c r="GGE20" s="16"/>
      <c r="GGF20" s="19"/>
      <c r="GGG20" s="16"/>
      <c r="GGH20" s="19"/>
      <c r="GGI20" s="16"/>
      <c r="GGJ20" s="19"/>
      <c r="GGK20" s="16"/>
      <c r="GGL20" s="19"/>
      <c r="GGM20" s="16"/>
      <c r="GGN20" s="19"/>
      <c r="GGO20" s="16"/>
      <c r="GGP20" s="19"/>
      <c r="GGQ20" s="16"/>
      <c r="GGR20" s="19"/>
      <c r="GGS20" s="16"/>
      <c r="GGT20" s="19"/>
      <c r="GGU20" s="16"/>
      <c r="GGV20" s="19"/>
      <c r="GGW20" s="16"/>
      <c r="GGX20" s="19"/>
      <c r="GGY20" s="16"/>
      <c r="GGZ20" s="19"/>
      <c r="GHA20" s="16"/>
      <c r="GHB20" s="19"/>
      <c r="GHC20" s="16"/>
      <c r="GHD20" s="19"/>
      <c r="GHE20" s="16"/>
      <c r="GHF20" s="19"/>
      <c r="GHG20" s="16"/>
      <c r="GHH20" s="19"/>
      <c r="GHI20" s="16"/>
      <c r="GHJ20" s="19"/>
      <c r="GHK20" s="16"/>
      <c r="GHL20" s="19"/>
      <c r="GHM20" s="16"/>
      <c r="GHN20" s="19"/>
      <c r="GHO20" s="16"/>
      <c r="GHP20" s="19"/>
      <c r="GHQ20" s="16"/>
      <c r="GHR20" s="19"/>
      <c r="GHS20" s="16"/>
      <c r="GHT20" s="19"/>
      <c r="GHU20" s="16"/>
      <c r="GHV20" s="19"/>
      <c r="GHW20" s="16"/>
      <c r="GHX20" s="19"/>
      <c r="GHY20" s="16"/>
      <c r="GHZ20" s="19"/>
      <c r="GIA20" s="16"/>
      <c r="GIB20" s="19"/>
      <c r="GIC20" s="16"/>
      <c r="GID20" s="19"/>
      <c r="GIE20" s="16"/>
      <c r="GIF20" s="19"/>
      <c r="GIG20" s="16"/>
      <c r="GIH20" s="19"/>
      <c r="GII20" s="16"/>
      <c r="GIJ20" s="19"/>
      <c r="GIK20" s="16"/>
      <c r="GIL20" s="19"/>
      <c r="GIM20" s="16"/>
      <c r="GIN20" s="19"/>
      <c r="GIO20" s="16"/>
      <c r="GIP20" s="19"/>
      <c r="GIQ20" s="16"/>
      <c r="GIR20" s="19"/>
      <c r="GIS20" s="16"/>
      <c r="GIT20" s="19"/>
      <c r="GIU20" s="16"/>
      <c r="GIV20" s="19"/>
      <c r="GIW20" s="16"/>
      <c r="GIX20" s="19"/>
      <c r="GIY20" s="16"/>
      <c r="GIZ20" s="19"/>
      <c r="GJA20" s="16"/>
      <c r="GJB20" s="19"/>
      <c r="GJC20" s="16"/>
      <c r="GJD20" s="19"/>
      <c r="GJE20" s="16"/>
      <c r="GJF20" s="19"/>
      <c r="GJG20" s="16"/>
      <c r="GJH20" s="19"/>
      <c r="GJI20" s="16"/>
      <c r="GJJ20" s="19"/>
      <c r="GJK20" s="16"/>
      <c r="GJL20" s="19"/>
      <c r="GJM20" s="16"/>
      <c r="GJN20" s="19"/>
      <c r="GJO20" s="16"/>
      <c r="GJP20" s="19"/>
      <c r="GJQ20" s="16"/>
      <c r="GJR20" s="19"/>
      <c r="GJS20" s="16"/>
      <c r="GJT20" s="19"/>
      <c r="GJU20" s="16"/>
      <c r="GJV20" s="19"/>
      <c r="GJW20" s="16"/>
      <c r="GJX20" s="19"/>
      <c r="GJY20" s="16"/>
      <c r="GJZ20" s="19"/>
      <c r="GKA20" s="16"/>
      <c r="GKB20" s="19"/>
      <c r="GKC20" s="16"/>
      <c r="GKD20" s="19"/>
      <c r="GKE20" s="16"/>
      <c r="GKF20" s="19"/>
      <c r="GKG20" s="16"/>
      <c r="GKH20" s="19"/>
      <c r="GKI20" s="16"/>
      <c r="GKJ20" s="19"/>
      <c r="GKK20" s="16"/>
      <c r="GKL20" s="19"/>
      <c r="GKM20" s="16"/>
      <c r="GKN20" s="19"/>
      <c r="GKO20" s="16"/>
      <c r="GKP20" s="19"/>
      <c r="GKQ20" s="16"/>
      <c r="GKR20" s="19"/>
      <c r="GKS20" s="16"/>
      <c r="GKT20" s="19"/>
      <c r="GKU20" s="16"/>
      <c r="GKV20" s="19"/>
      <c r="GKW20" s="16"/>
      <c r="GKX20" s="19"/>
      <c r="GKY20" s="16"/>
      <c r="GKZ20" s="19"/>
      <c r="GLA20" s="16"/>
      <c r="GLB20" s="19"/>
      <c r="GLC20" s="16"/>
      <c r="GLD20" s="19"/>
      <c r="GLE20" s="16"/>
      <c r="GLF20" s="19"/>
      <c r="GLG20" s="16"/>
      <c r="GLH20" s="19"/>
      <c r="GLI20" s="16"/>
      <c r="GLJ20" s="19"/>
      <c r="GLK20" s="16"/>
      <c r="GLL20" s="19"/>
      <c r="GLM20" s="16"/>
      <c r="GLN20" s="19"/>
      <c r="GLO20" s="16"/>
      <c r="GLP20" s="19"/>
      <c r="GLQ20" s="16"/>
      <c r="GLR20" s="19"/>
      <c r="GLS20" s="16"/>
      <c r="GLT20" s="19"/>
      <c r="GLU20" s="16"/>
      <c r="GLV20" s="19"/>
      <c r="GLW20" s="16"/>
      <c r="GLX20" s="19"/>
      <c r="GLY20" s="16"/>
      <c r="GLZ20" s="19"/>
      <c r="GMA20" s="16"/>
      <c r="GMB20" s="19"/>
      <c r="GMC20" s="16"/>
      <c r="GMD20" s="19"/>
      <c r="GME20" s="16"/>
      <c r="GMF20" s="19"/>
      <c r="GMG20" s="16"/>
      <c r="GMH20" s="19"/>
      <c r="GMI20" s="16"/>
      <c r="GMJ20" s="19"/>
      <c r="GMK20" s="16"/>
      <c r="GML20" s="19"/>
      <c r="GMM20" s="16"/>
      <c r="GMN20" s="19"/>
      <c r="GMO20" s="16"/>
      <c r="GMP20" s="19"/>
      <c r="GMQ20" s="16"/>
      <c r="GMR20" s="19"/>
      <c r="GMS20" s="16"/>
      <c r="GMT20" s="19"/>
      <c r="GMU20" s="16"/>
      <c r="GMV20" s="19"/>
      <c r="GMW20" s="16"/>
      <c r="GMX20" s="19"/>
      <c r="GMY20" s="16"/>
      <c r="GMZ20" s="19"/>
      <c r="GNA20" s="16"/>
      <c r="GNB20" s="19"/>
      <c r="GNC20" s="16"/>
      <c r="GND20" s="19"/>
      <c r="GNE20" s="16"/>
      <c r="GNF20" s="19"/>
      <c r="GNG20" s="16"/>
      <c r="GNH20" s="19"/>
      <c r="GNI20" s="16"/>
      <c r="GNJ20" s="19"/>
      <c r="GNK20" s="16"/>
      <c r="GNL20" s="19"/>
      <c r="GNM20" s="16"/>
      <c r="GNN20" s="19"/>
      <c r="GNO20" s="16"/>
      <c r="GNP20" s="19"/>
      <c r="GNQ20" s="16"/>
      <c r="GNR20" s="19"/>
      <c r="GNS20" s="16"/>
      <c r="GNT20" s="19"/>
      <c r="GNU20" s="16"/>
      <c r="GNV20" s="19"/>
      <c r="GNW20" s="16"/>
      <c r="GNX20" s="19"/>
      <c r="GNY20" s="16"/>
      <c r="GNZ20" s="19"/>
      <c r="GOA20" s="16"/>
      <c r="GOB20" s="19"/>
      <c r="GOC20" s="16"/>
      <c r="GOD20" s="19"/>
      <c r="GOE20" s="16"/>
      <c r="GOF20" s="19"/>
      <c r="GOG20" s="16"/>
      <c r="GOH20" s="19"/>
      <c r="GOI20" s="16"/>
      <c r="GOJ20" s="19"/>
      <c r="GOK20" s="16"/>
      <c r="GOL20" s="19"/>
      <c r="GOM20" s="16"/>
      <c r="GON20" s="19"/>
      <c r="GOO20" s="16"/>
      <c r="GOP20" s="19"/>
      <c r="GOQ20" s="16"/>
      <c r="GOR20" s="19"/>
      <c r="GOS20" s="16"/>
      <c r="GOT20" s="19"/>
      <c r="GOU20" s="16"/>
      <c r="GOV20" s="19"/>
      <c r="GOW20" s="16"/>
      <c r="GOX20" s="19"/>
      <c r="GOY20" s="16"/>
      <c r="GOZ20" s="19"/>
      <c r="GPA20" s="16"/>
      <c r="GPB20" s="19"/>
      <c r="GPC20" s="16"/>
      <c r="GPD20" s="19"/>
      <c r="GPE20" s="16"/>
      <c r="GPF20" s="19"/>
      <c r="GPG20" s="16"/>
      <c r="GPH20" s="19"/>
      <c r="GPI20" s="16"/>
      <c r="GPJ20" s="19"/>
      <c r="GPK20" s="16"/>
      <c r="GPL20" s="19"/>
      <c r="GPM20" s="16"/>
      <c r="GPN20" s="19"/>
      <c r="GPO20" s="16"/>
      <c r="GPP20" s="19"/>
      <c r="GPQ20" s="16"/>
      <c r="GPR20" s="19"/>
      <c r="GPS20" s="16"/>
      <c r="GPT20" s="19"/>
      <c r="GPU20" s="16"/>
      <c r="GPV20" s="19"/>
      <c r="GPW20" s="16"/>
      <c r="GPX20" s="19"/>
      <c r="GPY20" s="16"/>
      <c r="GPZ20" s="19"/>
      <c r="GQA20" s="16"/>
      <c r="GQB20" s="19"/>
      <c r="GQC20" s="16"/>
      <c r="GQD20" s="19"/>
      <c r="GQE20" s="16"/>
      <c r="GQF20" s="19"/>
      <c r="GQG20" s="16"/>
      <c r="GQH20" s="19"/>
      <c r="GQI20" s="16"/>
      <c r="GQJ20" s="19"/>
      <c r="GQK20" s="16"/>
      <c r="GQL20" s="19"/>
      <c r="GQM20" s="16"/>
      <c r="GQN20" s="19"/>
      <c r="GQO20" s="16"/>
      <c r="GQP20" s="19"/>
      <c r="GQQ20" s="16"/>
      <c r="GQR20" s="19"/>
      <c r="GQS20" s="16"/>
      <c r="GQT20" s="19"/>
      <c r="GQU20" s="16"/>
      <c r="GQV20" s="19"/>
      <c r="GQW20" s="16"/>
      <c r="GQX20" s="19"/>
      <c r="GQY20" s="16"/>
      <c r="GQZ20" s="19"/>
      <c r="GRA20" s="16"/>
      <c r="GRB20" s="19"/>
      <c r="GRC20" s="16"/>
      <c r="GRD20" s="19"/>
      <c r="GRE20" s="16"/>
      <c r="GRF20" s="19"/>
      <c r="GRG20" s="16"/>
      <c r="GRH20" s="19"/>
      <c r="GRI20" s="16"/>
      <c r="GRJ20" s="19"/>
      <c r="GRK20" s="16"/>
      <c r="GRL20" s="19"/>
      <c r="GRM20" s="16"/>
      <c r="GRN20" s="19"/>
      <c r="GRO20" s="16"/>
      <c r="GRP20" s="19"/>
      <c r="GRQ20" s="16"/>
      <c r="GRR20" s="19"/>
      <c r="GRS20" s="16"/>
      <c r="GRT20" s="19"/>
      <c r="GRU20" s="16"/>
      <c r="GRV20" s="19"/>
      <c r="GRW20" s="16"/>
      <c r="GRX20" s="19"/>
      <c r="GRY20" s="16"/>
      <c r="GRZ20" s="19"/>
      <c r="GSA20" s="16"/>
      <c r="GSB20" s="19"/>
      <c r="GSC20" s="16"/>
      <c r="GSD20" s="19"/>
      <c r="GSE20" s="16"/>
      <c r="GSF20" s="19"/>
      <c r="GSG20" s="16"/>
      <c r="GSH20" s="19"/>
      <c r="GSI20" s="16"/>
      <c r="GSJ20" s="19"/>
      <c r="GSK20" s="16"/>
      <c r="GSL20" s="19"/>
      <c r="GSM20" s="16"/>
      <c r="GSN20" s="19"/>
      <c r="GSO20" s="16"/>
      <c r="GSP20" s="19"/>
      <c r="GSQ20" s="16"/>
      <c r="GSR20" s="19"/>
      <c r="GSS20" s="16"/>
      <c r="GST20" s="19"/>
      <c r="GSU20" s="16"/>
      <c r="GSV20" s="19"/>
      <c r="GSW20" s="16"/>
      <c r="GSX20" s="19"/>
      <c r="GSY20" s="16"/>
      <c r="GSZ20" s="19"/>
      <c r="GTA20" s="16"/>
      <c r="GTB20" s="19"/>
      <c r="GTC20" s="16"/>
      <c r="GTD20" s="19"/>
      <c r="GTE20" s="16"/>
      <c r="GTF20" s="19"/>
      <c r="GTG20" s="16"/>
      <c r="GTH20" s="19"/>
      <c r="GTI20" s="16"/>
      <c r="GTJ20" s="19"/>
      <c r="GTK20" s="16"/>
      <c r="GTL20" s="19"/>
      <c r="GTM20" s="16"/>
      <c r="GTN20" s="19"/>
      <c r="GTO20" s="16"/>
      <c r="GTP20" s="19"/>
      <c r="GTQ20" s="16"/>
      <c r="GTR20" s="19"/>
      <c r="GTS20" s="16"/>
      <c r="GTT20" s="19"/>
      <c r="GTU20" s="16"/>
      <c r="GTV20" s="19"/>
      <c r="GTW20" s="16"/>
      <c r="GTX20" s="19"/>
      <c r="GTY20" s="16"/>
      <c r="GTZ20" s="19"/>
      <c r="GUA20" s="16"/>
      <c r="GUB20" s="19"/>
      <c r="GUC20" s="16"/>
      <c r="GUD20" s="19"/>
      <c r="GUE20" s="16"/>
      <c r="GUF20" s="19"/>
      <c r="GUG20" s="16"/>
      <c r="GUH20" s="19"/>
      <c r="GUI20" s="16"/>
      <c r="GUJ20" s="19"/>
      <c r="GUK20" s="16"/>
      <c r="GUL20" s="19"/>
      <c r="GUM20" s="16"/>
      <c r="GUN20" s="19"/>
      <c r="GUO20" s="16"/>
      <c r="GUP20" s="19"/>
      <c r="GUQ20" s="16"/>
      <c r="GUR20" s="19"/>
      <c r="GUS20" s="16"/>
      <c r="GUT20" s="19"/>
      <c r="GUU20" s="16"/>
      <c r="GUV20" s="19"/>
      <c r="GUW20" s="16"/>
      <c r="GUX20" s="19"/>
      <c r="GUY20" s="16"/>
      <c r="GUZ20" s="19"/>
      <c r="GVA20" s="16"/>
      <c r="GVB20" s="19"/>
      <c r="GVC20" s="16"/>
      <c r="GVD20" s="19"/>
      <c r="GVE20" s="16"/>
      <c r="GVF20" s="19"/>
      <c r="GVG20" s="16"/>
      <c r="GVH20" s="19"/>
      <c r="GVI20" s="16"/>
      <c r="GVJ20" s="19"/>
      <c r="GVK20" s="16"/>
      <c r="GVL20" s="19"/>
      <c r="GVM20" s="16"/>
      <c r="GVN20" s="19"/>
      <c r="GVO20" s="16"/>
      <c r="GVP20" s="19"/>
      <c r="GVQ20" s="16"/>
      <c r="GVR20" s="19"/>
      <c r="GVS20" s="16"/>
      <c r="GVT20" s="19"/>
      <c r="GVU20" s="16"/>
      <c r="GVV20" s="19"/>
      <c r="GVW20" s="16"/>
      <c r="GVX20" s="19"/>
      <c r="GVY20" s="16"/>
      <c r="GVZ20" s="19"/>
      <c r="GWA20" s="16"/>
      <c r="GWB20" s="19"/>
      <c r="GWC20" s="16"/>
      <c r="GWD20" s="19"/>
      <c r="GWE20" s="16"/>
      <c r="GWF20" s="19"/>
      <c r="GWG20" s="16"/>
      <c r="GWH20" s="19"/>
      <c r="GWI20" s="16"/>
      <c r="GWJ20" s="19"/>
      <c r="GWK20" s="16"/>
      <c r="GWL20" s="19"/>
      <c r="GWM20" s="16"/>
      <c r="GWN20" s="19"/>
      <c r="GWO20" s="16"/>
      <c r="GWP20" s="19"/>
      <c r="GWQ20" s="16"/>
      <c r="GWR20" s="19"/>
      <c r="GWS20" s="16"/>
      <c r="GWT20" s="19"/>
      <c r="GWU20" s="16"/>
      <c r="GWV20" s="19"/>
      <c r="GWW20" s="16"/>
      <c r="GWX20" s="19"/>
      <c r="GWY20" s="16"/>
      <c r="GWZ20" s="19"/>
      <c r="GXA20" s="16"/>
      <c r="GXB20" s="19"/>
      <c r="GXC20" s="16"/>
      <c r="GXD20" s="19"/>
      <c r="GXE20" s="16"/>
      <c r="GXF20" s="19"/>
      <c r="GXG20" s="16"/>
      <c r="GXH20" s="19"/>
      <c r="GXI20" s="16"/>
      <c r="GXJ20" s="19"/>
      <c r="GXK20" s="16"/>
      <c r="GXL20" s="19"/>
      <c r="GXM20" s="16"/>
      <c r="GXN20" s="19"/>
      <c r="GXO20" s="16"/>
      <c r="GXP20" s="19"/>
      <c r="GXQ20" s="16"/>
      <c r="GXR20" s="19"/>
      <c r="GXS20" s="16"/>
      <c r="GXT20" s="19"/>
      <c r="GXU20" s="16"/>
      <c r="GXV20" s="19"/>
      <c r="GXW20" s="16"/>
      <c r="GXX20" s="19"/>
      <c r="GXY20" s="16"/>
      <c r="GXZ20" s="19"/>
      <c r="GYA20" s="16"/>
      <c r="GYB20" s="19"/>
      <c r="GYC20" s="16"/>
      <c r="GYD20" s="19"/>
      <c r="GYE20" s="16"/>
      <c r="GYF20" s="19"/>
      <c r="GYG20" s="16"/>
      <c r="GYH20" s="19"/>
      <c r="GYI20" s="16"/>
      <c r="GYJ20" s="19"/>
      <c r="GYK20" s="16"/>
      <c r="GYL20" s="19"/>
      <c r="GYM20" s="16"/>
      <c r="GYN20" s="19"/>
      <c r="GYO20" s="16"/>
      <c r="GYP20" s="19"/>
      <c r="GYQ20" s="16"/>
      <c r="GYR20" s="19"/>
      <c r="GYS20" s="16"/>
      <c r="GYT20" s="19"/>
      <c r="GYU20" s="16"/>
      <c r="GYV20" s="19"/>
      <c r="GYW20" s="16"/>
      <c r="GYX20" s="19"/>
      <c r="GYY20" s="16"/>
      <c r="GYZ20" s="19"/>
      <c r="GZA20" s="16"/>
      <c r="GZB20" s="19"/>
      <c r="GZC20" s="16"/>
      <c r="GZD20" s="19"/>
      <c r="GZE20" s="16"/>
      <c r="GZF20" s="19"/>
      <c r="GZG20" s="16"/>
      <c r="GZH20" s="19"/>
      <c r="GZI20" s="16"/>
      <c r="GZJ20" s="19"/>
      <c r="GZK20" s="16"/>
      <c r="GZL20" s="19"/>
      <c r="GZM20" s="16"/>
      <c r="GZN20" s="19"/>
      <c r="GZO20" s="16"/>
      <c r="GZP20" s="19"/>
      <c r="GZQ20" s="16"/>
      <c r="GZR20" s="19"/>
      <c r="GZS20" s="16"/>
      <c r="GZT20" s="19"/>
      <c r="GZU20" s="16"/>
      <c r="GZV20" s="19"/>
      <c r="GZW20" s="16"/>
      <c r="GZX20" s="19"/>
      <c r="GZY20" s="16"/>
      <c r="GZZ20" s="19"/>
      <c r="HAA20" s="16"/>
      <c r="HAB20" s="19"/>
      <c r="HAC20" s="16"/>
      <c r="HAD20" s="19"/>
      <c r="HAE20" s="16"/>
      <c r="HAF20" s="19"/>
      <c r="HAG20" s="16"/>
      <c r="HAH20" s="19"/>
      <c r="HAI20" s="16"/>
      <c r="HAJ20" s="19"/>
      <c r="HAK20" s="16"/>
      <c r="HAL20" s="19"/>
      <c r="HAM20" s="16"/>
      <c r="HAN20" s="19"/>
      <c r="HAO20" s="16"/>
      <c r="HAP20" s="19"/>
      <c r="HAQ20" s="16"/>
      <c r="HAR20" s="19"/>
      <c r="HAS20" s="16"/>
      <c r="HAT20" s="19"/>
      <c r="HAU20" s="16"/>
      <c r="HAV20" s="19"/>
      <c r="HAW20" s="16"/>
      <c r="HAX20" s="19"/>
      <c r="HAY20" s="16"/>
      <c r="HAZ20" s="19"/>
      <c r="HBA20" s="16"/>
      <c r="HBB20" s="19"/>
      <c r="HBC20" s="16"/>
      <c r="HBD20" s="19"/>
      <c r="HBE20" s="16"/>
      <c r="HBF20" s="19"/>
      <c r="HBG20" s="16"/>
      <c r="HBH20" s="19"/>
      <c r="HBI20" s="16"/>
      <c r="HBJ20" s="19"/>
      <c r="HBK20" s="16"/>
      <c r="HBL20" s="19"/>
      <c r="HBM20" s="16"/>
      <c r="HBN20" s="19"/>
      <c r="HBO20" s="16"/>
      <c r="HBP20" s="19"/>
      <c r="HBQ20" s="16"/>
      <c r="HBR20" s="19"/>
      <c r="HBS20" s="16"/>
      <c r="HBT20" s="19"/>
      <c r="HBU20" s="16"/>
      <c r="HBV20" s="19"/>
      <c r="HBW20" s="16"/>
      <c r="HBX20" s="19"/>
      <c r="HBY20" s="16"/>
      <c r="HBZ20" s="19"/>
      <c r="HCA20" s="16"/>
      <c r="HCB20" s="19"/>
      <c r="HCC20" s="16"/>
      <c r="HCD20" s="19"/>
      <c r="HCE20" s="16"/>
      <c r="HCF20" s="19"/>
      <c r="HCG20" s="16"/>
      <c r="HCH20" s="19"/>
      <c r="HCI20" s="16"/>
      <c r="HCJ20" s="19"/>
      <c r="HCK20" s="16"/>
      <c r="HCL20" s="19"/>
      <c r="HCM20" s="16"/>
      <c r="HCN20" s="19"/>
      <c r="HCO20" s="16"/>
      <c r="HCP20" s="19"/>
      <c r="HCQ20" s="16"/>
      <c r="HCR20" s="19"/>
      <c r="HCS20" s="16"/>
      <c r="HCT20" s="19"/>
      <c r="HCU20" s="16"/>
      <c r="HCV20" s="19"/>
      <c r="HCW20" s="16"/>
      <c r="HCX20" s="19"/>
      <c r="HCY20" s="16"/>
      <c r="HCZ20" s="19"/>
      <c r="HDA20" s="16"/>
      <c r="HDB20" s="19"/>
      <c r="HDC20" s="16"/>
      <c r="HDD20" s="19"/>
      <c r="HDE20" s="16"/>
      <c r="HDF20" s="19"/>
      <c r="HDG20" s="16"/>
      <c r="HDH20" s="19"/>
      <c r="HDI20" s="16"/>
      <c r="HDJ20" s="19"/>
      <c r="HDK20" s="16"/>
      <c r="HDL20" s="19"/>
      <c r="HDM20" s="16"/>
      <c r="HDN20" s="19"/>
      <c r="HDO20" s="16"/>
      <c r="HDP20" s="19"/>
      <c r="HDQ20" s="16"/>
      <c r="HDR20" s="19"/>
      <c r="HDS20" s="16"/>
      <c r="HDT20" s="19"/>
      <c r="HDU20" s="16"/>
      <c r="HDV20" s="19"/>
      <c r="HDW20" s="16"/>
      <c r="HDX20" s="19"/>
      <c r="HDY20" s="16"/>
      <c r="HDZ20" s="19"/>
      <c r="HEA20" s="16"/>
      <c r="HEB20" s="19"/>
      <c r="HEC20" s="16"/>
      <c r="HED20" s="19"/>
      <c r="HEE20" s="16"/>
      <c r="HEF20" s="19"/>
      <c r="HEG20" s="16"/>
      <c r="HEH20" s="19"/>
      <c r="HEI20" s="16"/>
      <c r="HEJ20" s="19"/>
      <c r="HEK20" s="16"/>
      <c r="HEL20" s="19"/>
      <c r="HEM20" s="16"/>
      <c r="HEN20" s="19"/>
      <c r="HEO20" s="16"/>
      <c r="HEP20" s="19"/>
      <c r="HEQ20" s="16"/>
      <c r="HER20" s="19"/>
      <c r="HES20" s="16"/>
      <c r="HET20" s="19"/>
      <c r="HEU20" s="16"/>
      <c r="HEV20" s="19"/>
      <c r="HEW20" s="16"/>
      <c r="HEX20" s="19"/>
      <c r="HEY20" s="16"/>
      <c r="HEZ20" s="19"/>
      <c r="HFA20" s="16"/>
      <c r="HFB20" s="19"/>
      <c r="HFC20" s="16"/>
      <c r="HFD20" s="19"/>
      <c r="HFE20" s="16"/>
      <c r="HFF20" s="19"/>
      <c r="HFG20" s="16"/>
      <c r="HFH20" s="19"/>
      <c r="HFI20" s="16"/>
      <c r="HFJ20" s="19"/>
      <c r="HFK20" s="16"/>
      <c r="HFL20" s="19"/>
      <c r="HFM20" s="16"/>
      <c r="HFN20" s="19"/>
      <c r="HFO20" s="16"/>
      <c r="HFP20" s="19"/>
      <c r="HFQ20" s="16"/>
      <c r="HFR20" s="19"/>
      <c r="HFS20" s="16"/>
      <c r="HFT20" s="19"/>
      <c r="HFU20" s="16"/>
      <c r="HFV20" s="19"/>
      <c r="HFW20" s="16"/>
      <c r="HFX20" s="19"/>
      <c r="HFY20" s="16"/>
      <c r="HFZ20" s="19"/>
      <c r="HGA20" s="16"/>
      <c r="HGB20" s="19"/>
      <c r="HGC20" s="16"/>
      <c r="HGD20" s="19"/>
      <c r="HGE20" s="16"/>
      <c r="HGF20" s="19"/>
      <c r="HGG20" s="16"/>
      <c r="HGH20" s="19"/>
      <c r="HGI20" s="16"/>
      <c r="HGJ20" s="19"/>
      <c r="HGK20" s="16"/>
      <c r="HGL20" s="19"/>
      <c r="HGM20" s="16"/>
      <c r="HGN20" s="19"/>
      <c r="HGO20" s="16"/>
      <c r="HGP20" s="19"/>
      <c r="HGQ20" s="16"/>
      <c r="HGR20" s="19"/>
      <c r="HGS20" s="16"/>
      <c r="HGT20" s="19"/>
      <c r="HGU20" s="16"/>
      <c r="HGV20" s="19"/>
      <c r="HGW20" s="16"/>
      <c r="HGX20" s="19"/>
      <c r="HGY20" s="16"/>
      <c r="HGZ20" s="19"/>
      <c r="HHA20" s="16"/>
      <c r="HHB20" s="19"/>
      <c r="HHC20" s="16"/>
      <c r="HHD20" s="19"/>
      <c r="HHE20" s="16"/>
      <c r="HHF20" s="19"/>
      <c r="HHG20" s="16"/>
      <c r="HHH20" s="19"/>
      <c r="HHI20" s="16"/>
      <c r="HHJ20" s="19"/>
      <c r="HHK20" s="16"/>
      <c r="HHL20" s="19"/>
      <c r="HHM20" s="16"/>
      <c r="HHN20" s="19"/>
      <c r="HHO20" s="16"/>
      <c r="HHP20" s="19"/>
      <c r="HHQ20" s="16"/>
      <c r="HHR20" s="19"/>
      <c r="HHS20" s="16"/>
      <c r="HHT20" s="19"/>
      <c r="HHU20" s="16"/>
      <c r="HHV20" s="19"/>
      <c r="HHW20" s="16"/>
      <c r="HHX20" s="19"/>
      <c r="HHY20" s="16"/>
      <c r="HHZ20" s="19"/>
      <c r="HIA20" s="16"/>
      <c r="HIB20" s="19"/>
      <c r="HIC20" s="16"/>
      <c r="HID20" s="19"/>
      <c r="HIE20" s="16"/>
      <c r="HIF20" s="19"/>
      <c r="HIG20" s="16"/>
      <c r="HIH20" s="19"/>
      <c r="HII20" s="16"/>
      <c r="HIJ20" s="19"/>
      <c r="HIK20" s="16"/>
      <c r="HIL20" s="19"/>
      <c r="HIM20" s="16"/>
      <c r="HIN20" s="19"/>
      <c r="HIO20" s="16"/>
      <c r="HIP20" s="19"/>
      <c r="HIQ20" s="16"/>
      <c r="HIR20" s="19"/>
      <c r="HIS20" s="16"/>
      <c r="HIT20" s="19"/>
      <c r="HIU20" s="16"/>
      <c r="HIV20" s="19"/>
      <c r="HIW20" s="16"/>
      <c r="HIX20" s="19"/>
      <c r="HIY20" s="16"/>
      <c r="HIZ20" s="19"/>
      <c r="HJA20" s="16"/>
      <c r="HJB20" s="19"/>
      <c r="HJC20" s="16"/>
      <c r="HJD20" s="19"/>
      <c r="HJE20" s="16"/>
      <c r="HJF20" s="19"/>
      <c r="HJG20" s="16"/>
      <c r="HJH20" s="19"/>
      <c r="HJI20" s="16"/>
      <c r="HJJ20" s="19"/>
      <c r="HJK20" s="16"/>
      <c r="HJL20" s="19"/>
      <c r="HJM20" s="16"/>
      <c r="HJN20" s="19"/>
      <c r="HJO20" s="16"/>
      <c r="HJP20" s="19"/>
      <c r="HJQ20" s="16"/>
      <c r="HJR20" s="19"/>
      <c r="HJS20" s="16"/>
      <c r="HJT20" s="19"/>
      <c r="HJU20" s="16"/>
      <c r="HJV20" s="19"/>
      <c r="HJW20" s="16"/>
      <c r="HJX20" s="19"/>
      <c r="HJY20" s="16"/>
      <c r="HJZ20" s="19"/>
      <c r="HKA20" s="16"/>
      <c r="HKB20" s="19"/>
      <c r="HKC20" s="16"/>
      <c r="HKD20" s="19"/>
      <c r="HKE20" s="16"/>
      <c r="HKF20" s="19"/>
      <c r="HKG20" s="16"/>
      <c r="HKH20" s="19"/>
      <c r="HKI20" s="16"/>
      <c r="HKJ20" s="19"/>
      <c r="HKK20" s="16"/>
      <c r="HKL20" s="19"/>
      <c r="HKM20" s="16"/>
      <c r="HKN20" s="19"/>
      <c r="HKO20" s="16"/>
      <c r="HKP20" s="19"/>
      <c r="HKQ20" s="16"/>
      <c r="HKR20" s="19"/>
      <c r="HKS20" s="16"/>
      <c r="HKT20" s="19"/>
      <c r="HKU20" s="16"/>
      <c r="HKV20" s="19"/>
      <c r="HKW20" s="16"/>
      <c r="HKX20" s="19"/>
      <c r="HKY20" s="16"/>
      <c r="HKZ20" s="19"/>
      <c r="HLA20" s="16"/>
      <c r="HLB20" s="19"/>
      <c r="HLC20" s="16"/>
      <c r="HLD20" s="19"/>
      <c r="HLE20" s="16"/>
      <c r="HLF20" s="19"/>
      <c r="HLG20" s="16"/>
      <c r="HLH20" s="19"/>
      <c r="HLI20" s="16"/>
      <c r="HLJ20" s="19"/>
      <c r="HLK20" s="16"/>
      <c r="HLL20" s="19"/>
      <c r="HLM20" s="16"/>
      <c r="HLN20" s="19"/>
      <c r="HLO20" s="16"/>
      <c r="HLP20" s="19"/>
      <c r="HLQ20" s="16"/>
      <c r="HLR20" s="19"/>
      <c r="HLS20" s="16"/>
      <c r="HLT20" s="19"/>
      <c r="HLU20" s="16"/>
      <c r="HLV20" s="19"/>
      <c r="HLW20" s="16"/>
      <c r="HLX20" s="19"/>
      <c r="HLY20" s="16"/>
      <c r="HLZ20" s="19"/>
      <c r="HMA20" s="16"/>
      <c r="HMB20" s="19"/>
      <c r="HMC20" s="16"/>
      <c r="HMD20" s="19"/>
      <c r="HME20" s="16"/>
      <c r="HMF20" s="19"/>
      <c r="HMG20" s="16"/>
      <c r="HMH20" s="19"/>
      <c r="HMI20" s="16"/>
      <c r="HMJ20" s="19"/>
      <c r="HMK20" s="16"/>
      <c r="HML20" s="19"/>
      <c r="HMM20" s="16"/>
      <c r="HMN20" s="19"/>
      <c r="HMO20" s="16"/>
      <c r="HMP20" s="19"/>
      <c r="HMQ20" s="16"/>
      <c r="HMR20" s="19"/>
      <c r="HMS20" s="16"/>
      <c r="HMT20" s="19"/>
      <c r="HMU20" s="16"/>
      <c r="HMV20" s="19"/>
      <c r="HMW20" s="16"/>
      <c r="HMX20" s="19"/>
      <c r="HMY20" s="16"/>
      <c r="HMZ20" s="19"/>
      <c r="HNA20" s="16"/>
      <c r="HNB20" s="19"/>
      <c r="HNC20" s="16"/>
      <c r="HND20" s="19"/>
      <c r="HNE20" s="16"/>
      <c r="HNF20" s="19"/>
      <c r="HNG20" s="16"/>
      <c r="HNH20" s="19"/>
      <c r="HNI20" s="16"/>
      <c r="HNJ20" s="19"/>
      <c r="HNK20" s="16"/>
      <c r="HNL20" s="19"/>
      <c r="HNM20" s="16"/>
      <c r="HNN20" s="19"/>
      <c r="HNO20" s="16"/>
      <c r="HNP20" s="19"/>
      <c r="HNQ20" s="16"/>
      <c r="HNR20" s="19"/>
      <c r="HNS20" s="16"/>
      <c r="HNT20" s="19"/>
      <c r="HNU20" s="16"/>
      <c r="HNV20" s="19"/>
      <c r="HNW20" s="16"/>
      <c r="HNX20" s="19"/>
      <c r="HNY20" s="16"/>
      <c r="HNZ20" s="19"/>
      <c r="HOA20" s="16"/>
      <c r="HOB20" s="19"/>
      <c r="HOC20" s="16"/>
      <c r="HOD20" s="19"/>
      <c r="HOE20" s="16"/>
      <c r="HOF20" s="19"/>
      <c r="HOG20" s="16"/>
      <c r="HOH20" s="19"/>
      <c r="HOI20" s="16"/>
      <c r="HOJ20" s="19"/>
      <c r="HOK20" s="16"/>
      <c r="HOL20" s="19"/>
      <c r="HOM20" s="16"/>
      <c r="HON20" s="19"/>
      <c r="HOO20" s="16"/>
      <c r="HOP20" s="19"/>
      <c r="HOQ20" s="16"/>
      <c r="HOR20" s="19"/>
      <c r="HOS20" s="16"/>
      <c r="HOT20" s="19"/>
      <c r="HOU20" s="16"/>
      <c r="HOV20" s="19"/>
      <c r="HOW20" s="16"/>
      <c r="HOX20" s="19"/>
      <c r="HOY20" s="16"/>
      <c r="HOZ20" s="19"/>
      <c r="HPA20" s="16"/>
      <c r="HPB20" s="19"/>
      <c r="HPC20" s="16"/>
      <c r="HPD20" s="19"/>
      <c r="HPE20" s="16"/>
      <c r="HPF20" s="19"/>
      <c r="HPG20" s="16"/>
      <c r="HPH20" s="19"/>
      <c r="HPI20" s="16"/>
      <c r="HPJ20" s="19"/>
      <c r="HPK20" s="16"/>
      <c r="HPL20" s="19"/>
      <c r="HPM20" s="16"/>
      <c r="HPN20" s="19"/>
      <c r="HPO20" s="16"/>
      <c r="HPP20" s="19"/>
      <c r="HPQ20" s="16"/>
      <c r="HPR20" s="19"/>
      <c r="HPS20" s="16"/>
      <c r="HPT20" s="19"/>
      <c r="HPU20" s="16"/>
      <c r="HPV20" s="19"/>
      <c r="HPW20" s="16"/>
      <c r="HPX20" s="19"/>
      <c r="HPY20" s="16"/>
      <c r="HPZ20" s="19"/>
      <c r="HQA20" s="16"/>
      <c r="HQB20" s="19"/>
      <c r="HQC20" s="16"/>
      <c r="HQD20" s="19"/>
      <c r="HQE20" s="16"/>
      <c r="HQF20" s="19"/>
      <c r="HQG20" s="16"/>
      <c r="HQH20" s="19"/>
      <c r="HQI20" s="16"/>
      <c r="HQJ20" s="19"/>
      <c r="HQK20" s="16"/>
      <c r="HQL20" s="19"/>
      <c r="HQM20" s="16"/>
      <c r="HQN20" s="19"/>
      <c r="HQO20" s="16"/>
      <c r="HQP20" s="19"/>
      <c r="HQQ20" s="16"/>
      <c r="HQR20" s="19"/>
      <c r="HQS20" s="16"/>
      <c r="HQT20" s="19"/>
      <c r="HQU20" s="16"/>
      <c r="HQV20" s="19"/>
      <c r="HQW20" s="16"/>
      <c r="HQX20" s="19"/>
      <c r="HQY20" s="16"/>
      <c r="HQZ20" s="19"/>
      <c r="HRA20" s="16"/>
      <c r="HRB20" s="19"/>
      <c r="HRC20" s="16"/>
      <c r="HRD20" s="19"/>
      <c r="HRE20" s="16"/>
      <c r="HRF20" s="19"/>
      <c r="HRG20" s="16"/>
      <c r="HRH20" s="19"/>
      <c r="HRI20" s="16"/>
      <c r="HRJ20" s="19"/>
      <c r="HRK20" s="16"/>
      <c r="HRL20" s="19"/>
      <c r="HRM20" s="16"/>
      <c r="HRN20" s="19"/>
      <c r="HRO20" s="16"/>
      <c r="HRP20" s="19"/>
      <c r="HRQ20" s="16"/>
      <c r="HRR20" s="19"/>
      <c r="HRS20" s="16"/>
      <c r="HRT20" s="19"/>
      <c r="HRU20" s="16"/>
      <c r="HRV20" s="19"/>
      <c r="HRW20" s="16"/>
      <c r="HRX20" s="19"/>
      <c r="HRY20" s="16"/>
      <c r="HRZ20" s="19"/>
      <c r="HSA20" s="16"/>
      <c r="HSB20" s="19"/>
      <c r="HSC20" s="16"/>
      <c r="HSD20" s="19"/>
      <c r="HSE20" s="16"/>
      <c r="HSF20" s="19"/>
      <c r="HSG20" s="16"/>
      <c r="HSH20" s="19"/>
      <c r="HSI20" s="16"/>
      <c r="HSJ20" s="19"/>
      <c r="HSK20" s="16"/>
      <c r="HSL20" s="19"/>
      <c r="HSM20" s="16"/>
      <c r="HSN20" s="19"/>
      <c r="HSO20" s="16"/>
      <c r="HSP20" s="19"/>
      <c r="HSQ20" s="16"/>
      <c r="HSR20" s="19"/>
      <c r="HSS20" s="16"/>
      <c r="HST20" s="19"/>
      <c r="HSU20" s="16"/>
      <c r="HSV20" s="19"/>
      <c r="HSW20" s="16"/>
      <c r="HSX20" s="19"/>
      <c r="HSY20" s="16"/>
      <c r="HSZ20" s="19"/>
      <c r="HTA20" s="16"/>
      <c r="HTB20" s="19"/>
      <c r="HTC20" s="16"/>
      <c r="HTD20" s="19"/>
      <c r="HTE20" s="16"/>
      <c r="HTF20" s="19"/>
      <c r="HTG20" s="16"/>
      <c r="HTH20" s="19"/>
      <c r="HTI20" s="16"/>
      <c r="HTJ20" s="19"/>
      <c r="HTK20" s="16"/>
      <c r="HTL20" s="19"/>
      <c r="HTM20" s="16"/>
      <c r="HTN20" s="19"/>
      <c r="HTO20" s="16"/>
      <c r="HTP20" s="19"/>
      <c r="HTQ20" s="16"/>
      <c r="HTR20" s="19"/>
      <c r="HTS20" s="16"/>
      <c r="HTT20" s="19"/>
      <c r="HTU20" s="16"/>
      <c r="HTV20" s="19"/>
      <c r="HTW20" s="16"/>
      <c r="HTX20" s="19"/>
      <c r="HTY20" s="16"/>
      <c r="HTZ20" s="19"/>
      <c r="HUA20" s="16"/>
      <c r="HUB20" s="19"/>
      <c r="HUC20" s="16"/>
      <c r="HUD20" s="19"/>
      <c r="HUE20" s="16"/>
      <c r="HUF20" s="19"/>
      <c r="HUG20" s="16"/>
      <c r="HUH20" s="19"/>
      <c r="HUI20" s="16"/>
      <c r="HUJ20" s="19"/>
      <c r="HUK20" s="16"/>
      <c r="HUL20" s="19"/>
      <c r="HUM20" s="16"/>
      <c r="HUN20" s="19"/>
      <c r="HUO20" s="16"/>
      <c r="HUP20" s="19"/>
      <c r="HUQ20" s="16"/>
      <c r="HUR20" s="19"/>
      <c r="HUS20" s="16"/>
      <c r="HUT20" s="19"/>
      <c r="HUU20" s="16"/>
      <c r="HUV20" s="19"/>
      <c r="HUW20" s="16"/>
      <c r="HUX20" s="19"/>
      <c r="HUY20" s="16"/>
      <c r="HUZ20" s="19"/>
      <c r="HVA20" s="16"/>
      <c r="HVB20" s="19"/>
      <c r="HVC20" s="16"/>
      <c r="HVD20" s="19"/>
      <c r="HVE20" s="16"/>
      <c r="HVF20" s="19"/>
      <c r="HVG20" s="16"/>
      <c r="HVH20" s="19"/>
      <c r="HVI20" s="16"/>
      <c r="HVJ20" s="19"/>
      <c r="HVK20" s="16"/>
      <c r="HVL20" s="19"/>
      <c r="HVM20" s="16"/>
      <c r="HVN20" s="19"/>
      <c r="HVO20" s="16"/>
      <c r="HVP20" s="19"/>
      <c r="HVQ20" s="16"/>
      <c r="HVR20" s="19"/>
      <c r="HVS20" s="16"/>
      <c r="HVT20" s="19"/>
      <c r="HVU20" s="16"/>
      <c r="HVV20" s="19"/>
      <c r="HVW20" s="16"/>
      <c r="HVX20" s="19"/>
      <c r="HVY20" s="16"/>
      <c r="HVZ20" s="19"/>
      <c r="HWA20" s="16"/>
      <c r="HWB20" s="19"/>
      <c r="HWC20" s="16"/>
      <c r="HWD20" s="19"/>
      <c r="HWE20" s="16"/>
      <c r="HWF20" s="19"/>
      <c r="HWG20" s="16"/>
      <c r="HWH20" s="19"/>
      <c r="HWI20" s="16"/>
      <c r="HWJ20" s="19"/>
      <c r="HWK20" s="16"/>
      <c r="HWL20" s="19"/>
      <c r="HWM20" s="16"/>
      <c r="HWN20" s="19"/>
      <c r="HWO20" s="16"/>
      <c r="HWP20" s="19"/>
      <c r="HWQ20" s="16"/>
      <c r="HWR20" s="19"/>
      <c r="HWS20" s="16"/>
      <c r="HWT20" s="19"/>
      <c r="HWU20" s="16"/>
      <c r="HWV20" s="19"/>
      <c r="HWW20" s="16"/>
      <c r="HWX20" s="19"/>
      <c r="HWY20" s="16"/>
      <c r="HWZ20" s="19"/>
      <c r="HXA20" s="16"/>
      <c r="HXB20" s="19"/>
      <c r="HXC20" s="16"/>
      <c r="HXD20" s="19"/>
      <c r="HXE20" s="16"/>
      <c r="HXF20" s="19"/>
      <c r="HXG20" s="16"/>
      <c r="HXH20" s="19"/>
      <c r="HXI20" s="16"/>
      <c r="HXJ20" s="19"/>
      <c r="HXK20" s="16"/>
      <c r="HXL20" s="19"/>
      <c r="HXM20" s="16"/>
      <c r="HXN20" s="19"/>
      <c r="HXO20" s="16"/>
      <c r="HXP20" s="19"/>
      <c r="HXQ20" s="16"/>
      <c r="HXR20" s="19"/>
      <c r="HXS20" s="16"/>
      <c r="HXT20" s="19"/>
      <c r="HXU20" s="16"/>
      <c r="HXV20" s="19"/>
      <c r="HXW20" s="16"/>
      <c r="HXX20" s="19"/>
      <c r="HXY20" s="16"/>
      <c r="HXZ20" s="19"/>
      <c r="HYA20" s="16"/>
      <c r="HYB20" s="19"/>
      <c r="HYC20" s="16"/>
      <c r="HYD20" s="19"/>
      <c r="HYE20" s="16"/>
      <c r="HYF20" s="19"/>
      <c r="HYG20" s="16"/>
      <c r="HYH20" s="19"/>
      <c r="HYI20" s="16"/>
      <c r="HYJ20" s="19"/>
      <c r="HYK20" s="16"/>
      <c r="HYL20" s="19"/>
      <c r="HYM20" s="16"/>
      <c r="HYN20" s="19"/>
      <c r="HYO20" s="16"/>
      <c r="HYP20" s="19"/>
      <c r="HYQ20" s="16"/>
      <c r="HYR20" s="19"/>
      <c r="HYS20" s="16"/>
      <c r="HYT20" s="19"/>
      <c r="HYU20" s="16"/>
      <c r="HYV20" s="19"/>
      <c r="HYW20" s="16"/>
      <c r="HYX20" s="19"/>
      <c r="HYY20" s="16"/>
      <c r="HYZ20" s="19"/>
      <c r="HZA20" s="16"/>
      <c r="HZB20" s="19"/>
      <c r="HZC20" s="16"/>
      <c r="HZD20" s="19"/>
      <c r="HZE20" s="16"/>
      <c r="HZF20" s="19"/>
      <c r="HZG20" s="16"/>
      <c r="HZH20" s="19"/>
      <c r="HZI20" s="16"/>
      <c r="HZJ20" s="19"/>
      <c r="HZK20" s="16"/>
      <c r="HZL20" s="19"/>
      <c r="HZM20" s="16"/>
      <c r="HZN20" s="19"/>
      <c r="HZO20" s="16"/>
      <c r="HZP20" s="19"/>
      <c r="HZQ20" s="16"/>
      <c r="HZR20" s="19"/>
      <c r="HZS20" s="16"/>
      <c r="HZT20" s="19"/>
      <c r="HZU20" s="16"/>
      <c r="HZV20" s="19"/>
      <c r="HZW20" s="16"/>
      <c r="HZX20" s="19"/>
      <c r="HZY20" s="16"/>
      <c r="HZZ20" s="19"/>
      <c r="IAA20" s="16"/>
      <c r="IAB20" s="19"/>
      <c r="IAC20" s="16"/>
      <c r="IAD20" s="19"/>
      <c r="IAE20" s="16"/>
      <c r="IAF20" s="19"/>
      <c r="IAG20" s="16"/>
      <c r="IAH20" s="19"/>
      <c r="IAI20" s="16"/>
      <c r="IAJ20" s="19"/>
      <c r="IAK20" s="16"/>
      <c r="IAL20" s="19"/>
      <c r="IAM20" s="16"/>
      <c r="IAN20" s="19"/>
      <c r="IAO20" s="16"/>
      <c r="IAP20" s="19"/>
      <c r="IAQ20" s="16"/>
      <c r="IAR20" s="19"/>
      <c r="IAS20" s="16"/>
      <c r="IAT20" s="19"/>
      <c r="IAU20" s="16"/>
      <c r="IAV20" s="19"/>
      <c r="IAW20" s="16"/>
      <c r="IAX20" s="19"/>
      <c r="IAY20" s="16"/>
      <c r="IAZ20" s="19"/>
      <c r="IBA20" s="16"/>
      <c r="IBB20" s="19"/>
      <c r="IBC20" s="16"/>
      <c r="IBD20" s="19"/>
      <c r="IBE20" s="16"/>
      <c r="IBF20" s="19"/>
      <c r="IBG20" s="16"/>
      <c r="IBH20" s="19"/>
      <c r="IBI20" s="16"/>
      <c r="IBJ20" s="19"/>
      <c r="IBK20" s="16"/>
      <c r="IBL20" s="19"/>
      <c r="IBM20" s="16"/>
      <c r="IBN20" s="19"/>
      <c r="IBO20" s="16"/>
      <c r="IBP20" s="19"/>
      <c r="IBQ20" s="16"/>
      <c r="IBR20" s="19"/>
      <c r="IBS20" s="16"/>
      <c r="IBT20" s="19"/>
      <c r="IBU20" s="16"/>
      <c r="IBV20" s="19"/>
      <c r="IBW20" s="16"/>
      <c r="IBX20" s="19"/>
      <c r="IBY20" s="16"/>
      <c r="IBZ20" s="19"/>
      <c r="ICA20" s="16"/>
      <c r="ICB20" s="19"/>
      <c r="ICC20" s="16"/>
      <c r="ICD20" s="19"/>
      <c r="ICE20" s="16"/>
      <c r="ICF20" s="19"/>
      <c r="ICG20" s="16"/>
      <c r="ICH20" s="19"/>
      <c r="ICI20" s="16"/>
      <c r="ICJ20" s="19"/>
      <c r="ICK20" s="16"/>
      <c r="ICL20" s="19"/>
      <c r="ICM20" s="16"/>
      <c r="ICN20" s="19"/>
      <c r="ICO20" s="16"/>
      <c r="ICP20" s="19"/>
      <c r="ICQ20" s="16"/>
      <c r="ICR20" s="19"/>
      <c r="ICS20" s="16"/>
      <c r="ICT20" s="19"/>
      <c r="ICU20" s="16"/>
      <c r="ICV20" s="19"/>
      <c r="ICW20" s="16"/>
      <c r="ICX20" s="19"/>
      <c r="ICY20" s="16"/>
      <c r="ICZ20" s="19"/>
      <c r="IDA20" s="16"/>
      <c r="IDB20" s="19"/>
      <c r="IDC20" s="16"/>
      <c r="IDD20" s="19"/>
      <c r="IDE20" s="16"/>
      <c r="IDF20" s="19"/>
      <c r="IDG20" s="16"/>
      <c r="IDH20" s="19"/>
      <c r="IDI20" s="16"/>
      <c r="IDJ20" s="19"/>
      <c r="IDK20" s="16"/>
      <c r="IDL20" s="19"/>
      <c r="IDM20" s="16"/>
      <c r="IDN20" s="19"/>
      <c r="IDO20" s="16"/>
      <c r="IDP20" s="19"/>
      <c r="IDQ20" s="16"/>
      <c r="IDR20" s="19"/>
      <c r="IDS20" s="16"/>
      <c r="IDT20" s="19"/>
      <c r="IDU20" s="16"/>
      <c r="IDV20" s="19"/>
      <c r="IDW20" s="16"/>
      <c r="IDX20" s="19"/>
      <c r="IDY20" s="16"/>
      <c r="IDZ20" s="19"/>
      <c r="IEA20" s="16"/>
      <c r="IEB20" s="19"/>
      <c r="IEC20" s="16"/>
      <c r="IED20" s="19"/>
      <c r="IEE20" s="16"/>
      <c r="IEF20" s="19"/>
      <c r="IEG20" s="16"/>
      <c r="IEH20" s="19"/>
      <c r="IEI20" s="16"/>
      <c r="IEJ20" s="19"/>
      <c r="IEK20" s="16"/>
      <c r="IEL20" s="19"/>
      <c r="IEM20" s="16"/>
      <c r="IEN20" s="19"/>
      <c r="IEO20" s="16"/>
      <c r="IEP20" s="19"/>
      <c r="IEQ20" s="16"/>
      <c r="IER20" s="19"/>
      <c r="IES20" s="16"/>
      <c r="IET20" s="19"/>
      <c r="IEU20" s="16"/>
      <c r="IEV20" s="19"/>
      <c r="IEW20" s="16"/>
      <c r="IEX20" s="19"/>
      <c r="IEY20" s="16"/>
      <c r="IEZ20" s="19"/>
      <c r="IFA20" s="16"/>
      <c r="IFB20" s="19"/>
      <c r="IFC20" s="16"/>
      <c r="IFD20" s="19"/>
      <c r="IFE20" s="16"/>
      <c r="IFF20" s="19"/>
      <c r="IFG20" s="16"/>
      <c r="IFH20" s="19"/>
      <c r="IFI20" s="16"/>
      <c r="IFJ20" s="19"/>
      <c r="IFK20" s="16"/>
      <c r="IFL20" s="19"/>
      <c r="IFM20" s="16"/>
      <c r="IFN20" s="19"/>
      <c r="IFO20" s="16"/>
      <c r="IFP20" s="19"/>
      <c r="IFQ20" s="16"/>
      <c r="IFR20" s="19"/>
      <c r="IFS20" s="16"/>
      <c r="IFT20" s="19"/>
      <c r="IFU20" s="16"/>
      <c r="IFV20" s="19"/>
      <c r="IFW20" s="16"/>
      <c r="IFX20" s="19"/>
      <c r="IFY20" s="16"/>
      <c r="IFZ20" s="19"/>
      <c r="IGA20" s="16"/>
      <c r="IGB20" s="19"/>
      <c r="IGC20" s="16"/>
      <c r="IGD20" s="19"/>
      <c r="IGE20" s="16"/>
      <c r="IGF20" s="19"/>
      <c r="IGG20" s="16"/>
      <c r="IGH20" s="19"/>
      <c r="IGI20" s="16"/>
      <c r="IGJ20" s="19"/>
      <c r="IGK20" s="16"/>
      <c r="IGL20" s="19"/>
      <c r="IGM20" s="16"/>
      <c r="IGN20" s="19"/>
      <c r="IGO20" s="16"/>
      <c r="IGP20" s="19"/>
      <c r="IGQ20" s="16"/>
      <c r="IGR20" s="19"/>
      <c r="IGS20" s="16"/>
      <c r="IGT20" s="19"/>
      <c r="IGU20" s="16"/>
      <c r="IGV20" s="19"/>
      <c r="IGW20" s="16"/>
      <c r="IGX20" s="19"/>
      <c r="IGY20" s="16"/>
      <c r="IGZ20" s="19"/>
      <c r="IHA20" s="16"/>
      <c r="IHB20" s="19"/>
      <c r="IHC20" s="16"/>
      <c r="IHD20" s="19"/>
      <c r="IHE20" s="16"/>
      <c r="IHF20" s="19"/>
      <c r="IHG20" s="16"/>
      <c r="IHH20" s="19"/>
      <c r="IHI20" s="16"/>
      <c r="IHJ20" s="19"/>
      <c r="IHK20" s="16"/>
      <c r="IHL20" s="19"/>
      <c r="IHM20" s="16"/>
      <c r="IHN20" s="19"/>
      <c r="IHO20" s="16"/>
      <c r="IHP20" s="19"/>
      <c r="IHQ20" s="16"/>
      <c r="IHR20" s="19"/>
      <c r="IHS20" s="16"/>
      <c r="IHT20" s="19"/>
      <c r="IHU20" s="16"/>
      <c r="IHV20" s="19"/>
      <c r="IHW20" s="16"/>
      <c r="IHX20" s="19"/>
      <c r="IHY20" s="16"/>
      <c r="IHZ20" s="19"/>
      <c r="IIA20" s="16"/>
      <c r="IIB20" s="19"/>
      <c r="IIC20" s="16"/>
      <c r="IID20" s="19"/>
      <c r="IIE20" s="16"/>
      <c r="IIF20" s="19"/>
      <c r="IIG20" s="16"/>
      <c r="IIH20" s="19"/>
      <c r="III20" s="16"/>
      <c r="IIJ20" s="19"/>
      <c r="IIK20" s="16"/>
      <c r="IIL20" s="19"/>
      <c r="IIM20" s="16"/>
      <c r="IIN20" s="19"/>
      <c r="IIO20" s="16"/>
      <c r="IIP20" s="19"/>
      <c r="IIQ20" s="16"/>
      <c r="IIR20" s="19"/>
      <c r="IIS20" s="16"/>
      <c r="IIT20" s="19"/>
      <c r="IIU20" s="16"/>
      <c r="IIV20" s="19"/>
      <c r="IIW20" s="16"/>
      <c r="IIX20" s="19"/>
      <c r="IIY20" s="16"/>
      <c r="IIZ20" s="19"/>
      <c r="IJA20" s="16"/>
      <c r="IJB20" s="19"/>
      <c r="IJC20" s="16"/>
      <c r="IJD20" s="19"/>
      <c r="IJE20" s="16"/>
      <c r="IJF20" s="19"/>
      <c r="IJG20" s="16"/>
      <c r="IJH20" s="19"/>
      <c r="IJI20" s="16"/>
      <c r="IJJ20" s="19"/>
      <c r="IJK20" s="16"/>
      <c r="IJL20" s="19"/>
      <c r="IJM20" s="16"/>
      <c r="IJN20" s="19"/>
      <c r="IJO20" s="16"/>
      <c r="IJP20" s="19"/>
      <c r="IJQ20" s="16"/>
      <c r="IJR20" s="19"/>
      <c r="IJS20" s="16"/>
      <c r="IJT20" s="19"/>
      <c r="IJU20" s="16"/>
      <c r="IJV20" s="19"/>
      <c r="IJW20" s="16"/>
      <c r="IJX20" s="19"/>
      <c r="IJY20" s="16"/>
      <c r="IJZ20" s="19"/>
      <c r="IKA20" s="16"/>
      <c r="IKB20" s="19"/>
      <c r="IKC20" s="16"/>
      <c r="IKD20" s="19"/>
      <c r="IKE20" s="16"/>
      <c r="IKF20" s="19"/>
      <c r="IKG20" s="16"/>
      <c r="IKH20" s="19"/>
      <c r="IKI20" s="16"/>
      <c r="IKJ20" s="19"/>
      <c r="IKK20" s="16"/>
      <c r="IKL20" s="19"/>
      <c r="IKM20" s="16"/>
      <c r="IKN20" s="19"/>
      <c r="IKO20" s="16"/>
      <c r="IKP20" s="19"/>
      <c r="IKQ20" s="16"/>
      <c r="IKR20" s="19"/>
      <c r="IKS20" s="16"/>
      <c r="IKT20" s="19"/>
      <c r="IKU20" s="16"/>
      <c r="IKV20" s="19"/>
      <c r="IKW20" s="16"/>
      <c r="IKX20" s="19"/>
      <c r="IKY20" s="16"/>
      <c r="IKZ20" s="19"/>
      <c r="ILA20" s="16"/>
      <c r="ILB20" s="19"/>
      <c r="ILC20" s="16"/>
      <c r="ILD20" s="19"/>
      <c r="ILE20" s="16"/>
      <c r="ILF20" s="19"/>
      <c r="ILG20" s="16"/>
      <c r="ILH20" s="19"/>
      <c r="ILI20" s="16"/>
      <c r="ILJ20" s="19"/>
      <c r="ILK20" s="16"/>
      <c r="ILL20" s="19"/>
      <c r="ILM20" s="16"/>
      <c r="ILN20" s="19"/>
      <c r="ILO20" s="16"/>
      <c r="ILP20" s="19"/>
      <c r="ILQ20" s="16"/>
      <c r="ILR20" s="19"/>
      <c r="ILS20" s="16"/>
      <c r="ILT20" s="19"/>
      <c r="ILU20" s="16"/>
      <c r="ILV20" s="19"/>
      <c r="ILW20" s="16"/>
      <c r="ILX20" s="19"/>
      <c r="ILY20" s="16"/>
      <c r="ILZ20" s="19"/>
      <c r="IMA20" s="16"/>
      <c r="IMB20" s="19"/>
      <c r="IMC20" s="16"/>
      <c r="IMD20" s="19"/>
      <c r="IME20" s="16"/>
      <c r="IMF20" s="19"/>
      <c r="IMG20" s="16"/>
      <c r="IMH20" s="19"/>
      <c r="IMI20" s="16"/>
      <c r="IMJ20" s="19"/>
      <c r="IMK20" s="16"/>
      <c r="IML20" s="19"/>
      <c r="IMM20" s="16"/>
      <c r="IMN20" s="19"/>
      <c r="IMO20" s="16"/>
      <c r="IMP20" s="19"/>
      <c r="IMQ20" s="16"/>
      <c r="IMR20" s="19"/>
      <c r="IMS20" s="16"/>
      <c r="IMT20" s="19"/>
      <c r="IMU20" s="16"/>
      <c r="IMV20" s="19"/>
      <c r="IMW20" s="16"/>
      <c r="IMX20" s="19"/>
      <c r="IMY20" s="16"/>
      <c r="IMZ20" s="19"/>
      <c r="INA20" s="16"/>
      <c r="INB20" s="19"/>
      <c r="INC20" s="16"/>
      <c r="IND20" s="19"/>
      <c r="INE20" s="16"/>
      <c r="INF20" s="19"/>
      <c r="ING20" s="16"/>
      <c r="INH20" s="19"/>
      <c r="INI20" s="16"/>
      <c r="INJ20" s="19"/>
      <c r="INK20" s="16"/>
      <c r="INL20" s="19"/>
      <c r="INM20" s="16"/>
      <c r="INN20" s="19"/>
      <c r="INO20" s="16"/>
      <c r="INP20" s="19"/>
      <c r="INQ20" s="16"/>
      <c r="INR20" s="19"/>
      <c r="INS20" s="16"/>
      <c r="INT20" s="19"/>
      <c r="INU20" s="16"/>
      <c r="INV20" s="19"/>
      <c r="INW20" s="16"/>
      <c r="INX20" s="19"/>
      <c r="INY20" s="16"/>
      <c r="INZ20" s="19"/>
      <c r="IOA20" s="16"/>
      <c r="IOB20" s="19"/>
      <c r="IOC20" s="16"/>
      <c r="IOD20" s="19"/>
      <c r="IOE20" s="16"/>
      <c r="IOF20" s="19"/>
      <c r="IOG20" s="16"/>
      <c r="IOH20" s="19"/>
      <c r="IOI20" s="16"/>
      <c r="IOJ20" s="19"/>
      <c r="IOK20" s="16"/>
      <c r="IOL20" s="19"/>
      <c r="IOM20" s="16"/>
      <c r="ION20" s="19"/>
      <c r="IOO20" s="16"/>
      <c r="IOP20" s="19"/>
      <c r="IOQ20" s="16"/>
      <c r="IOR20" s="19"/>
      <c r="IOS20" s="16"/>
      <c r="IOT20" s="19"/>
      <c r="IOU20" s="16"/>
      <c r="IOV20" s="19"/>
      <c r="IOW20" s="16"/>
      <c r="IOX20" s="19"/>
      <c r="IOY20" s="16"/>
      <c r="IOZ20" s="19"/>
      <c r="IPA20" s="16"/>
      <c r="IPB20" s="19"/>
      <c r="IPC20" s="16"/>
      <c r="IPD20" s="19"/>
      <c r="IPE20" s="16"/>
      <c r="IPF20" s="19"/>
      <c r="IPG20" s="16"/>
      <c r="IPH20" s="19"/>
      <c r="IPI20" s="16"/>
      <c r="IPJ20" s="19"/>
      <c r="IPK20" s="16"/>
      <c r="IPL20" s="19"/>
      <c r="IPM20" s="16"/>
      <c r="IPN20" s="19"/>
      <c r="IPO20" s="16"/>
      <c r="IPP20" s="19"/>
      <c r="IPQ20" s="16"/>
      <c r="IPR20" s="19"/>
      <c r="IPS20" s="16"/>
      <c r="IPT20" s="19"/>
      <c r="IPU20" s="16"/>
      <c r="IPV20" s="19"/>
      <c r="IPW20" s="16"/>
      <c r="IPX20" s="19"/>
      <c r="IPY20" s="16"/>
      <c r="IPZ20" s="19"/>
      <c r="IQA20" s="16"/>
      <c r="IQB20" s="19"/>
      <c r="IQC20" s="16"/>
      <c r="IQD20" s="19"/>
      <c r="IQE20" s="16"/>
      <c r="IQF20" s="19"/>
      <c r="IQG20" s="16"/>
      <c r="IQH20" s="19"/>
      <c r="IQI20" s="16"/>
      <c r="IQJ20" s="19"/>
      <c r="IQK20" s="16"/>
      <c r="IQL20" s="19"/>
      <c r="IQM20" s="16"/>
      <c r="IQN20" s="19"/>
      <c r="IQO20" s="16"/>
      <c r="IQP20" s="19"/>
      <c r="IQQ20" s="16"/>
      <c r="IQR20" s="19"/>
      <c r="IQS20" s="16"/>
      <c r="IQT20" s="19"/>
      <c r="IQU20" s="16"/>
      <c r="IQV20" s="19"/>
      <c r="IQW20" s="16"/>
      <c r="IQX20" s="19"/>
      <c r="IQY20" s="16"/>
      <c r="IQZ20" s="19"/>
      <c r="IRA20" s="16"/>
      <c r="IRB20" s="19"/>
      <c r="IRC20" s="16"/>
      <c r="IRD20" s="19"/>
      <c r="IRE20" s="16"/>
      <c r="IRF20" s="19"/>
      <c r="IRG20" s="16"/>
      <c r="IRH20" s="19"/>
      <c r="IRI20" s="16"/>
      <c r="IRJ20" s="19"/>
      <c r="IRK20" s="16"/>
      <c r="IRL20" s="19"/>
      <c r="IRM20" s="16"/>
      <c r="IRN20" s="19"/>
      <c r="IRO20" s="16"/>
      <c r="IRP20" s="19"/>
      <c r="IRQ20" s="16"/>
      <c r="IRR20" s="19"/>
      <c r="IRS20" s="16"/>
      <c r="IRT20" s="19"/>
      <c r="IRU20" s="16"/>
      <c r="IRV20" s="19"/>
      <c r="IRW20" s="16"/>
      <c r="IRX20" s="19"/>
      <c r="IRY20" s="16"/>
      <c r="IRZ20" s="19"/>
      <c r="ISA20" s="16"/>
      <c r="ISB20" s="19"/>
      <c r="ISC20" s="16"/>
      <c r="ISD20" s="19"/>
      <c r="ISE20" s="16"/>
      <c r="ISF20" s="19"/>
      <c r="ISG20" s="16"/>
      <c r="ISH20" s="19"/>
      <c r="ISI20" s="16"/>
      <c r="ISJ20" s="19"/>
      <c r="ISK20" s="16"/>
      <c r="ISL20" s="19"/>
      <c r="ISM20" s="16"/>
      <c r="ISN20" s="19"/>
      <c r="ISO20" s="16"/>
      <c r="ISP20" s="19"/>
      <c r="ISQ20" s="16"/>
      <c r="ISR20" s="19"/>
      <c r="ISS20" s="16"/>
      <c r="IST20" s="19"/>
      <c r="ISU20" s="16"/>
      <c r="ISV20" s="19"/>
      <c r="ISW20" s="16"/>
      <c r="ISX20" s="19"/>
      <c r="ISY20" s="16"/>
      <c r="ISZ20" s="19"/>
      <c r="ITA20" s="16"/>
      <c r="ITB20" s="19"/>
      <c r="ITC20" s="16"/>
      <c r="ITD20" s="19"/>
      <c r="ITE20" s="16"/>
      <c r="ITF20" s="19"/>
      <c r="ITG20" s="16"/>
      <c r="ITH20" s="19"/>
      <c r="ITI20" s="16"/>
      <c r="ITJ20" s="19"/>
      <c r="ITK20" s="16"/>
      <c r="ITL20" s="19"/>
      <c r="ITM20" s="16"/>
      <c r="ITN20" s="19"/>
      <c r="ITO20" s="16"/>
      <c r="ITP20" s="19"/>
      <c r="ITQ20" s="16"/>
      <c r="ITR20" s="19"/>
      <c r="ITS20" s="16"/>
      <c r="ITT20" s="19"/>
      <c r="ITU20" s="16"/>
      <c r="ITV20" s="19"/>
      <c r="ITW20" s="16"/>
      <c r="ITX20" s="19"/>
      <c r="ITY20" s="16"/>
      <c r="ITZ20" s="19"/>
      <c r="IUA20" s="16"/>
      <c r="IUB20" s="19"/>
      <c r="IUC20" s="16"/>
      <c r="IUD20" s="19"/>
      <c r="IUE20" s="16"/>
      <c r="IUF20" s="19"/>
      <c r="IUG20" s="16"/>
      <c r="IUH20" s="19"/>
      <c r="IUI20" s="16"/>
      <c r="IUJ20" s="19"/>
      <c r="IUK20" s="16"/>
      <c r="IUL20" s="19"/>
      <c r="IUM20" s="16"/>
      <c r="IUN20" s="19"/>
      <c r="IUO20" s="16"/>
      <c r="IUP20" s="19"/>
      <c r="IUQ20" s="16"/>
      <c r="IUR20" s="19"/>
      <c r="IUS20" s="16"/>
      <c r="IUT20" s="19"/>
      <c r="IUU20" s="16"/>
      <c r="IUV20" s="19"/>
      <c r="IUW20" s="16"/>
      <c r="IUX20" s="19"/>
      <c r="IUY20" s="16"/>
      <c r="IUZ20" s="19"/>
      <c r="IVA20" s="16"/>
      <c r="IVB20" s="19"/>
      <c r="IVC20" s="16"/>
      <c r="IVD20" s="19"/>
      <c r="IVE20" s="16"/>
      <c r="IVF20" s="19"/>
      <c r="IVG20" s="16"/>
      <c r="IVH20" s="19"/>
      <c r="IVI20" s="16"/>
      <c r="IVJ20" s="19"/>
      <c r="IVK20" s="16"/>
      <c r="IVL20" s="19"/>
      <c r="IVM20" s="16"/>
      <c r="IVN20" s="19"/>
      <c r="IVO20" s="16"/>
      <c r="IVP20" s="19"/>
      <c r="IVQ20" s="16"/>
      <c r="IVR20" s="19"/>
      <c r="IVS20" s="16"/>
      <c r="IVT20" s="19"/>
      <c r="IVU20" s="16"/>
      <c r="IVV20" s="19"/>
      <c r="IVW20" s="16"/>
      <c r="IVX20" s="19"/>
      <c r="IVY20" s="16"/>
      <c r="IVZ20" s="19"/>
      <c r="IWA20" s="16"/>
      <c r="IWB20" s="19"/>
      <c r="IWC20" s="16"/>
      <c r="IWD20" s="19"/>
      <c r="IWE20" s="16"/>
      <c r="IWF20" s="19"/>
      <c r="IWG20" s="16"/>
      <c r="IWH20" s="19"/>
      <c r="IWI20" s="16"/>
      <c r="IWJ20" s="19"/>
      <c r="IWK20" s="16"/>
      <c r="IWL20" s="19"/>
      <c r="IWM20" s="16"/>
      <c r="IWN20" s="19"/>
      <c r="IWO20" s="16"/>
      <c r="IWP20" s="19"/>
      <c r="IWQ20" s="16"/>
      <c r="IWR20" s="19"/>
      <c r="IWS20" s="16"/>
      <c r="IWT20" s="19"/>
      <c r="IWU20" s="16"/>
      <c r="IWV20" s="19"/>
      <c r="IWW20" s="16"/>
      <c r="IWX20" s="19"/>
      <c r="IWY20" s="16"/>
      <c r="IWZ20" s="19"/>
      <c r="IXA20" s="16"/>
      <c r="IXB20" s="19"/>
      <c r="IXC20" s="16"/>
      <c r="IXD20" s="19"/>
      <c r="IXE20" s="16"/>
      <c r="IXF20" s="19"/>
      <c r="IXG20" s="16"/>
      <c r="IXH20" s="19"/>
      <c r="IXI20" s="16"/>
      <c r="IXJ20" s="19"/>
      <c r="IXK20" s="16"/>
      <c r="IXL20" s="19"/>
      <c r="IXM20" s="16"/>
      <c r="IXN20" s="19"/>
      <c r="IXO20" s="16"/>
      <c r="IXP20" s="19"/>
      <c r="IXQ20" s="16"/>
      <c r="IXR20" s="19"/>
      <c r="IXS20" s="16"/>
      <c r="IXT20" s="19"/>
      <c r="IXU20" s="16"/>
      <c r="IXV20" s="19"/>
      <c r="IXW20" s="16"/>
      <c r="IXX20" s="19"/>
      <c r="IXY20" s="16"/>
      <c r="IXZ20" s="19"/>
      <c r="IYA20" s="16"/>
      <c r="IYB20" s="19"/>
      <c r="IYC20" s="16"/>
      <c r="IYD20" s="19"/>
      <c r="IYE20" s="16"/>
      <c r="IYF20" s="19"/>
      <c r="IYG20" s="16"/>
      <c r="IYH20" s="19"/>
      <c r="IYI20" s="16"/>
      <c r="IYJ20" s="19"/>
      <c r="IYK20" s="16"/>
      <c r="IYL20" s="19"/>
      <c r="IYM20" s="16"/>
      <c r="IYN20" s="19"/>
      <c r="IYO20" s="16"/>
      <c r="IYP20" s="19"/>
      <c r="IYQ20" s="16"/>
      <c r="IYR20" s="19"/>
      <c r="IYS20" s="16"/>
      <c r="IYT20" s="19"/>
      <c r="IYU20" s="16"/>
      <c r="IYV20" s="19"/>
      <c r="IYW20" s="16"/>
      <c r="IYX20" s="19"/>
      <c r="IYY20" s="16"/>
      <c r="IYZ20" s="19"/>
      <c r="IZA20" s="16"/>
      <c r="IZB20" s="19"/>
      <c r="IZC20" s="16"/>
      <c r="IZD20" s="19"/>
      <c r="IZE20" s="16"/>
      <c r="IZF20" s="19"/>
      <c r="IZG20" s="16"/>
      <c r="IZH20" s="19"/>
      <c r="IZI20" s="16"/>
      <c r="IZJ20" s="19"/>
      <c r="IZK20" s="16"/>
      <c r="IZL20" s="19"/>
      <c r="IZM20" s="16"/>
      <c r="IZN20" s="19"/>
      <c r="IZO20" s="16"/>
      <c r="IZP20" s="19"/>
      <c r="IZQ20" s="16"/>
      <c r="IZR20" s="19"/>
      <c r="IZS20" s="16"/>
      <c r="IZT20" s="19"/>
      <c r="IZU20" s="16"/>
      <c r="IZV20" s="19"/>
      <c r="IZW20" s="16"/>
      <c r="IZX20" s="19"/>
      <c r="IZY20" s="16"/>
      <c r="IZZ20" s="19"/>
      <c r="JAA20" s="16"/>
      <c r="JAB20" s="19"/>
      <c r="JAC20" s="16"/>
      <c r="JAD20" s="19"/>
      <c r="JAE20" s="16"/>
      <c r="JAF20" s="19"/>
      <c r="JAG20" s="16"/>
      <c r="JAH20" s="19"/>
      <c r="JAI20" s="16"/>
      <c r="JAJ20" s="19"/>
      <c r="JAK20" s="16"/>
      <c r="JAL20" s="19"/>
      <c r="JAM20" s="16"/>
      <c r="JAN20" s="19"/>
      <c r="JAO20" s="16"/>
      <c r="JAP20" s="19"/>
      <c r="JAQ20" s="16"/>
      <c r="JAR20" s="19"/>
      <c r="JAS20" s="16"/>
      <c r="JAT20" s="19"/>
      <c r="JAU20" s="16"/>
      <c r="JAV20" s="19"/>
      <c r="JAW20" s="16"/>
      <c r="JAX20" s="19"/>
      <c r="JAY20" s="16"/>
      <c r="JAZ20" s="19"/>
      <c r="JBA20" s="16"/>
      <c r="JBB20" s="19"/>
      <c r="JBC20" s="16"/>
      <c r="JBD20" s="19"/>
      <c r="JBE20" s="16"/>
      <c r="JBF20" s="19"/>
      <c r="JBG20" s="16"/>
      <c r="JBH20" s="19"/>
      <c r="JBI20" s="16"/>
      <c r="JBJ20" s="19"/>
      <c r="JBK20" s="16"/>
      <c r="JBL20" s="19"/>
      <c r="JBM20" s="16"/>
      <c r="JBN20" s="19"/>
      <c r="JBO20" s="16"/>
      <c r="JBP20" s="19"/>
      <c r="JBQ20" s="16"/>
      <c r="JBR20" s="19"/>
      <c r="JBS20" s="16"/>
      <c r="JBT20" s="19"/>
      <c r="JBU20" s="16"/>
      <c r="JBV20" s="19"/>
      <c r="JBW20" s="16"/>
      <c r="JBX20" s="19"/>
      <c r="JBY20" s="16"/>
      <c r="JBZ20" s="19"/>
      <c r="JCA20" s="16"/>
      <c r="JCB20" s="19"/>
      <c r="JCC20" s="16"/>
      <c r="JCD20" s="19"/>
      <c r="JCE20" s="16"/>
      <c r="JCF20" s="19"/>
      <c r="JCG20" s="16"/>
      <c r="JCH20" s="19"/>
      <c r="JCI20" s="16"/>
      <c r="JCJ20" s="19"/>
      <c r="JCK20" s="16"/>
      <c r="JCL20" s="19"/>
      <c r="JCM20" s="16"/>
      <c r="JCN20" s="19"/>
      <c r="JCO20" s="16"/>
      <c r="JCP20" s="19"/>
      <c r="JCQ20" s="16"/>
      <c r="JCR20" s="19"/>
      <c r="JCS20" s="16"/>
      <c r="JCT20" s="19"/>
      <c r="JCU20" s="16"/>
      <c r="JCV20" s="19"/>
      <c r="JCW20" s="16"/>
      <c r="JCX20" s="19"/>
      <c r="JCY20" s="16"/>
      <c r="JCZ20" s="19"/>
      <c r="JDA20" s="16"/>
      <c r="JDB20" s="19"/>
      <c r="JDC20" s="16"/>
      <c r="JDD20" s="19"/>
      <c r="JDE20" s="16"/>
      <c r="JDF20" s="19"/>
      <c r="JDG20" s="16"/>
      <c r="JDH20" s="19"/>
      <c r="JDI20" s="16"/>
      <c r="JDJ20" s="19"/>
      <c r="JDK20" s="16"/>
      <c r="JDL20" s="19"/>
      <c r="JDM20" s="16"/>
      <c r="JDN20" s="19"/>
      <c r="JDO20" s="16"/>
      <c r="JDP20" s="19"/>
      <c r="JDQ20" s="16"/>
      <c r="JDR20" s="19"/>
      <c r="JDS20" s="16"/>
      <c r="JDT20" s="19"/>
      <c r="JDU20" s="16"/>
      <c r="JDV20" s="19"/>
      <c r="JDW20" s="16"/>
      <c r="JDX20" s="19"/>
      <c r="JDY20" s="16"/>
      <c r="JDZ20" s="19"/>
      <c r="JEA20" s="16"/>
      <c r="JEB20" s="19"/>
      <c r="JEC20" s="16"/>
      <c r="JED20" s="19"/>
      <c r="JEE20" s="16"/>
      <c r="JEF20" s="19"/>
      <c r="JEG20" s="16"/>
      <c r="JEH20" s="19"/>
      <c r="JEI20" s="16"/>
      <c r="JEJ20" s="19"/>
      <c r="JEK20" s="16"/>
      <c r="JEL20" s="19"/>
      <c r="JEM20" s="16"/>
      <c r="JEN20" s="19"/>
      <c r="JEO20" s="16"/>
      <c r="JEP20" s="19"/>
      <c r="JEQ20" s="16"/>
      <c r="JER20" s="19"/>
      <c r="JES20" s="16"/>
      <c r="JET20" s="19"/>
      <c r="JEU20" s="16"/>
      <c r="JEV20" s="19"/>
      <c r="JEW20" s="16"/>
      <c r="JEX20" s="19"/>
      <c r="JEY20" s="16"/>
      <c r="JEZ20" s="19"/>
      <c r="JFA20" s="16"/>
      <c r="JFB20" s="19"/>
      <c r="JFC20" s="16"/>
      <c r="JFD20" s="19"/>
      <c r="JFE20" s="16"/>
      <c r="JFF20" s="19"/>
      <c r="JFG20" s="16"/>
      <c r="JFH20" s="19"/>
      <c r="JFI20" s="16"/>
      <c r="JFJ20" s="19"/>
      <c r="JFK20" s="16"/>
      <c r="JFL20" s="19"/>
      <c r="JFM20" s="16"/>
      <c r="JFN20" s="19"/>
      <c r="JFO20" s="16"/>
      <c r="JFP20" s="19"/>
      <c r="JFQ20" s="16"/>
      <c r="JFR20" s="19"/>
      <c r="JFS20" s="16"/>
      <c r="JFT20" s="19"/>
      <c r="JFU20" s="16"/>
      <c r="JFV20" s="19"/>
      <c r="JFW20" s="16"/>
      <c r="JFX20" s="19"/>
      <c r="JFY20" s="16"/>
      <c r="JFZ20" s="19"/>
      <c r="JGA20" s="16"/>
      <c r="JGB20" s="19"/>
      <c r="JGC20" s="16"/>
      <c r="JGD20" s="19"/>
      <c r="JGE20" s="16"/>
      <c r="JGF20" s="19"/>
      <c r="JGG20" s="16"/>
      <c r="JGH20" s="19"/>
      <c r="JGI20" s="16"/>
      <c r="JGJ20" s="19"/>
      <c r="JGK20" s="16"/>
      <c r="JGL20" s="19"/>
      <c r="JGM20" s="16"/>
      <c r="JGN20" s="19"/>
      <c r="JGO20" s="16"/>
      <c r="JGP20" s="19"/>
      <c r="JGQ20" s="16"/>
      <c r="JGR20" s="19"/>
      <c r="JGS20" s="16"/>
      <c r="JGT20" s="19"/>
      <c r="JGU20" s="16"/>
      <c r="JGV20" s="19"/>
      <c r="JGW20" s="16"/>
      <c r="JGX20" s="19"/>
      <c r="JGY20" s="16"/>
      <c r="JGZ20" s="19"/>
      <c r="JHA20" s="16"/>
      <c r="JHB20" s="19"/>
      <c r="JHC20" s="16"/>
      <c r="JHD20" s="19"/>
      <c r="JHE20" s="16"/>
      <c r="JHF20" s="19"/>
      <c r="JHG20" s="16"/>
      <c r="JHH20" s="19"/>
      <c r="JHI20" s="16"/>
      <c r="JHJ20" s="19"/>
      <c r="JHK20" s="16"/>
      <c r="JHL20" s="19"/>
      <c r="JHM20" s="16"/>
      <c r="JHN20" s="19"/>
      <c r="JHO20" s="16"/>
      <c r="JHP20" s="19"/>
      <c r="JHQ20" s="16"/>
      <c r="JHR20" s="19"/>
      <c r="JHS20" s="16"/>
      <c r="JHT20" s="19"/>
      <c r="JHU20" s="16"/>
      <c r="JHV20" s="19"/>
      <c r="JHW20" s="16"/>
      <c r="JHX20" s="19"/>
      <c r="JHY20" s="16"/>
      <c r="JHZ20" s="19"/>
      <c r="JIA20" s="16"/>
      <c r="JIB20" s="19"/>
      <c r="JIC20" s="16"/>
      <c r="JID20" s="19"/>
      <c r="JIE20" s="16"/>
      <c r="JIF20" s="19"/>
      <c r="JIG20" s="16"/>
      <c r="JIH20" s="19"/>
      <c r="JII20" s="16"/>
      <c r="JIJ20" s="19"/>
      <c r="JIK20" s="16"/>
      <c r="JIL20" s="19"/>
      <c r="JIM20" s="16"/>
      <c r="JIN20" s="19"/>
      <c r="JIO20" s="16"/>
      <c r="JIP20" s="19"/>
      <c r="JIQ20" s="16"/>
      <c r="JIR20" s="19"/>
      <c r="JIS20" s="16"/>
      <c r="JIT20" s="19"/>
      <c r="JIU20" s="16"/>
      <c r="JIV20" s="19"/>
      <c r="JIW20" s="16"/>
      <c r="JIX20" s="19"/>
      <c r="JIY20" s="16"/>
      <c r="JIZ20" s="19"/>
      <c r="JJA20" s="16"/>
      <c r="JJB20" s="19"/>
      <c r="JJC20" s="16"/>
      <c r="JJD20" s="19"/>
      <c r="JJE20" s="16"/>
      <c r="JJF20" s="19"/>
      <c r="JJG20" s="16"/>
      <c r="JJH20" s="19"/>
      <c r="JJI20" s="16"/>
      <c r="JJJ20" s="19"/>
      <c r="JJK20" s="16"/>
      <c r="JJL20" s="19"/>
      <c r="JJM20" s="16"/>
      <c r="JJN20" s="19"/>
      <c r="JJO20" s="16"/>
      <c r="JJP20" s="19"/>
      <c r="JJQ20" s="16"/>
      <c r="JJR20" s="19"/>
      <c r="JJS20" s="16"/>
      <c r="JJT20" s="19"/>
      <c r="JJU20" s="16"/>
      <c r="JJV20" s="19"/>
      <c r="JJW20" s="16"/>
      <c r="JJX20" s="19"/>
      <c r="JJY20" s="16"/>
      <c r="JJZ20" s="19"/>
      <c r="JKA20" s="16"/>
      <c r="JKB20" s="19"/>
      <c r="JKC20" s="16"/>
      <c r="JKD20" s="19"/>
      <c r="JKE20" s="16"/>
      <c r="JKF20" s="19"/>
      <c r="JKG20" s="16"/>
      <c r="JKH20" s="19"/>
      <c r="JKI20" s="16"/>
      <c r="JKJ20" s="19"/>
      <c r="JKK20" s="16"/>
      <c r="JKL20" s="19"/>
      <c r="JKM20" s="16"/>
      <c r="JKN20" s="19"/>
      <c r="JKO20" s="16"/>
      <c r="JKP20" s="19"/>
      <c r="JKQ20" s="16"/>
      <c r="JKR20" s="19"/>
      <c r="JKS20" s="16"/>
      <c r="JKT20" s="19"/>
      <c r="JKU20" s="16"/>
      <c r="JKV20" s="19"/>
      <c r="JKW20" s="16"/>
      <c r="JKX20" s="19"/>
      <c r="JKY20" s="16"/>
      <c r="JKZ20" s="19"/>
      <c r="JLA20" s="16"/>
      <c r="JLB20" s="19"/>
      <c r="JLC20" s="16"/>
      <c r="JLD20" s="19"/>
      <c r="JLE20" s="16"/>
      <c r="JLF20" s="19"/>
      <c r="JLG20" s="16"/>
      <c r="JLH20" s="19"/>
      <c r="JLI20" s="16"/>
      <c r="JLJ20" s="19"/>
      <c r="JLK20" s="16"/>
      <c r="JLL20" s="19"/>
      <c r="JLM20" s="16"/>
      <c r="JLN20" s="19"/>
      <c r="JLO20" s="16"/>
      <c r="JLP20" s="19"/>
      <c r="JLQ20" s="16"/>
      <c r="JLR20" s="19"/>
      <c r="JLS20" s="16"/>
      <c r="JLT20" s="19"/>
      <c r="JLU20" s="16"/>
      <c r="JLV20" s="19"/>
      <c r="JLW20" s="16"/>
      <c r="JLX20" s="19"/>
      <c r="JLY20" s="16"/>
      <c r="JLZ20" s="19"/>
      <c r="JMA20" s="16"/>
      <c r="JMB20" s="19"/>
      <c r="JMC20" s="16"/>
      <c r="JMD20" s="19"/>
      <c r="JME20" s="16"/>
      <c r="JMF20" s="19"/>
      <c r="JMG20" s="16"/>
      <c r="JMH20" s="19"/>
      <c r="JMI20" s="16"/>
      <c r="JMJ20" s="19"/>
      <c r="JMK20" s="16"/>
      <c r="JML20" s="19"/>
      <c r="JMM20" s="16"/>
      <c r="JMN20" s="19"/>
      <c r="JMO20" s="16"/>
      <c r="JMP20" s="19"/>
      <c r="JMQ20" s="16"/>
      <c r="JMR20" s="19"/>
      <c r="JMS20" s="16"/>
      <c r="JMT20" s="19"/>
      <c r="JMU20" s="16"/>
      <c r="JMV20" s="19"/>
      <c r="JMW20" s="16"/>
      <c r="JMX20" s="19"/>
      <c r="JMY20" s="16"/>
      <c r="JMZ20" s="19"/>
      <c r="JNA20" s="16"/>
      <c r="JNB20" s="19"/>
      <c r="JNC20" s="16"/>
      <c r="JND20" s="19"/>
      <c r="JNE20" s="16"/>
      <c r="JNF20" s="19"/>
      <c r="JNG20" s="16"/>
      <c r="JNH20" s="19"/>
      <c r="JNI20" s="16"/>
      <c r="JNJ20" s="19"/>
      <c r="JNK20" s="16"/>
      <c r="JNL20" s="19"/>
      <c r="JNM20" s="16"/>
      <c r="JNN20" s="19"/>
      <c r="JNO20" s="16"/>
      <c r="JNP20" s="19"/>
      <c r="JNQ20" s="16"/>
      <c r="JNR20" s="19"/>
      <c r="JNS20" s="16"/>
      <c r="JNT20" s="19"/>
      <c r="JNU20" s="16"/>
      <c r="JNV20" s="19"/>
      <c r="JNW20" s="16"/>
      <c r="JNX20" s="19"/>
      <c r="JNY20" s="16"/>
      <c r="JNZ20" s="19"/>
      <c r="JOA20" s="16"/>
      <c r="JOB20" s="19"/>
      <c r="JOC20" s="16"/>
      <c r="JOD20" s="19"/>
      <c r="JOE20" s="16"/>
      <c r="JOF20" s="19"/>
      <c r="JOG20" s="16"/>
      <c r="JOH20" s="19"/>
      <c r="JOI20" s="16"/>
      <c r="JOJ20" s="19"/>
      <c r="JOK20" s="16"/>
      <c r="JOL20" s="19"/>
      <c r="JOM20" s="16"/>
      <c r="JON20" s="19"/>
      <c r="JOO20" s="16"/>
      <c r="JOP20" s="19"/>
      <c r="JOQ20" s="16"/>
      <c r="JOR20" s="19"/>
      <c r="JOS20" s="16"/>
      <c r="JOT20" s="19"/>
      <c r="JOU20" s="16"/>
      <c r="JOV20" s="19"/>
      <c r="JOW20" s="16"/>
      <c r="JOX20" s="19"/>
      <c r="JOY20" s="16"/>
      <c r="JOZ20" s="19"/>
      <c r="JPA20" s="16"/>
      <c r="JPB20" s="19"/>
      <c r="JPC20" s="16"/>
      <c r="JPD20" s="19"/>
      <c r="JPE20" s="16"/>
      <c r="JPF20" s="19"/>
      <c r="JPG20" s="16"/>
      <c r="JPH20" s="19"/>
      <c r="JPI20" s="16"/>
      <c r="JPJ20" s="19"/>
      <c r="JPK20" s="16"/>
      <c r="JPL20" s="19"/>
      <c r="JPM20" s="16"/>
      <c r="JPN20" s="19"/>
      <c r="JPO20" s="16"/>
      <c r="JPP20" s="19"/>
      <c r="JPQ20" s="16"/>
      <c r="JPR20" s="19"/>
      <c r="JPS20" s="16"/>
      <c r="JPT20" s="19"/>
      <c r="JPU20" s="16"/>
      <c r="JPV20" s="19"/>
      <c r="JPW20" s="16"/>
      <c r="JPX20" s="19"/>
      <c r="JPY20" s="16"/>
      <c r="JPZ20" s="19"/>
      <c r="JQA20" s="16"/>
      <c r="JQB20" s="19"/>
      <c r="JQC20" s="16"/>
      <c r="JQD20" s="19"/>
      <c r="JQE20" s="16"/>
      <c r="JQF20" s="19"/>
      <c r="JQG20" s="16"/>
      <c r="JQH20" s="19"/>
      <c r="JQI20" s="16"/>
      <c r="JQJ20" s="19"/>
      <c r="JQK20" s="16"/>
      <c r="JQL20" s="19"/>
      <c r="JQM20" s="16"/>
      <c r="JQN20" s="19"/>
      <c r="JQO20" s="16"/>
      <c r="JQP20" s="19"/>
      <c r="JQQ20" s="16"/>
      <c r="JQR20" s="19"/>
      <c r="JQS20" s="16"/>
      <c r="JQT20" s="19"/>
      <c r="JQU20" s="16"/>
      <c r="JQV20" s="19"/>
      <c r="JQW20" s="16"/>
      <c r="JQX20" s="19"/>
      <c r="JQY20" s="16"/>
      <c r="JQZ20" s="19"/>
      <c r="JRA20" s="16"/>
      <c r="JRB20" s="19"/>
      <c r="JRC20" s="16"/>
      <c r="JRD20" s="19"/>
      <c r="JRE20" s="16"/>
      <c r="JRF20" s="19"/>
      <c r="JRG20" s="16"/>
      <c r="JRH20" s="19"/>
      <c r="JRI20" s="16"/>
      <c r="JRJ20" s="19"/>
      <c r="JRK20" s="16"/>
      <c r="JRL20" s="19"/>
      <c r="JRM20" s="16"/>
      <c r="JRN20" s="19"/>
      <c r="JRO20" s="16"/>
      <c r="JRP20" s="19"/>
      <c r="JRQ20" s="16"/>
      <c r="JRR20" s="19"/>
      <c r="JRS20" s="16"/>
      <c r="JRT20" s="19"/>
      <c r="JRU20" s="16"/>
      <c r="JRV20" s="19"/>
      <c r="JRW20" s="16"/>
      <c r="JRX20" s="19"/>
      <c r="JRY20" s="16"/>
      <c r="JRZ20" s="19"/>
      <c r="JSA20" s="16"/>
      <c r="JSB20" s="19"/>
      <c r="JSC20" s="16"/>
      <c r="JSD20" s="19"/>
      <c r="JSE20" s="16"/>
      <c r="JSF20" s="19"/>
      <c r="JSG20" s="16"/>
      <c r="JSH20" s="19"/>
      <c r="JSI20" s="16"/>
      <c r="JSJ20" s="19"/>
      <c r="JSK20" s="16"/>
      <c r="JSL20" s="19"/>
      <c r="JSM20" s="16"/>
      <c r="JSN20" s="19"/>
      <c r="JSO20" s="16"/>
      <c r="JSP20" s="19"/>
      <c r="JSQ20" s="16"/>
      <c r="JSR20" s="19"/>
      <c r="JSS20" s="16"/>
      <c r="JST20" s="19"/>
      <c r="JSU20" s="16"/>
      <c r="JSV20" s="19"/>
      <c r="JSW20" s="16"/>
      <c r="JSX20" s="19"/>
      <c r="JSY20" s="16"/>
      <c r="JSZ20" s="19"/>
      <c r="JTA20" s="16"/>
      <c r="JTB20" s="19"/>
      <c r="JTC20" s="16"/>
      <c r="JTD20" s="19"/>
      <c r="JTE20" s="16"/>
      <c r="JTF20" s="19"/>
      <c r="JTG20" s="16"/>
      <c r="JTH20" s="19"/>
      <c r="JTI20" s="16"/>
      <c r="JTJ20" s="19"/>
      <c r="JTK20" s="16"/>
      <c r="JTL20" s="19"/>
      <c r="JTM20" s="16"/>
      <c r="JTN20" s="19"/>
      <c r="JTO20" s="16"/>
      <c r="JTP20" s="19"/>
      <c r="JTQ20" s="16"/>
      <c r="JTR20" s="19"/>
      <c r="JTS20" s="16"/>
      <c r="JTT20" s="19"/>
      <c r="JTU20" s="16"/>
      <c r="JTV20" s="19"/>
      <c r="JTW20" s="16"/>
      <c r="JTX20" s="19"/>
      <c r="JTY20" s="16"/>
      <c r="JTZ20" s="19"/>
      <c r="JUA20" s="16"/>
      <c r="JUB20" s="19"/>
      <c r="JUC20" s="16"/>
      <c r="JUD20" s="19"/>
      <c r="JUE20" s="16"/>
      <c r="JUF20" s="19"/>
      <c r="JUG20" s="16"/>
      <c r="JUH20" s="19"/>
      <c r="JUI20" s="16"/>
      <c r="JUJ20" s="19"/>
      <c r="JUK20" s="16"/>
      <c r="JUL20" s="19"/>
      <c r="JUM20" s="16"/>
      <c r="JUN20" s="19"/>
      <c r="JUO20" s="16"/>
      <c r="JUP20" s="19"/>
      <c r="JUQ20" s="16"/>
      <c r="JUR20" s="19"/>
      <c r="JUS20" s="16"/>
      <c r="JUT20" s="19"/>
      <c r="JUU20" s="16"/>
      <c r="JUV20" s="19"/>
      <c r="JUW20" s="16"/>
      <c r="JUX20" s="19"/>
      <c r="JUY20" s="16"/>
      <c r="JUZ20" s="19"/>
      <c r="JVA20" s="16"/>
      <c r="JVB20" s="19"/>
      <c r="JVC20" s="16"/>
      <c r="JVD20" s="19"/>
      <c r="JVE20" s="16"/>
      <c r="JVF20" s="19"/>
      <c r="JVG20" s="16"/>
      <c r="JVH20" s="19"/>
      <c r="JVI20" s="16"/>
      <c r="JVJ20" s="19"/>
      <c r="JVK20" s="16"/>
      <c r="JVL20" s="19"/>
      <c r="JVM20" s="16"/>
      <c r="JVN20" s="19"/>
      <c r="JVO20" s="16"/>
      <c r="JVP20" s="19"/>
      <c r="JVQ20" s="16"/>
      <c r="JVR20" s="19"/>
      <c r="JVS20" s="16"/>
      <c r="JVT20" s="19"/>
      <c r="JVU20" s="16"/>
      <c r="JVV20" s="19"/>
      <c r="JVW20" s="16"/>
      <c r="JVX20" s="19"/>
      <c r="JVY20" s="16"/>
      <c r="JVZ20" s="19"/>
      <c r="JWA20" s="16"/>
      <c r="JWB20" s="19"/>
      <c r="JWC20" s="16"/>
      <c r="JWD20" s="19"/>
      <c r="JWE20" s="16"/>
      <c r="JWF20" s="19"/>
      <c r="JWG20" s="16"/>
      <c r="JWH20" s="19"/>
      <c r="JWI20" s="16"/>
      <c r="JWJ20" s="19"/>
      <c r="JWK20" s="16"/>
      <c r="JWL20" s="19"/>
      <c r="JWM20" s="16"/>
      <c r="JWN20" s="19"/>
      <c r="JWO20" s="16"/>
      <c r="JWP20" s="19"/>
      <c r="JWQ20" s="16"/>
      <c r="JWR20" s="19"/>
      <c r="JWS20" s="16"/>
      <c r="JWT20" s="19"/>
      <c r="JWU20" s="16"/>
      <c r="JWV20" s="19"/>
      <c r="JWW20" s="16"/>
      <c r="JWX20" s="19"/>
      <c r="JWY20" s="16"/>
      <c r="JWZ20" s="19"/>
      <c r="JXA20" s="16"/>
      <c r="JXB20" s="19"/>
      <c r="JXC20" s="16"/>
      <c r="JXD20" s="19"/>
      <c r="JXE20" s="16"/>
      <c r="JXF20" s="19"/>
      <c r="JXG20" s="16"/>
      <c r="JXH20" s="19"/>
      <c r="JXI20" s="16"/>
      <c r="JXJ20" s="19"/>
      <c r="JXK20" s="16"/>
      <c r="JXL20" s="19"/>
      <c r="JXM20" s="16"/>
      <c r="JXN20" s="19"/>
      <c r="JXO20" s="16"/>
      <c r="JXP20" s="19"/>
      <c r="JXQ20" s="16"/>
      <c r="JXR20" s="19"/>
      <c r="JXS20" s="16"/>
      <c r="JXT20" s="19"/>
      <c r="JXU20" s="16"/>
      <c r="JXV20" s="19"/>
      <c r="JXW20" s="16"/>
      <c r="JXX20" s="19"/>
      <c r="JXY20" s="16"/>
      <c r="JXZ20" s="19"/>
      <c r="JYA20" s="16"/>
      <c r="JYB20" s="19"/>
      <c r="JYC20" s="16"/>
      <c r="JYD20" s="19"/>
      <c r="JYE20" s="16"/>
      <c r="JYF20" s="19"/>
      <c r="JYG20" s="16"/>
      <c r="JYH20" s="19"/>
      <c r="JYI20" s="16"/>
      <c r="JYJ20" s="19"/>
      <c r="JYK20" s="16"/>
      <c r="JYL20" s="19"/>
      <c r="JYM20" s="16"/>
      <c r="JYN20" s="19"/>
      <c r="JYO20" s="16"/>
      <c r="JYP20" s="19"/>
      <c r="JYQ20" s="16"/>
      <c r="JYR20" s="19"/>
      <c r="JYS20" s="16"/>
      <c r="JYT20" s="19"/>
      <c r="JYU20" s="16"/>
      <c r="JYV20" s="19"/>
      <c r="JYW20" s="16"/>
      <c r="JYX20" s="19"/>
      <c r="JYY20" s="16"/>
      <c r="JYZ20" s="19"/>
      <c r="JZA20" s="16"/>
      <c r="JZB20" s="19"/>
      <c r="JZC20" s="16"/>
      <c r="JZD20" s="19"/>
      <c r="JZE20" s="16"/>
      <c r="JZF20" s="19"/>
      <c r="JZG20" s="16"/>
      <c r="JZH20" s="19"/>
      <c r="JZI20" s="16"/>
      <c r="JZJ20" s="19"/>
      <c r="JZK20" s="16"/>
      <c r="JZL20" s="19"/>
      <c r="JZM20" s="16"/>
      <c r="JZN20" s="19"/>
      <c r="JZO20" s="16"/>
      <c r="JZP20" s="19"/>
      <c r="JZQ20" s="16"/>
      <c r="JZR20" s="19"/>
      <c r="JZS20" s="16"/>
      <c r="JZT20" s="19"/>
      <c r="JZU20" s="16"/>
      <c r="JZV20" s="19"/>
      <c r="JZW20" s="16"/>
      <c r="JZX20" s="19"/>
      <c r="JZY20" s="16"/>
      <c r="JZZ20" s="19"/>
      <c r="KAA20" s="16"/>
      <c r="KAB20" s="19"/>
      <c r="KAC20" s="16"/>
      <c r="KAD20" s="19"/>
      <c r="KAE20" s="16"/>
      <c r="KAF20" s="19"/>
      <c r="KAG20" s="16"/>
      <c r="KAH20" s="19"/>
      <c r="KAI20" s="16"/>
      <c r="KAJ20" s="19"/>
      <c r="KAK20" s="16"/>
      <c r="KAL20" s="19"/>
      <c r="KAM20" s="16"/>
      <c r="KAN20" s="19"/>
      <c r="KAO20" s="16"/>
      <c r="KAP20" s="19"/>
      <c r="KAQ20" s="16"/>
      <c r="KAR20" s="19"/>
      <c r="KAS20" s="16"/>
      <c r="KAT20" s="19"/>
      <c r="KAU20" s="16"/>
      <c r="KAV20" s="19"/>
      <c r="KAW20" s="16"/>
      <c r="KAX20" s="19"/>
      <c r="KAY20" s="16"/>
      <c r="KAZ20" s="19"/>
      <c r="KBA20" s="16"/>
      <c r="KBB20" s="19"/>
      <c r="KBC20" s="16"/>
      <c r="KBD20" s="19"/>
      <c r="KBE20" s="16"/>
      <c r="KBF20" s="19"/>
      <c r="KBG20" s="16"/>
      <c r="KBH20" s="19"/>
      <c r="KBI20" s="16"/>
      <c r="KBJ20" s="19"/>
      <c r="KBK20" s="16"/>
      <c r="KBL20" s="19"/>
      <c r="KBM20" s="16"/>
      <c r="KBN20" s="19"/>
      <c r="KBO20" s="16"/>
      <c r="KBP20" s="19"/>
      <c r="KBQ20" s="16"/>
      <c r="KBR20" s="19"/>
      <c r="KBS20" s="16"/>
      <c r="KBT20" s="19"/>
      <c r="KBU20" s="16"/>
      <c r="KBV20" s="19"/>
      <c r="KBW20" s="16"/>
      <c r="KBX20" s="19"/>
      <c r="KBY20" s="16"/>
      <c r="KBZ20" s="19"/>
      <c r="KCA20" s="16"/>
      <c r="KCB20" s="19"/>
      <c r="KCC20" s="16"/>
      <c r="KCD20" s="19"/>
      <c r="KCE20" s="16"/>
      <c r="KCF20" s="19"/>
      <c r="KCG20" s="16"/>
      <c r="KCH20" s="19"/>
      <c r="KCI20" s="16"/>
      <c r="KCJ20" s="19"/>
      <c r="KCK20" s="16"/>
      <c r="KCL20" s="19"/>
      <c r="KCM20" s="16"/>
      <c r="KCN20" s="19"/>
      <c r="KCO20" s="16"/>
      <c r="KCP20" s="19"/>
      <c r="KCQ20" s="16"/>
      <c r="KCR20" s="19"/>
      <c r="KCS20" s="16"/>
      <c r="KCT20" s="19"/>
      <c r="KCU20" s="16"/>
      <c r="KCV20" s="19"/>
      <c r="KCW20" s="16"/>
      <c r="KCX20" s="19"/>
      <c r="KCY20" s="16"/>
      <c r="KCZ20" s="19"/>
      <c r="KDA20" s="16"/>
      <c r="KDB20" s="19"/>
      <c r="KDC20" s="16"/>
      <c r="KDD20" s="19"/>
      <c r="KDE20" s="16"/>
      <c r="KDF20" s="19"/>
      <c r="KDG20" s="16"/>
      <c r="KDH20" s="19"/>
      <c r="KDI20" s="16"/>
      <c r="KDJ20" s="19"/>
      <c r="KDK20" s="16"/>
      <c r="KDL20" s="19"/>
      <c r="KDM20" s="16"/>
      <c r="KDN20" s="19"/>
      <c r="KDO20" s="16"/>
      <c r="KDP20" s="19"/>
      <c r="KDQ20" s="16"/>
      <c r="KDR20" s="19"/>
      <c r="KDS20" s="16"/>
      <c r="KDT20" s="19"/>
      <c r="KDU20" s="16"/>
      <c r="KDV20" s="19"/>
      <c r="KDW20" s="16"/>
      <c r="KDX20" s="19"/>
      <c r="KDY20" s="16"/>
      <c r="KDZ20" s="19"/>
      <c r="KEA20" s="16"/>
      <c r="KEB20" s="19"/>
      <c r="KEC20" s="16"/>
      <c r="KED20" s="19"/>
      <c r="KEE20" s="16"/>
      <c r="KEF20" s="19"/>
      <c r="KEG20" s="16"/>
      <c r="KEH20" s="19"/>
      <c r="KEI20" s="16"/>
      <c r="KEJ20" s="19"/>
      <c r="KEK20" s="16"/>
      <c r="KEL20" s="19"/>
      <c r="KEM20" s="16"/>
      <c r="KEN20" s="19"/>
      <c r="KEO20" s="16"/>
      <c r="KEP20" s="19"/>
      <c r="KEQ20" s="16"/>
      <c r="KER20" s="19"/>
      <c r="KES20" s="16"/>
      <c r="KET20" s="19"/>
      <c r="KEU20" s="16"/>
      <c r="KEV20" s="19"/>
      <c r="KEW20" s="16"/>
      <c r="KEX20" s="19"/>
      <c r="KEY20" s="16"/>
      <c r="KEZ20" s="19"/>
      <c r="KFA20" s="16"/>
      <c r="KFB20" s="19"/>
      <c r="KFC20" s="16"/>
      <c r="KFD20" s="19"/>
      <c r="KFE20" s="16"/>
      <c r="KFF20" s="19"/>
      <c r="KFG20" s="16"/>
      <c r="KFH20" s="19"/>
      <c r="KFI20" s="16"/>
      <c r="KFJ20" s="19"/>
      <c r="KFK20" s="16"/>
      <c r="KFL20" s="19"/>
      <c r="KFM20" s="16"/>
      <c r="KFN20" s="19"/>
      <c r="KFO20" s="16"/>
      <c r="KFP20" s="19"/>
      <c r="KFQ20" s="16"/>
      <c r="KFR20" s="19"/>
      <c r="KFS20" s="16"/>
      <c r="KFT20" s="19"/>
      <c r="KFU20" s="16"/>
      <c r="KFV20" s="19"/>
      <c r="KFW20" s="16"/>
      <c r="KFX20" s="19"/>
      <c r="KFY20" s="16"/>
      <c r="KFZ20" s="19"/>
      <c r="KGA20" s="16"/>
      <c r="KGB20" s="19"/>
      <c r="KGC20" s="16"/>
      <c r="KGD20" s="19"/>
      <c r="KGE20" s="16"/>
      <c r="KGF20" s="19"/>
      <c r="KGG20" s="16"/>
      <c r="KGH20" s="19"/>
      <c r="KGI20" s="16"/>
      <c r="KGJ20" s="19"/>
      <c r="KGK20" s="16"/>
      <c r="KGL20" s="19"/>
      <c r="KGM20" s="16"/>
      <c r="KGN20" s="19"/>
      <c r="KGO20" s="16"/>
      <c r="KGP20" s="19"/>
      <c r="KGQ20" s="16"/>
      <c r="KGR20" s="19"/>
      <c r="KGS20" s="16"/>
      <c r="KGT20" s="19"/>
      <c r="KGU20" s="16"/>
      <c r="KGV20" s="19"/>
      <c r="KGW20" s="16"/>
      <c r="KGX20" s="19"/>
      <c r="KGY20" s="16"/>
      <c r="KGZ20" s="19"/>
      <c r="KHA20" s="16"/>
      <c r="KHB20" s="19"/>
      <c r="KHC20" s="16"/>
      <c r="KHD20" s="19"/>
      <c r="KHE20" s="16"/>
      <c r="KHF20" s="19"/>
      <c r="KHG20" s="16"/>
      <c r="KHH20" s="19"/>
      <c r="KHI20" s="16"/>
      <c r="KHJ20" s="19"/>
      <c r="KHK20" s="16"/>
      <c r="KHL20" s="19"/>
      <c r="KHM20" s="16"/>
      <c r="KHN20" s="19"/>
      <c r="KHO20" s="16"/>
      <c r="KHP20" s="19"/>
      <c r="KHQ20" s="16"/>
      <c r="KHR20" s="19"/>
      <c r="KHS20" s="16"/>
      <c r="KHT20" s="19"/>
      <c r="KHU20" s="16"/>
      <c r="KHV20" s="19"/>
      <c r="KHW20" s="16"/>
      <c r="KHX20" s="19"/>
      <c r="KHY20" s="16"/>
      <c r="KHZ20" s="19"/>
      <c r="KIA20" s="16"/>
      <c r="KIB20" s="19"/>
      <c r="KIC20" s="16"/>
      <c r="KID20" s="19"/>
      <c r="KIE20" s="16"/>
      <c r="KIF20" s="19"/>
      <c r="KIG20" s="16"/>
      <c r="KIH20" s="19"/>
      <c r="KII20" s="16"/>
      <c r="KIJ20" s="19"/>
      <c r="KIK20" s="16"/>
      <c r="KIL20" s="19"/>
      <c r="KIM20" s="16"/>
      <c r="KIN20" s="19"/>
      <c r="KIO20" s="16"/>
      <c r="KIP20" s="19"/>
      <c r="KIQ20" s="16"/>
      <c r="KIR20" s="19"/>
      <c r="KIS20" s="16"/>
      <c r="KIT20" s="19"/>
      <c r="KIU20" s="16"/>
      <c r="KIV20" s="19"/>
      <c r="KIW20" s="16"/>
      <c r="KIX20" s="19"/>
      <c r="KIY20" s="16"/>
      <c r="KIZ20" s="19"/>
      <c r="KJA20" s="16"/>
      <c r="KJB20" s="19"/>
      <c r="KJC20" s="16"/>
      <c r="KJD20" s="19"/>
      <c r="KJE20" s="16"/>
      <c r="KJF20" s="19"/>
      <c r="KJG20" s="16"/>
      <c r="KJH20" s="19"/>
      <c r="KJI20" s="16"/>
      <c r="KJJ20" s="19"/>
      <c r="KJK20" s="16"/>
      <c r="KJL20" s="19"/>
      <c r="KJM20" s="16"/>
      <c r="KJN20" s="19"/>
      <c r="KJO20" s="16"/>
      <c r="KJP20" s="19"/>
      <c r="KJQ20" s="16"/>
      <c r="KJR20" s="19"/>
      <c r="KJS20" s="16"/>
      <c r="KJT20" s="19"/>
      <c r="KJU20" s="16"/>
      <c r="KJV20" s="19"/>
      <c r="KJW20" s="16"/>
      <c r="KJX20" s="19"/>
      <c r="KJY20" s="16"/>
      <c r="KJZ20" s="19"/>
      <c r="KKA20" s="16"/>
      <c r="KKB20" s="19"/>
      <c r="KKC20" s="16"/>
      <c r="KKD20" s="19"/>
      <c r="KKE20" s="16"/>
      <c r="KKF20" s="19"/>
      <c r="KKG20" s="16"/>
      <c r="KKH20" s="19"/>
      <c r="KKI20" s="16"/>
      <c r="KKJ20" s="19"/>
      <c r="KKK20" s="16"/>
      <c r="KKL20" s="19"/>
      <c r="KKM20" s="16"/>
      <c r="KKN20" s="19"/>
      <c r="KKO20" s="16"/>
      <c r="KKP20" s="19"/>
      <c r="KKQ20" s="16"/>
      <c r="KKR20" s="19"/>
      <c r="KKS20" s="16"/>
      <c r="KKT20" s="19"/>
      <c r="KKU20" s="16"/>
      <c r="KKV20" s="19"/>
      <c r="KKW20" s="16"/>
      <c r="KKX20" s="19"/>
      <c r="KKY20" s="16"/>
      <c r="KKZ20" s="19"/>
      <c r="KLA20" s="16"/>
      <c r="KLB20" s="19"/>
      <c r="KLC20" s="16"/>
      <c r="KLD20" s="19"/>
      <c r="KLE20" s="16"/>
      <c r="KLF20" s="19"/>
      <c r="KLG20" s="16"/>
      <c r="KLH20" s="19"/>
      <c r="KLI20" s="16"/>
      <c r="KLJ20" s="19"/>
      <c r="KLK20" s="16"/>
      <c r="KLL20" s="19"/>
      <c r="KLM20" s="16"/>
      <c r="KLN20" s="19"/>
      <c r="KLO20" s="16"/>
      <c r="KLP20" s="19"/>
      <c r="KLQ20" s="16"/>
      <c r="KLR20" s="19"/>
      <c r="KLS20" s="16"/>
      <c r="KLT20" s="19"/>
      <c r="KLU20" s="16"/>
      <c r="KLV20" s="19"/>
      <c r="KLW20" s="16"/>
      <c r="KLX20" s="19"/>
      <c r="KLY20" s="16"/>
      <c r="KLZ20" s="19"/>
      <c r="KMA20" s="16"/>
      <c r="KMB20" s="19"/>
      <c r="KMC20" s="16"/>
      <c r="KMD20" s="19"/>
      <c r="KME20" s="16"/>
      <c r="KMF20" s="19"/>
      <c r="KMG20" s="16"/>
      <c r="KMH20" s="19"/>
      <c r="KMI20" s="16"/>
      <c r="KMJ20" s="19"/>
      <c r="KMK20" s="16"/>
      <c r="KML20" s="19"/>
      <c r="KMM20" s="16"/>
      <c r="KMN20" s="19"/>
      <c r="KMO20" s="16"/>
      <c r="KMP20" s="19"/>
      <c r="KMQ20" s="16"/>
      <c r="KMR20" s="19"/>
      <c r="KMS20" s="16"/>
      <c r="KMT20" s="19"/>
      <c r="KMU20" s="16"/>
      <c r="KMV20" s="19"/>
      <c r="KMW20" s="16"/>
      <c r="KMX20" s="19"/>
      <c r="KMY20" s="16"/>
      <c r="KMZ20" s="19"/>
      <c r="KNA20" s="16"/>
      <c r="KNB20" s="19"/>
      <c r="KNC20" s="16"/>
      <c r="KND20" s="19"/>
      <c r="KNE20" s="16"/>
      <c r="KNF20" s="19"/>
      <c r="KNG20" s="16"/>
      <c r="KNH20" s="19"/>
      <c r="KNI20" s="16"/>
      <c r="KNJ20" s="19"/>
      <c r="KNK20" s="16"/>
      <c r="KNL20" s="19"/>
      <c r="KNM20" s="16"/>
      <c r="KNN20" s="19"/>
      <c r="KNO20" s="16"/>
      <c r="KNP20" s="19"/>
      <c r="KNQ20" s="16"/>
      <c r="KNR20" s="19"/>
      <c r="KNS20" s="16"/>
      <c r="KNT20" s="19"/>
      <c r="KNU20" s="16"/>
      <c r="KNV20" s="19"/>
      <c r="KNW20" s="16"/>
      <c r="KNX20" s="19"/>
      <c r="KNY20" s="16"/>
      <c r="KNZ20" s="19"/>
      <c r="KOA20" s="16"/>
      <c r="KOB20" s="19"/>
      <c r="KOC20" s="16"/>
      <c r="KOD20" s="19"/>
      <c r="KOE20" s="16"/>
      <c r="KOF20" s="19"/>
      <c r="KOG20" s="16"/>
      <c r="KOH20" s="19"/>
      <c r="KOI20" s="16"/>
      <c r="KOJ20" s="19"/>
      <c r="KOK20" s="16"/>
      <c r="KOL20" s="19"/>
      <c r="KOM20" s="16"/>
      <c r="KON20" s="19"/>
      <c r="KOO20" s="16"/>
      <c r="KOP20" s="19"/>
      <c r="KOQ20" s="16"/>
      <c r="KOR20" s="19"/>
      <c r="KOS20" s="16"/>
      <c r="KOT20" s="19"/>
      <c r="KOU20" s="16"/>
      <c r="KOV20" s="19"/>
      <c r="KOW20" s="16"/>
      <c r="KOX20" s="19"/>
      <c r="KOY20" s="16"/>
      <c r="KOZ20" s="19"/>
      <c r="KPA20" s="16"/>
      <c r="KPB20" s="19"/>
      <c r="KPC20" s="16"/>
      <c r="KPD20" s="19"/>
      <c r="KPE20" s="16"/>
      <c r="KPF20" s="19"/>
      <c r="KPG20" s="16"/>
      <c r="KPH20" s="19"/>
      <c r="KPI20" s="16"/>
      <c r="KPJ20" s="19"/>
      <c r="KPK20" s="16"/>
      <c r="KPL20" s="19"/>
      <c r="KPM20" s="16"/>
      <c r="KPN20" s="19"/>
      <c r="KPO20" s="16"/>
      <c r="KPP20" s="19"/>
      <c r="KPQ20" s="16"/>
      <c r="KPR20" s="19"/>
      <c r="KPS20" s="16"/>
      <c r="KPT20" s="19"/>
      <c r="KPU20" s="16"/>
      <c r="KPV20" s="19"/>
      <c r="KPW20" s="16"/>
      <c r="KPX20" s="19"/>
      <c r="KPY20" s="16"/>
      <c r="KPZ20" s="19"/>
      <c r="KQA20" s="16"/>
      <c r="KQB20" s="19"/>
      <c r="KQC20" s="16"/>
      <c r="KQD20" s="19"/>
      <c r="KQE20" s="16"/>
      <c r="KQF20" s="19"/>
      <c r="KQG20" s="16"/>
      <c r="KQH20" s="19"/>
      <c r="KQI20" s="16"/>
      <c r="KQJ20" s="19"/>
      <c r="KQK20" s="16"/>
      <c r="KQL20" s="19"/>
      <c r="KQM20" s="16"/>
      <c r="KQN20" s="19"/>
      <c r="KQO20" s="16"/>
      <c r="KQP20" s="19"/>
      <c r="KQQ20" s="16"/>
      <c r="KQR20" s="19"/>
      <c r="KQS20" s="16"/>
      <c r="KQT20" s="19"/>
      <c r="KQU20" s="16"/>
      <c r="KQV20" s="19"/>
      <c r="KQW20" s="16"/>
      <c r="KQX20" s="19"/>
      <c r="KQY20" s="16"/>
      <c r="KQZ20" s="19"/>
      <c r="KRA20" s="16"/>
      <c r="KRB20" s="19"/>
      <c r="KRC20" s="16"/>
      <c r="KRD20" s="19"/>
      <c r="KRE20" s="16"/>
      <c r="KRF20" s="19"/>
      <c r="KRG20" s="16"/>
      <c r="KRH20" s="19"/>
      <c r="KRI20" s="16"/>
      <c r="KRJ20" s="19"/>
      <c r="KRK20" s="16"/>
      <c r="KRL20" s="19"/>
      <c r="KRM20" s="16"/>
      <c r="KRN20" s="19"/>
      <c r="KRO20" s="16"/>
      <c r="KRP20" s="19"/>
      <c r="KRQ20" s="16"/>
      <c r="KRR20" s="19"/>
      <c r="KRS20" s="16"/>
      <c r="KRT20" s="19"/>
      <c r="KRU20" s="16"/>
      <c r="KRV20" s="19"/>
      <c r="KRW20" s="16"/>
      <c r="KRX20" s="19"/>
      <c r="KRY20" s="16"/>
      <c r="KRZ20" s="19"/>
      <c r="KSA20" s="16"/>
      <c r="KSB20" s="19"/>
      <c r="KSC20" s="16"/>
      <c r="KSD20" s="19"/>
      <c r="KSE20" s="16"/>
      <c r="KSF20" s="19"/>
      <c r="KSG20" s="16"/>
      <c r="KSH20" s="19"/>
      <c r="KSI20" s="16"/>
      <c r="KSJ20" s="19"/>
      <c r="KSK20" s="16"/>
      <c r="KSL20" s="19"/>
      <c r="KSM20" s="16"/>
      <c r="KSN20" s="19"/>
      <c r="KSO20" s="16"/>
      <c r="KSP20" s="19"/>
      <c r="KSQ20" s="16"/>
      <c r="KSR20" s="19"/>
      <c r="KSS20" s="16"/>
      <c r="KST20" s="19"/>
      <c r="KSU20" s="16"/>
      <c r="KSV20" s="19"/>
      <c r="KSW20" s="16"/>
      <c r="KSX20" s="19"/>
      <c r="KSY20" s="16"/>
      <c r="KSZ20" s="19"/>
      <c r="KTA20" s="16"/>
      <c r="KTB20" s="19"/>
      <c r="KTC20" s="16"/>
      <c r="KTD20" s="19"/>
      <c r="KTE20" s="16"/>
      <c r="KTF20" s="19"/>
      <c r="KTG20" s="16"/>
      <c r="KTH20" s="19"/>
      <c r="KTI20" s="16"/>
      <c r="KTJ20" s="19"/>
      <c r="KTK20" s="16"/>
      <c r="KTL20" s="19"/>
      <c r="KTM20" s="16"/>
      <c r="KTN20" s="19"/>
      <c r="KTO20" s="16"/>
      <c r="KTP20" s="19"/>
      <c r="KTQ20" s="16"/>
      <c r="KTR20" s="19"/>
      <c r="KTS20" s="16"/>
      <c r="KTT20" s="19"/>
      <c r="KTU20" s="16"/>
      <c r="KTV20" s="19"/>
      <c r="KTW20" s="16"/>
      <c r="KTX20" s="19"/>
      <c r="KTY20" s="16"/>
      <c r="KTZ20" s="19"/>
      <c r="KUA20" s="16"/>
      <c r="KUB20" s="19"/>
      <c r="KUC20" s="16"/>
      <c r="KUD20" s="19"/>
      <c r="KUE20" s="16"/>
      <c r="KUF20" s="19"/>
      <c r="KUG20" s="16"/>
      <c r="KUH20" s="19"/>
      <c r="KUI20" s="16"/>
      <c r="KUJ20" s="19"/>
      <c r="KUK20" s="16"/>
      <c r="KUL20" s="19"/>
      <c r="KUM20" s="16"/>
      <c r="KUN20" s="19"/>
      <c r="KUO20" s="16"/>
      <c r="KUP20" s="19"/>
      <c r="KUQ20" s="16"/>
      <c r="KUR20" s="19"/>
      <c r="KUS20" s="16"/>
      <c r="KUT20" s="19"/>
      <c r="KUU20" s="16"/>
      <c r="KUV20" s="19"/>
      <c r="KUW20" s="16"/>
      <c r="KUX20" s="19"/>
      <c r="KUY20" s="16"/>
      <c r="KUZ20" s="19"/>
      <c r="KVA20" s="16"/>
      <c r="KVB20" s="19"/>
      <c r="KVC20" s="16"/>
      <c r="KVD20" s="19"/>
      <c r="KVE20" s="16"/>
      <c r="KVF20" s="19"/>
      <c r="KVG20" s="16"/>
      <c r="KVH20" s="19"/>
      <c r="KVI20" s="16"/>
      <c r="KVJ20" s="19"/>
      <c r="KVK20" s="16"/>
      <c r="KVL20" s="19"/>
      <c r="KVM20" s="16"/>
      <c r="KVN20" s="19"/>
      <c r="KVO20" s="16"/>
      <c r="KVP20" s="19"/>
      <c r="KVQ20" s="16"/>
      <c r="KVR20" s="19"/>
      <c r="KVS20" s="16"/>
      <c r="KVT20" s="19"/>
      <c r="KVU20" s="16"/>
      <c r="KVV20" s="19"/>
      <c r="KVW20" s="16"/>
      <c r="KVX20" s="19"/>
      <c r="KVY20" s="16"/>
      <c r="KVZ20" s="19"/>
      <c r="KWA20" s="16"/>
      <c r="KWB20" s="19"/>
      <c r="KWC20" s="16"/>
      <c r="KWD20" s="19"/>
      <c r="KWE20" s="16"/>
      <c r="KWF20" s="19"/>
      <c r="KWG20" s="16"/>
      <c r="KWH20" s="19"/>
      <c r="KWI20" s="16"/>
      <c r="KWJ20" s="19"/>
      <c r="KWK20" s="16"/>
      <c r="KWL20" s="19"/>
      <c r="KWM20" s="16"/>
      <c r="KWN20" s="19"/>
      <c r="KWO20" s="16"/>
      <c r="KWP20" s="19"/>
      <c r="KWQ20" s="16"/>
      <c r="KWR20" s="19"/>
      <c r="KWS20" s="16"/>
      <c r="KWT20" s="19"/>
      <c r="KWU20" s="16"/>
      <c r="KWV20" s="19"/>
      <c r="KWW20" s="16"/>
      <c r="KWX20" s="19"/>
      <c r="KWY20" s="16"/>
      <c r="KWZ20" s="19"/>
      <c r="KXA20" s="16"/>
      <c r="KXB20" s="19"/>
      <c r="KXC20" s="16"/>
      <c r="KXD20" s="19"/>
      <c r="KXE20" s="16"/>
      <c r="KXF20" s="19"/>
      <c r="KXG20" s="16"/>
      <c r="KXH20" s="19"/>
      <c r="KXI20" s="16"/>
      <c r="KXJ20" s="19"/>
      <c r="KXK20" s="16"/>
      <c r="KXL20" s="19"/>
      <c r="KXM20" s="16"/>
      <c r="KXN20" s="19"/>
      <c r="KXO20" s="16"/>
      <c r="KXP20" s="19"/>
      <c r="KXQ20" s="16"/>
      <c r="KXR20" s="19"/>
      <c r="KXS20" s="16"/>
      <c r="KXT20" s="19"/>
      <c r="KXU20" s="16"/>
      <c r="KXV20" s="19"/>
      <c r="KXW20" s="16"/>
      <c r="KXX20" s="19"/>
      <c r="KXY20" s="16"/>
      <c r="KXZ20" s="19"/>
      <c r="KYA20" s="16"/>
      <c r="KYB20" s="19"/>
      <c r="KYC20" s="16"/>
      <c r="KYD20" s="19"/>
      <c r="KYE20" s="16"/>
      <c r="KYF20" s="19"/>
      <c r="KYG20" s="16"/>
      <c r="KYH20" s="19"/>
      <c r="KYI20" s="16"/>
      <c r="KYJ20" s="19"/>
      <c r="KYK20" s="16"/>
      <c r="KYL20" s="19"/>
      <c r="KYM20" s="16"/>
      <c r="KYN20" s="19"/>
      <c r="KYO20" s="16"/>
      <c r="KYP20" s="19"/>
      <c r="KYQ20" s="16"/>
      <c r="KYR20" s="19"/>
      <c r="KYS20" s="16"/>
      <c r="KYT20" s="19"/>
      <c r="KYU20" s="16"/>
      <c r="KYV20" s="19"/>
      <c r="KYW20" s="16"/>
      <c r="KYX20" s="19"/>
      <c r="KYY20" s="16"/>
      <c r="KYZ20" s="19"/>
      <c r="KZA20" s="16"/>
      <c r="KZB20" s="19"/>
      <c r="KZC20" s="16"/>
      <c r="KZD20" s="19"/>
      <c r="KZE20" s="16"/>
      <c r="KZF20" s="19"/>
      <c r="KZG20" s="16"/>
      <c r="KZH20" s="19"/>
      <c r="KZI20" s="16"/>
      <c r="KZJ20" s="19"/>
      <c r="KZK20" s="16"/>
      <c r="KZL20" s="19"/>
      <c r="KZM20" s="16"/>
      <c r="KZN20" s="19"/>
      <c r="KZO20" s="16"/>
      <c r="KZP20" s="19"/>
      <c r="KZQ20" s="16"/>
      <c r="KZR20" s="19"/>
      <c r="KZS20" s="16"/>
      <c r="KZT20" s="19"/>
      <c r="KZU20" s="16"/>
      <c r="KZV20" s="19"/>
      <c r="KZW20" s="16"/>
      <c r="KZX20" s="19"/>
      <c r="KZY20" s="16"/>
      <c r="KZZ20" s="19"/>
      <c r="LAA20" s="16"/>
      <c r="LAB20" s="19"/>
      <c r="LAC20" s="16"/>
      <c r="LAD20" s="19"/>
      <c r="LAE20" s="16"/>
      <c r="LAF20" s="19"/>
      <c r="LAG20" s="16"/>
      <c r="LAH20" s="19"/>
      <c r="LAI20" s="16"/>
      <c r="LAJ20" s="19"/>
      <c r="LAK20" s="16"/>
      <c r="LAL20" s="19"/>
      <c r="LAM20" s="16"/>
      <c r="LAN20" s="19"/>
      <c r="LAO20" s="16"/>
      <c r="LAP20" s="19"/>
      <c r="LAQ20" s="16"/>
      <c r="LAR20" s="19"/>
      <c r="LAS20" s="16"/>
      <c r="LAT20" s="19"/>
      <c r="LAU20" s="16"/>
      <c r="LAV20" s="19"/>
      <c r="LAW20" s="16"/>
      <c r="LAX20" s="19"/>
      <c r="LAY20" s="16"/>
      <c r="LAZ20" s="19"/>
      <c r="LBA20" s="16"/>
      <c r="LBB20" s="19"/>
      <c r="LBC20" s="16"/>
      <c r="LBD20" s="19"/>
      <c r="LBE20" s="16"/>
      <c r="LBF20" s="19"/>
      <c r="LBG20" s="16"/>
      <c r="LBH20" s="19"/>
      <c r="LBI20" s="16"/>
      <c r="LBJ20" s="19"/>
      <c r="LBK20" s="16"/>
      <c r="LBL20" s="19"/>
      <c r="LBM20" s="16"/>
      <c r="LBN20" s="19"/>
      <c r="LBO20" s="16"/>
      <c r="LBP20" s="19"/>
      <c r="LBQ20" s="16"/>
      <c r="LBR20" s="19"/>
      <c r="LBS20" s="16"/>
      <c r="LBT20" s="19"/>
      <c r="LBU20" s="16"/>
      <c r="LBV20" s="19"/>
      <c r="LBW20" s="16"/>
      <c r="LBX20" s="19"/>
      <c r="LBY20" s="16"/>
      <c r="LBZ20" s="19"/>
      <c r="LCA20" s="16"/>
      <c r="LCB20" s="19"/>
      <c r="LCC20" s="16"/>
      <c r="LCD20" s="19"/>
      <c r="LCE20" s="16"/>
      <c r="LCF20" s="19"/>
      <c r="LCG20" s="16"/>
      <c r="LCH20" s="19"/>
      <c r="LCI20" s="16"/>
      <c r="LCJ20" s="19"/>
      <c r="LCK20" s="16"/>
      <c r="LCL20" s="19"/>
      <c r="LCM20" s="16"/>
      <c r="LCN20" s="19"/>
      <c r="LCO20" s="16"/>
      <c r="LCP20" s="19"/>
      <c r="LCQ20" s="16"/>
      <c r="LCR20" s="19"/>
      <c r="LCS20" s="16"/>
      <c r="LCT20" s="19"/>
      <c r="LCU20" s="16"/>
      <c r="LCV20" s="19"/>
      <c r="LCW20" s="16"/>
      <c r="LCX20" s="19"/>
      <c r="LCY20" s="16"/>
      <c r="LCZ20" s="19"/>
      <c r="LDA20" s="16"/>
      <c r="LDB20" s="19"/>
      <c r="LDC20" s="16"/>
      <c r="LDD20" s="19"/>
      <c r="LDE20" s="16"/>
      <c r="LDF20" s="19"/>
      <c r="LDG20" s="16"/>
      <c r="LDH20" s="19"/>
      <c r="LDI20" s="16"/>
      <c r="LDJ20" s="19"/>
      <c r="LDK20" s="16"/>
      <c r="LDL20" s="19"/>
      <c r="LDM20" s="16"/>
      <c r="LDN20" s="19"/>
      <c r="LDO20" s="16"/>
      <c r="LDP20" s="19"/>
      <c r="LDQ20" s="16"/>
      <c r="LDR20" s="19"/>
      <c r="LDS20" s="16"/>
      <c r="LDT20" s="19"/>
      <c r="LDU20" s="16"/>
      <c r="LDV20" s="19"/>
      <c r="LDW20" s="16"/>
      <c r="LDX20" s="19"/>
      <c r="LDY20" s="16"/>
      <c r="LDZ20" s="19"/>
      <c r="LEA20" s="16"/>
      <c r="LEB20" s="19"/>
      <c r="LEC20" s="16"/>
      <c r="LED20" s="19"/>
      <c r="LEE20" s="16"/>
      <c r="LEF20" s="19"/>
      <c r="LEG20" s="16"/>
      <c r="LEH20" s="19"/>
      <c r="LEI20" s="16"/>
      <c r="LEJ20" s="19"/>
      <c r="LEK20" s="16"/>
      <c r="LEL20" s="19"/>
      <c r="LEM20" s="16"/>
      <c r="LEN20" s="19"/>
      <c r="LEO20" s="16"/>
      <c r="LEP20" s="19"/>
      <c r="LEQ20" s="16"/>
      <c r="LER20" s="19"/>
      <c r="LES20" s="16"/>
      <c r="LET20" s="19"/>
      <c r="LEU20" s="16"/>
      <c r="LEV20" s="19"/>
      <c r="LEW20" s="16"/>
      <c r="LEX20" s="19"/>
      <c r="LEY20" s="16"/>
      <c r="LEZ20" s="19"/>
      <c r="LFA20" s="16"/>
      <c r="LFB20" s="19"/>
      <c r="LFC20" s="16"/>
      <c r="LFD20" s="19"/>
      <c r="LFE20" s="16"/>
      <c r="LFF20" s="19"/>
      <c r="LFG20" s="16"/>
      <c r="LFH20" s="19"/>
      <c r="LFI20" s="16"/>
      <c r="LFJ20" s="19"/>
      <c r="LFK20" s="16"/>
      <c r="LFL20" s="19"/>
      <c r="LFM20" s="16"/>
      <c r="LFN20" s="19"/>
      <c r="LFO20" s="16"/>
      <c r="LFP20" s="19"/>
      <c r="LFQ20" s="16"/>
      <c r="LFR20" s="19"/>
      <c r="LFS20" s="16"/>
      <c r="LFT20" s="19"/>
      <c r="LFU20" s="16"/>
      <c r="LFV20" s="19"/>
      <c r="LFW20" s="16"/>
      <c r="LFX20" s="19"/>
      <c r="LFY20" s="16"/>
      <c r="LFZ20" s="19"/>
      <c r="LGA20" s="16"/>
      <c r="LGB20" s="19"/>
      <c r="LGC20" s="16"/>
      <c r="LGD20" s="19"/>
      <c r="LGE20" s="16"/>
      <c r="LGF20" s="19"/>
      <c r="LGG20" s="16"/>
      <c r="LGH20" s="19"/>
      <c r="LGI20" s="16"/>
      <c r="LGJ20" s="19"/>
      <c r="LGK20" s="16"/>
      <c r="LGL20" s="19"/>
      <c r="LGM20" s="16"/>
      <c r="LGN20" s="19"/>
      <c r="LGO20" s="16"/>
      <c r="LGP20" s="19"/>
      <c r="LGQ20" s="16"/>
      <c r="LGR20" s="19"/>
      <c r="LGS20" s="16"/>
      <c r="LGT20" s="19"/>
      <c r="LGU20" s="16"/>
      <c r="LGV20" s="19"/>
      <c r="LGW20" s="16"/>
      <c r="LGX20" s="19"/>
      <c r="LGY20" s="16"/>
      <c r="LGZ20" s="19"/>
      <c r="LHA20" s="16"/>
      <c r="LHB20" s="19"/>
      <c r="LHC20" s="16"/>
      <c r="LHD20" s="19"/>
      <c r="LHE20" s="16"/>
      <c r="LHF20" s="19"/>
      <c r="LHG20" s="16"/>
      <c r="LHH20" s="19"/>
      <c r="LHI20" s="16"/>
      <c r="LHJ20" s="19"/>
      <c r="LHK20" s="16"/>
      <c r="LHL20" s="19"/>
      <c r="LHM20" s="16"/>
      <c r="LHN20" s="19"/>
      <c r="LHO20" s="16"/>
      <c r="LHP20" s="19"/>
      <c r="LHQ20" s="16"/>
      <c r="LHR20" s="19"/>
      <c r="LHS20" s="16"/>
      <c r="LHT20" s="19"/>
      <c r="LHU20" s="16"/>
      <c r="LHV20" s="19"/>
      <c r="LHW20" s="16"/>
      <c r="LHX20" s="19"/>
      <c r="LHY20" s="16"/>
      <c r="LHZ20" s="19"/>
      <c r="LIA20" s="16"/>
      <c r="LIB20" s="19"/>
      <c r="LIC20" s="16"/>
      <c r="LID20" s="19"/>
      <c r="LIE20" s="16"/>
      <c r="LIF20" s="19"/>
      <c r="LIG20" s="16"/>
      <c r="LIH20" s="19"/>
      <c r="LII20" s="16"/>
      <c r="LIJ20" s="19"/>
      <c r="LIK20" s="16"/>
      <c r="LIL20" s="19"/>
      <c r="LIM20" s="16"/>
      <c r="LIN20" s="19"/>
      <c r="LIO20" s="16"/>
      <c r="LIP20" s="19"/>
      <c r="LIQ20" s="16"/>
      <c r="LIR20" s="19"/>
      <c r="LIS20" s="16"/>
      <c r="LIT20" s="19"/>
      <c r="LIU20" s="16"/>
      <c r="LIV20" s="19"/>
      <c r="LIW20" s="16"/>
      <c r="LIX20" s="19"/>
      <c r="LIY20" s="16"/>
      <c r="LIZ20" s="19"/>
      <c r="LJA20" s="16"/>
      <c r="LJB20" s="19"/>
      <c r="LJC20" s="16"/>
      <c r="LJD20" s="19"/>
      <c r="LJE20" s="16"/>
      <c r="LJF20" s="19"/>
      <c r="LJG20" s="16"/>
      <c r="LJH20" s="19"/>
      <c r="LJI20" s="16"/>
      <c r="LJJ20" s="19"/>
      <c r="LJK20" s="16"/>
      <c r="LJL20" s="19"/>
      <c r="LJM20" s="16"/>
      <c r="LJN20" s="19"/>
      <c r="LJO20" s="16"/>
      <c r="LJP20" s="19"/>
      <c r="LJQ20" s="16"/>
      <c r="LJR20" s="19"/>
      <c r="LJS20" s="16"/>
      <c r="LJT20" s="19"/>
      <c r="LJU20" s="16"/>
      <c r="LJV20" s="19"/>
      <c r="LJW20" s="16"/>
      <c r="LJX20" s="19"/>
      <c r="LJY20" s="16"/>
      <c r="LJZ20" s="19"/>
      <c r="LKA20" s="16"/>
      <c r="LKB20" s="19"/>
      <c r="LKC20" s="16"/>
      <c r="LKD20" s="19"/>
      <c r="LKE20" s="16"/>
      <c r="LKF20" s="19"/>
      <c r="LKG20" s="16"/>
      <c r="LKH20" s="19"/>
      <c r="LKI20" s="16"/>
      <c r="LKJ20" s="19"/>
      <c r="LKK20" s="16"/>
      <c r="LKL20" s="19"/>
      <c r="LKM20" s="16"/>
      <c r="LKN20" s="19"/>
      <c r="LKO20" s="16"/>
      <c r="LKP20" s="19"/>
      <c r="LKQ20" s="16"/>
      <c r="LKR20" s="19"/>
      <c r="LKS20" s="16"/>
      <c r="LKT20" s="19"/>
      <c r="LKU20" s="16"/>
      <c r="LKV20" s="19"/>
      <c r="LKW20" s="16"/>
      <c r="LKX20" s="19"/>
      <c r="LKY20" s="16"/>
      <c r="LKZ20" s="19"/>
      <c r="LLA20" s="16"/>
      <c r="LLB20" s="19"/>
      <c r="LLC20" s="16"/>
      <c r="LLD20" s="19"/>
      <c r="LLE20" s="16"/>
      <c r="LLF20" s="19"/>
      <c r="LLG20" s="16"/>
      <c r="LLH20" s="19"/>
      <c r="LLI20" s="16"/>
      <c r="LLJ20" s="19"/>
      <c r="LLK20" s="16"/>
      <c r="LLL20" s="19"/>
      <c r="LLM20" s="16"/>
      <c r="LLN20" s="19"/>
      <c r="LLO20" s="16"/>
      <c r="LLP20" s="19"/>
      <c r="LLQ20" s="16"/>
      <c r="LLR20" s="19"/>
      <c r="LLS20" s="16"/>
      <c r="LLT20" s="19"/>
      <c r="LLU20" s="16"/>
      <c r="LLV20" s="19"/>
      <c r="LLW20" s="16"/>
      <c r="LLX20" s="19"/>
      <c r="LLY20" s="16"/>
      <c r="LLZ20" s="19"/>
      <c r="LMA20" s="16"/>
      <c r="LMB20" s="19"/>
      <c r="LMC20" s="16"/>
      <c r="LMD20" s="19"/>
      <c r="LME20" s="16"/>
      <c r="LMF20" s="19"/>
      <c r="LMG20" s="16"/>
      <c r="LMH20" s="19"/>
      <c r="LMI20" s="16"/>
      <c r="LMJ20" s="19"/>
      <c r="LMK20" s="16"/>
      <c r="LML20" s="19"/>
      <c r="LMM20" s="16"/>
      <c r="LMN20" s="19"/>
      <c r="LMO20" s="16"/>
      <c r="LMP20" s="19"/>
      <c r="LMQ20" s="16"/>
      <c r="LMR20" s="19"/>
      <c r="LMS20" s="16"/>
      <c r="LMT20" s="19"/>
      <c r="LMU20" s="16"/>
      <c r="LMV20" s="19"/>
      <c r="LMW20" s="16"/>
      <c r="LMX20" s="19"/>
      <c r="LMY20" s="16"/>
      <c r="LMZ20" s="19"/>
      <c r="LNA20" s="16"/>
      <c r="LNB20" s="19"/>
      <c r="LNC20" s="16"/>
      <c r="LND20" s="19"/>
      <c r="LNE20" s="16"/>
      <c r="LNF20" s="19"/>
      <c r="LNG20" s="16"/>
      <c r="LNH20" s="19"/>
      <c r="LNI20" s="16"/>
      <c r="LNJ20" s="19"/>
      <c r="LNK20" s="16"/>
      <c r="LNL20" s="19"/>
      <c r="LNM20" s="16"/>
      <c r="LNN20" s="19"/>
      <c r="LNO20" s="16"/>
      <c r="LNP20" s="19"/>
      <c r="LNQ20" s="16"/>
      <c r="LNR20" s="19"/>
      <c r="LNS20" s="16"/>
      <c r="LNT20" s="19"/>
      <c r="LNU20" s="16"/>
      <c r="LNV20" s="19"/>
      <c r="LNW20" s="16"/>
      <c r="LNX20" s="19"/>
      <c r="LNY20" s="16"/>
      <c r="LNZ20" s="19"/>
      <c r="LOA20" s="16"/>
      <c r="LOB20" s="19"/>
      <c r="LOC20" s="16"/>
      <c r="LOD20" s="19"/>
      <c r="LOE20" s="16"/>
      <c r="LOF20" s="19"/>
      <c r="LOG20" s="16"/>
      <c r="LOH20" s="19"/>
      <c r="LOI20" s="16"/>
      <c r="LOJ20" s="19"/>
      <c r="LOK20" s="16"/>
      <c r="LOL20" s="19"/>
      <c r="LOM20" s="16"/>
      <c r="LON20" s="19"/>
      <c r="LOO20" s="16"/>
      <c r="LOP20" s="19"/>
      <c r="LOQ20" s="16"/>
      <c r="LOR20" s="19"/>
      <c r="LOS20" s="16"/>
      <c r="LOT20" s="19"/>
      <c r="LOU20" s="16"/>
      <c r="LOV20" s="19"/>
      <c r="LOW20" s="16"/>
      <c r="LOX20" s="19"/>
      <c r="LOY20" s="16"/>
      <c r="LOZ20" s="19"/>
      <c r="LPA20" s="16"/>
      <c r="LPB20" s="19"/>
      <c r="LPC20" s="16"/>
      <c r="LPD20" s="19"/>
      <c r="LPE20" s="16"/>
      <c r="LPF20" s="19"/>
      <c r="LPG20" s="16"/>
      <c r="LPH20" s="19"/>
      <c r="LPI20" s="16"/>
      <c r="LPJ20" s="19"/>
      <c r="LPK20" s="16"/>
      <c r="LPL20" s="19"/>
      <c r="LPM20" s="16"/>
      <c r="LPN20" s="19"/>
      <c r="LPO20" s="16"/>
      <c r="LPP20" s="19"/>
      <c r="LPQ20" s="16"/>
      <c r="LPR20" s="19"/>
      <c r="LPS20" s="16"/>
      <c r="LPT20" s="19"/>
      <c r="LPU20" s="16"/>
      <c r="LPV20" s="19"/>
      <c r="LPW20" s="16"/>
      <c r="LPX20" s="19"/>
      <c r="LPY20" s="16"/>
      <c r="LPZ20" s="19"/>
      <c r="LQA20" s="16"/>
      <c r="LQB20" s="19"/>
      <c r="LQC20" s="16"/>
      <c r="LQD20" s="19"/>
      <c r="LQE20" s="16"/>
      <c r="LQF20" s="19"/>
      <c r="LQG20" s="16"/>
      <c r="LQH20" s="19"/>
      <c r="LQI20" s="16"/>
      <c r="LQJ20" s="19"/>
      <c r="LQK20" s="16"/>
      <c r="LQL20" s="19"/>
      <c r="LQM20" s="16"/>
      <c r="LQN20" s="19"/>
      <c r="LQO20" s="16"/>
      <c r="LQP20" s="19"/>
      <c r="LQQ20" s="16"/>
      <c r="LQR20" s="19"/>
      <c r="LQS20" s="16"/>
      <c r="LQT20" s="19"/>
      <c r="LQU20" s="16"/>
      <c r="LQV20" s="19"/>
      <c r="LQW20" s="16"/>
      <c r="LQX20" s="19"/>
      <c r="LQY20" s="16"/>
      <c r="LQZ20" s="19"/>
      <c r="LRA20" s="16"/>
      <c r="LRB20" s="19"/>
      <c r="LRC20" s="16"/>
      <c r="LRD20" s="19"/>
      <c r="LRE20" s="16"/>
      <c r="LRF20" s="19"/>
      <c r="LRG20" s="16"/>
      <c r="LRH20" s="19"/>
      <c r="LRI20" s="16"/>
      <c r="LRJ20" s="19"/>
      <c r="LRK20" s="16"/>
      <c r="LRL20" s="19"/>
      <c r="LRM20" s="16"/>
      <c r="LRN20" s="19"/>
      <c r="LRO20" s="16"/>
      <c r="LRP20" s="19"/>
      <c r="LRQ20" s="16"/>
      <c r="LRR20" s="19"/>
      <c r="LRS20" s="16"/>
      <c r="LRT20" s="19"/>
      <c r="LRU20" s="16"/>
      <c r="LRV20" s="19"/>
      <c r="LRW20" s="16"/>
      <c r="LRX20" s="19"/>
      <c r="LRY20" s="16"/>
      <c r="LRZ20" s="19"/>
      <c r="LSA20" s="16"/>
      <c r="LSB20" s="19"/>
      <c r="LSC20" s="16"/>
      <c r="LSD20" s="19"/>
      <c r="LSE20" s="16"/>
      <c r="LSF20" s="19"/>
      <c r="LSG20" s="16"/>
      <c r="LSH20" s="19"/>
      <c r="LSI20" s="16"/>
      <c r="LSJ20" s="19"/>
      <c r="LSK20" s="16"/>
      <c r="LSL20" s="19"/>
      <c r="LSM20" s="16"/>
      <c r="LSN20" s="19"/>
      <c r="LSO20" s="16"/>
      <c r="LSP20" s="19"/>
      <c r="LSQ20" s="16"/>
      <c r="LSR20" s="19"/>
      <c r="LSS20" s="16"/>
      <c r="LST20" s="19"/>
      <c r="LSU20" s="16"/>
      <c r="LSV20" s="19"/>
      <c r="LSW20" s="16"/>
      <c r="LSX20" s="19"/>
      <c r="LSY20" s="16"/>
      <c r="LSZ20" s="19"/>
      <c r="LTA20" s="16"/>
      <c r="LTB20" s="19"/>
      <c r="LTC20" s="16"/>
      <c r="LTD20" s="19"/>
      <c r="LTE20" s="16"/>
      <c r="LTF20" s="19"/>
      <c r="LTG20" s="16"/>
      <c r="LTH20" s="19"/>
      <c r="LTI20" s="16"/>
      <c r="LTJ20" s="19"/>
      <c r="LTK20" s="16"/>
      <c r="LTL20" s="19"/>
      <c r="LTM20" s="16"/>
      <c r="LTN20" s="19"/>
      <c r="LTO20" s="16"/>
      <c r="LTP20" s="19"/>
      <c r="LTQ20" s="16"/>
      <c r="LTR20" s="19"/>
      <c r="LTS20" s="16"/>
      <c r="LTT20" s="19"/>
      <c r="LTU20" s="16"/>
      <c r="LTV20" s="19"/>
      <c r="LTW20" s="16"/>
      <c r="LTX20" s="19"/>
      <c r="LTY20" s="16"/>
      <c r="LTZ20" s="19"/>
      <c r="LUA20" s="16"/>
      <c r="LUB20" s="19"/>
      <c r="LUC20" s="16"/>
      <c r="LUD20" s="19"/>
      <c r="LUE20" s="16"/>
      <c r="LUF20" s="19"/>
      <c r="LUG20" s="16"/>
      <c r="LUH20" s="19"/>
      <c r="LUI20" s="16"/>
      <c r="LUJ20" s="19"/>
      <c r="LUK20" s="16"/>
      <c r="LUL20" s="19"/>
      <c r="LUM20" s="16"/>
      <c r="LUN20" s="19"/>
      <c r="LUO20" s="16"/>
      <c r="LUP20" s="19"/>
      <c r="LUQ20" s="16"/>
      <c r="LUR20" s="19"/>
      <c r="LUS20" s="16"/>
      <c r="LUT20" s="19"/>
      <c r="LUU20" s="16"/>
      <c r="LUV20" s="19"/>
      <c r="LUW20" s="16"/>
      <c r="LUX20" s="19"/>
      <c r="LUY20" s="16"/>
      <c r="LUZ20" s="19"/>
      <c r="LVA20" s="16"/>
      <c r="LVB20" s="19"/>
      <c r="LVC20" s="16"/>
      <c r="LVD20" s="19"/>
      <c r="LVE20" s="16"/>
      <c r="LVF20" s="19"/>
      <c r="LVG20" s="16"/>
      <c r="LVH20" s="19"/>
      <c r="LVI20" s="16"/>
      <c r="LVJ20" s="19"/>
      <c r="LVK20" s="16"/>
      <c r="LVL20" s="19"/>
      <c r="LVM20" s="16"/>
      <c r="LVN20" s="19"/>
      <c r="LVO20" s="16"/>
      <c r="LVP20" s="19"/>
      <c r="LVQ20" s="16"/>
      <c r="LVR20" s="19"/>
      <c r="LVS20" s="16"/>
      <c r="LVT20" s="19"/>
      <c r="LVU20" s="16"/>
      <c r="LVV20" s="19"/>
      <c r="LVW20" s="16"/>
      <c r="LVX20" s="19"/>
      <c r="LVY20" s="16"/>
      <c r="LVZ20" s="19"/>
      <c r="LWA20" s="16"/>
      <c r="LWB20" s="19"/>
      <c r="LWC20" s="16"/>
      <c r="LWD20" s="19"/>
      <c r="LWE20" s="16"/>
      <c r="LWF20" s="19"/>
      <c r="LWG20" s="16"/>
      <c r="LWH20" s="19"/>
      <c r="LWI20" s="16"/>
      <c r="LWJ20" s="19"/>
      <c r="LWK20" s="16"/>
      <c r="LWL20" s="19"/>
      <c r="LWM20" s="16"/>
      <c r="LWN20" s="19"/>
      <c r="LWO20" s="16"/>
      <c r="LWP20" s="19"/>
      <c r="LWQ20" s="16"/>
      <c r="LWR20" s="19"/>
      <c r="LWS20" s="16"/>
      <c r="LWT20" s="19"/>
      <c r="LWU20" s="16"/>
      <c r="LWV20" s="19"/>
      <c r="LWW20" s="16"/>
      <c r="LWX20" s="19"/>
      <c r="LWY20" s="16"/>
      <c r="LWZ20" s="19"/>
      <c r="LXA20" s="16"/>
      <c r="LXB20" s="19"/>
      <c r="LXC20" s="16"/>
      <c r="LXD20" s="19"/>
      <c r="LXE20" s="16"/>
      <c r="LXF20" s="19"/>
      <c r="LXG20" s="16"/>
      <c r="LXH20" s="19"/>
      <c r="LXI20" s="16"/>
      <c r="LXJ20" s="19"/>
      <c r="LXK20" s="16"/>
      <c r="LXL20" s="19"/>
      <c r="LXM20" s="16"/>
      <c r="LXN20" s="19"/>
      <c r="LXO20" s="16"/>
      <c r="LXP20" s="19"/>
      <c r="LXQ20" s="16"/>
      <c r="LXR20" s="19"/>
      <c r="LXS20" s="16"/>
      <c r="LXT20" s="19"/>
      <c r="LXU20" s="16"/>
      <c r="LXV20" s="19"/>
      <c r="LXW20" s="16"/>
      <c r="LXX20" s="19"/>
      <c r="LXY20" s="16"/>
      <c r="LXZ20" s="19"/>
      <c r="LYA20" s="16"/>
      <c r="LYB20" s="19"/>
      <c r="LYC20" s="16"/>
      <c r="LYD20" s="19"/>
      <c r="LYE20" s="16"/>
      <c r="LYF20" s="19"/>
      <c r="LYG20" s="16"/>
      <c r="LYH20" s="19"/>
      <c r="LYI20" s="16"/>
      <c r="LYJ20" s="19"/>
      <c r="LYK20" s="16"/>
      <c r="LYL20" s="19"/>
      <c r="LYM20" s="16"/>
      <c r="LYN20" s="19"/>
      <c r="LYO20" s="16"/>
      <c r="LYP20" s="19"/>
      <c r="LYQ20" s="16"/>
      <c r="LYR20" s="19"/>
      <c r="LYS20" s="16"/>
      <c r="LYT20" s="19"/>
      <c r="LYU20" s="16"/>
      <c r="LYV20" s="19"/>
      <c r="LYW20" s="16"/>
      <c r="LYX20" s="19"/>
      <c r="LYY20" s="16"/>
      <c r="LYZ20" s="19"/>
      <c r="LZA20" s="16"/>
      <c r="LZB20" s="19"/>
      <c r="LZC20" s="16"/>
      <c r="LZD20" s="19"/>
      <c r="LZE20" s="16"/>
      <c r="LZF20" s="19"/>
      <c r="LZG20" s="16"/>
      <c r="LZH20" s="19"/>
      <c r="LZI20" s="16"/>
      <c r="LZJ20" s="19"/>
      <c r="LZK20" s="16"/>
      <c r="LZL20" s="19"/>
      <c r="LZM20" s="16"/>
      <c r="LZN20" s="19"/>
      <c r="LZO20" s="16"/>
      <c r="LZP20" s="19"/>
      <c r="LZQ20" s="16"/>
      <c r="LZR20" s="19"/>
      <c r="LZS20" s="16"/>
      <c r="LZT20" s="19"/>
      <c r="LZU20" s="16"/>
      <c r="LZV20" s="19"/>
      <c r="LZW20" s="16"/>
      <c r="LZX20" s="19"/>
      <c r="LZY20" s="16"/>
      <c r="LZZ20" s="19"/>
      <c r="MAA20" s="16"/>
      <c r="MAB20" s="19"/>
      <c r="MAC20" s="16"/>
      <c r="MAD20" s="19"/>
      <c r="MAE20" s="16"/>
      <c r="MAF20" s="19"/>
      <c r="MAG20" s="16"/>
      <c r="MAH20" s="19"/>
      <c r="MAI20" s="16"/>
      <c r="MAJ20" s="19"/>
      <c r="MAK20" s="16"/>
      <c r="MAL20" s="19"/>
      <c r="MAM20" s="16"/>
      <c r="MAN20" s="19"/>
      <c r="MAO20" s="16"/>
      <c r="MAP20" s="19"/>
      <c r="MAQ20" s="16"/>
      <c r="MAR20" s="19"/>
      <c r="MAS20" s="16"/>
      <c r="MAT20" s="19"/>
      <c r="MAU20" s="16"/>
      <c r="MAV20" s="19"/>
      <c r="MAW20" s="16"/>
      <c r="MAX20" s="19"/>
      <c r="MAY20" s="16"/>
      <c r="MAZ20" s="19"/>
      <c r="MBA20" s="16"/>
      <c r="MBB20" s="19"/>
      <c r="MBC20" s="16"/>
      <c r="MBD20" s="19"/>
      <c r="MBE20" s="16"/>
      <c r="MBF20" s="19"/>
      <c r="MBG20" s="16"/>
      <c r="MBH20" s="19"/>
      <c r="MBI20" s="16"/>
      <c r="MBJ20" s="19"/>
      <c r="MBK20" s="16"/>
      <c r="MBL20" s="19"/>
      <c r="MBM20" s="16"/>
      <c r="MBN20" s="19"/>
      <c r="MBO20" s="16"/>
      <c r="MBP20" s="19"/>
      <c r="MBQ20" s="16"/>
      <c r="MBR20" s="19"/>
      <c r="MBS20" s="16"/>
      <c r="MBT20" s="19"/>
      <c r="MBU20" s="16"/>
      <c r="MBV20" s="19"/>
      <c r="MBW20" s="16"/>
      <c r="MBX20" s="19"/>
      <c r="MBY20" s="16"/>
      <c r="MBZ20" s="19"/>
      <c r="MCA20" s="16"/>
      <c r="MCB20" s="19"/>
      <c r="MCC20" s="16"/>
      <c r="MCD20" s="19"/>
      <c r="MCE20" s="16"/>
      <c r="MCF20" s="19"/>
      <c r="MCG20" s="16"/>
      <c r="MCH20" s="19"/>
      <c r="MCI20" s="16"/>
      <c r="MCJ20" s="19"/>
      <c r="MCK20" s="16"/>
      <c r="MCL20" s="19"/>
      <c r="MCM20" s="16"/>
      <c r="MCN20" s="19"/>
      <c r="MCO20" s="16"/>
      <c r="MCP20" s="19"/>
      <c r="MCQ20" s="16"/>
      <c r="MCR20" s="19"/>
      <c r="MCS20" s="16"/>
      <c r="MCT20" s="19"/>
      <c r="MCU20" s="16"/>
      <c r="MCV20" s="19"/>
      <c r="MCW20" s="16"/>
      <c r="MCX20" s="19"/>
      <c r="MCY20" s="16"/>
      <c r="MCZ20" s="19"/>
      <c r="MDA20" s="16"/>
      <c r="MDB20" s="19"/>
      <c r="MDC20" s="16"/>
      <c r="MDD20" s="19"/>
      <c r="MDE20" s="16"/>
      <c r="MDF20" s="19"/>
      <c r="MDG20" s="16"/>
      <c r="MDH20" s="19"/>
      <c r="MDI20" s="16"/>
      <c r="MDJ20" s="19"/>
      <c r="MDK20" s="16"/>
      <c r="MDL20" s="19"/>
      <c r="MDM20" s="16"/>
      <c r="MDN20" s="19"/>
      <c r="MDO20" s="16"/>
      <c r="MDP20" s="19"/>
      <c r="MDQ20" s="16"/>
      <c r="MDR20" s="19"/>
      <c r="MDS20" s="16"/>
      <c r="MDT20" s="19"/>
      <c r="MDU20" s="16"/>
      <c r="MDV20" s="19"/>
      <c r="MDW20" s="16"/>
      <c r="MDX20" s="19"/>
      <c r="MDY20" s="16"/>
      <c r="MDZ20" s="19"/>
      <c r="MEA20" s="16"/>
      <c r="MEB20" s="19"/>
      <c r="MEC20" s="16"/>
      <c r="MED20" s="19"/>
      <c r="MEE20" s="16"/>
      <c r="MEF20" s="19"/>
      <c r="MEG20" s="16"/>
      <c r="MEH20" s="19"/>
      <c r="MEI20" s="16"/>
      <c r="MEJ20" s="19"/>
      <c r="MEK20" s="16"/>
      <c r="MEL20" s="19"/>
      <c r="MEM20" s="16"/>
      <c r="MEN20" s="19"/>
      <c r="MEO20" s="16"/>
      <c r="MEP20" s="19"/>
      <c r="MEQ20" s="16"/>
      <c r="MER20" s="19"/>
      <c r="MES20" s="16"/>
      <c r="MET20" s="19"/>
      <c r="MEU20" s="16"/>
      <c r="MEV20" s="19"/>
      <c r="MEW20" s="16"/>
      <c r="MEX20" s="19"/>
      <c r="MEY20" s="16"/>
      <c r="MEZ20" s="19"/>
      <c r="MFA20" s="16"/>
      <c r="MFB20" s="19"/>
      <c r="MFC20" s="16"/>
      <c r="MFD20" s="19"/>
      <c r="MFE20" s="16"/>
      <c r="MFF20" s="19"/>
      <c r="MFG20" s="16"/>
      <c r="MFH20" s="19"/>
      <c r="MFI20" s="16"/>
      <c r="MFJ20" s="19"/>
      <c r="MFK20" s="16"/>
      <c r="MFL20" s="19"/>
      <c r="MFM20" s="16"/>
      <c r="MFN20" s="19"/>
      <c r="MFO20" s="16"/>
      <c r="MFP20" s="19"/>
      <c r="MFQ20" s="16"/>
      <c r="MFR20" s="19"/>
      <c r="MFS20" s="16"/>
      <c r="MFT20" s="19"/>
      <c r="MFU20" s="16"/>
      <c r="MFV20" s="19"/>
      <c r="MFW20" s="16"/>
      <c r="MFX20" s="19"/>
      <c r="MFY20" s="16"/>
      <c r="MFZ20" s="19"/>
      <c r="MGA20" s="16"/>
      <c r="MGB20" s="19"/>
      <c r="MGC20" s="16"/>
      <c r="MGD20" s="19"/>
      <c r="MGE20" s="16"/>
      <c r="MGF20" s="19"/>
      <c r="MGG20" s="16"/>
      <c r="MGH20" s="19"/>
      <c r="MGI20" s="16"/>
      <c r="MGJ20" s="19"/>
      <c r="MGK20" s="16"/>
      <c r="MGL20" s="19"/>
      <c r="MGM20" s="16"/>
      <c r="MGN20" s="19"/>
      <c r="MGO20" s="16"/>
      <c r="MGP20" s="19"/>
      <c r="MGQ20" s="16"/>
      <c r="MGR20" s="19"/>
      <c r="MGS20" s="16"/>
      <c r="MGT20" s="19"/>
      <c r="MGU20" s="16"/>
      <c r="MGV20" s="19"/>
      <c r="MGW20" s="16"/>
      <c r="MGX20" s="19"/>
      <c r="MGY20" s="16"/>
      <c r="MGZ20" s="19"/>
      <c r="MHA20" s="16"/>
      <c r="MHB20" s="19"/>
      <c r="MHC20" s="16"/>
      <c r="MHD20" s="19"/>
      <c r="MHE20" s="16"/>
      <c r="MHF20" s="19"/>
      <c r="MHG20" s="16"/>
      <c r="MHH20" s="19"/>
      <c r="MHI20" s="16"/>
      <c r="MHJ20" s="19"/>
      <c r="MHK20" s="16"/>
      <c r="MHL20" s="19"/>
      <c r="MHM20" s="16"/>
      <c r="MHN20" s="19"/>
      <c r="MHO20" s="16"/>
      <c r="MHP20" s="19"/>
      <c r="MHQ20" s="16"/>
      <c r="MHR20" s="19"/>
      <c r="MHS20" s="16"/>
      <c r="MHT20" s="19"/>
      <c r="MHU20" s="16"/>
      <c r="MHV20" s="19"/>
      <c r="MHW20" s="16"/>
      <c r="MHX20" s="19"/>
      <c r="MHY20" s="16"/>
      <c r="MHZ20" s="19"/>
      <c r="MIA20" s="16"/>
      <c r="MIB20" s="19"/>
      <c r="MIC20" s="16"/>
      <c r="MID20" s="19"/>
      <c r="MIE20" s="16"/>
      <c r="MIF20" s="19"/>
      <c r="MIG20" s="16"/>
      <c r="MIH20" s="19"/>
      <c r="MII20" s="16"/>
      <c r="MIJ20" s="19"/>
      <c r="MIK20" s="16"/>
      <c r="MIL20" s="19"/>
      <c r="MIM20" s="16"/>
      <c r="MIN20" s="19"/>
      <c r="MIO20" s="16"/>
      <c r="MIP20" s="19"/>
      <c r="MIQ20" s="16"/>
      <c r="MIR20" s="19"/>
      <c r="MIS20" s="16"/>
      <c r="MIT20" s="19"/>
      <c r="MIU20" s="16"/>
      <c r="MIV20" s="19"/>
      <c r="MIW20" s="16"/>
      <c r="MIX20" s="19"/>
      <c r="MIY20" s="16"/>
      <c r="MIZ20" s="19"/>
      <c r="MJA20" s="16"/>
      <c r="MJB20" s="19"/>
      <c r="MJC20" s="16"/>
      <c r="MJD20" s="19"/>
      <c r="MJE20" s="16"/>
      <c r="MJF20" s="19"/>
      <c r="MJG20" s="16"/>
      <c r="MJH20" s="19"/>
      <c r="MJI20" s="16"/>
      <c r="MJJ20" s="19"/>
      <c r="MJK20" s="16"/>
      <c r="MJL20" s="19"/>
      <c r="MJM20" s="16"/>
      <c r="MJN20" s="19"/>
      <c r="MJO20" s="16"/>
      <c r="MJP20" s="19"/>
      <c r="MJQ20" s="16"/>
      <c r="MJR20" s="19"/>
      <c r="MJS20" s="16"/>
      <c r="MJT20" s="19"/>
      <c r="MJU20" s="16"/>
      <c r="MJV20" s="19"/>
      <c r="MJW20" s="16"/>
      <c r="MJX20" s="19"/>
      <c r="MJY20" s="16"/>
      <c r="MJZ20" s="19"/>
      <c r="MKA20" s="16"/>
      <c r="MKB20" s="19"/>
      <c r="MKC20" s="16"/>
      <c r="MKD20" s="19"/>
      <c r="MKE20" s="16"/>
      <c r="MKF20" s="19"/>
      <c r="MKG20" s="16"/>
      <c r="MKH20" s="19"/>
      <c r="MKI20" s="16"/>
      <c r="MKJ20" s="19"/>
      <c r="MKK20" s="16"/>
      <c r="MKL20" s="19"/>
      <c r="MKM20" s="16"/>
      <c r="MKN20" s="19"/>
      <c r="MKO20" s="16"/>
      <c r="MKP20" s="19"/>
      <c r="MKQ20" s="16"/>
      <c r="MKR20" s="19"/>
      <c r="MKS20" s="16"/>
      <c r="MKT20" s="19"/>
      <c r="MKU20" s="16"/>
      <c r="MKV20" s="19"/>
      <c r="MKW20" s="16"/>
      <c r="MKX20" s="19"/>
      <c r="MKY20" s="16"/>
      <c r="MKZ20" s="19"/>
      <c r="MLA20" s="16"/>
      <c r="MLB20" s="19"/>
      <c r="MLC20" s="16"/>
      <c r="MLD20" s="19"/>
      <c r="MLE20" s="16"/>
      <c r="MLF20" s="19"/>
      <c r="MLG20" s="16"/>
      <c r="MLH20" s="19"/>
      <c r="MLI20" s="16"/>
      <c r="MLJ20" s="19"/>
      <c r="MLK20" s="16"/>
      <c r="MLL20" s="19"/>
      <c r="MLM20" s="16"/>
      <c r="MLN20" s="19"/>
      <c r="MLO20" s="16"/>
      <c r="MLP20" s="19"/>
      <c r="MLQ20" s="16"/>
      <c r="MLR20" s="19"/>
      <c r="MLS20" s="16"/>
      <c r="MLT20" s="19"/>
      <c r="MLU20" s="16"/>
      <c r="MLV20" s="19"/>
      <c r="MLW20" s="16"/>
      <c r="MLX20" s="19"/>
      <c r="MLY20" s="16"/>
      <c r="MLZ20" s="19"/>
      <c r="MMA20" s="16"/>
      <c r="MMB20" s="19"/>
      <c r="MMC20" s="16"/>
      <c r="MMD20" s="19"/>
      <c r="MME20" s="16"/>
      <c r="MMF20" s="19"/>
      <c r="MMG20" s="16"/>
      <c r="MMH20" s="19"/>
      <c r="MMI20" s="16"/>
      <c r="MMJ20" s="19"/>
      <c r="MMK20" s="16"/>
      <c r="MML20" s="19"/>
      <c r="MMM20" s="16"/>
      <c r="MMN20" s="19"/>
      <c r="MMO20" s="16"/>
      <c r="MMP20" s="19"/>
      <c r="MMQ20" s="16"/>
      <c r="MMR20" s="19"/>
      <c r="MMS20" s="16"/>
      <c r="MMT20" s="19"/>
      <c r="MMU20" s="16"/>
      <c r="MMV20" s="19"/>
      <c r="MMW20" s="16"/>
      <c r="MMX20" s="19"/>
      <c r="MMY20" s="16"/>
      <c r="MMZ20" s="19"/>
      <c r="MNA20" s="16"/>
      <c r="MNB20" s="19"/>
      <c r="MNC20" s="16"/>
      <c r="MND20" s="19"/>
      <c r="MNE20" s="16"/>
      <c r="MNF20" s="19"/>
      <c r="MNG20" s="16"/>
      <c r="MNH20" s="19"/>
      <c r="MNI20" s="16"/>
      <c r="MNJ20" s="19"/>
      <c r="MNK20" s="16"/>
      <c r="MNL20" s="19"/>
      <c r="MNM20" s="16"/>
      <c r="MNN20" s="19"/>
      <c r="MNO20" s="16"/>
      <c r="MNP20" s="19"/>
      <c r="MNQ20" s="16"/>
      <c r="MNR20" s="19"/>
      <c r="MNS20" s="16"/>
      <c r="MNT20" s="19"/>
      <c r="MNU20" s="16"/>
      <c r="MNV20" s="19"/>
      <c r="MNW20" s="16"/>
      <c r="MNX20" s="19"/>
      <c r="MNY20" s="16"/>
      <c r="MNZ20" s="19"/>
      <c r="MOA20" s="16"/>
      <c r="MOB20" s="19"/>
      <c r="MOC20" s="16"/>
      <c r="MOD20" s="19"/>
      <c r="MOE20" s="16"/>
      <c r="MOF20" s="19"/>
      <c r="MOG20" s="16"/>
      <c r="MOH20" s="19"/>
      <c r="MOI20" s="16"/>
      <c r="MOJ20" s="19"/>
      <c r="MOK20" s="16"/>
      <c r="MOL20" s="19"/>
      <c r="MOM20" s="16"/>
      <c r="MON20" s="19"/>
      <c r="MOO20" s="16"/>
      <c r="MOP20" s="19"/>
      <c r="MOQ20" s="16"/>
      <c r="MOR20" s="19"/>
      <c r="MOS20" s="16"/>
      <c r="MOT20" s="19"/>
      <c r="MOU20" s="16"/>
      <c r="MOV20" s="19"/>
      <c r="MOW20" s="16"/>
      <c r="MOX20" s="19"/>
      <c r="MOY20" s="16"/>
      <c r="MOZ20" s="19"/>
      <c r="MPA20" s="16"/>
      <c r="MPB20" s="19"/>
      <c r="MPC20" s="16"/>
      <c r="MPD20" s="19"/>
      <c r="MPE20" s="16"/>
      <c r="MPF20" s="19"/>
      <c r="MPG20" s="16"/>
      <c r="MPH20" s="19"/>
      <c r="MPI20" s="16"/>
      <c r="MPJ20" s="19"/>
      <c r="MPK20" s="16"/>
      <c r="MPL20" s="19"/>
      <c r="MPM20" s="16"/>
      <c r="MPN20" s="19"/>
      <c r="MPO20" s="16"/>
      <c r="MPP20" s="19"/>
      <c r="MPQ20" s="16"/>
      <c r="MPR20" s="19"/>
      <c r="MPS20" s="16"/>
      <c r="MPT20" s="19"/>
      <c r="MPU20" s="16"/>
      <c r="MPV20" s="19"/>
      <c r="MPW20" s="16"/>
      <c r="MPX20" s="19"/>
      <c r="MPY20" s="16"/>
      <c r="MPZ20" s="19"/>
      <c r="MQA20" s="16"/>
      <c r="MQB20" s="19"/>
      <c r="MQC20" s="16"/>
      <c r="MQD20" s="19"/>
      <c r="MQE20" s="16"/>
      <c r="MQF20" s="19"/>
      <c r="MQG20" s="16"/>
      <c r="MQH20" s="19"/>
      <c r="MQI20" s="16"/>
      <c r="MQJ20" s="19"/>
      <c r="MQK20" s="16"/>
      <c r="MQL20" s="19"/>
      <c r="MQM20" s="16"/>
      <c r="MQN20" s="19"/>
      <c r="MQO20" s="16"/>
      <c r="MQP20" s="19"/>
      <c r="MQQ20" s="16"/>
      <c r="MQR20" s="19"/>
      <c r="MQS20" s="16"/>
      <c r="MQT20" s="19"/>
      <c r="MQU20" s="16"/>
      <c r="MQV20" s="19"/>
      <c r="MQW20" s="16"/>
      <c r="MQX20" s="19"/>
      <c r="MQY20" s="16"/>
      <c r="MQZ20" s="19"/>
      <c r="MRA20" s="16"/>
      <c r="MRB20" s="19"/>
      <c r="MRC20" s="16"/>
      <c r="MRD20" s="19"/>
      <c r="MRE20" s="16"/>
      <c r="MRF20" s="19"/>
      <c r="MRG20" s="16"/>
      <c r="MRH20" s="19"/>
      <c r="MRI20" s="16"/>
      <c r="MRJ20" s="19"/>
      <c r="MRK20" s="16"/>
      <c r="MRL20" s="19"/>
      <c r="MRM20" s="16"/>
      <c r="MRN20" s="19"/>
      <c r="MRO20" s="16"/>
      <c r="MRP20" s="19"/>
      <c r="MRQ20" s="16"/>
      <c r="MRR20" s="19"/>
      <c r="MRS20" s="16"/>
      <c r="MRT20" s="19"/>
      <c r="MRU20" s="16"/>
      <c r="MRV20" s="19"/>
      <c r="MRW20" s="16"/>
      <c r="MRX20" s="19"/>
      <c r="MRY20" s="16"/>
      <c r="MRZ20" s="19"/>
      <c r="MSA20" s="16"/>
      <c r="MSB20" s="19"/>
      <c r="MSC20" s="16"/>
      <c r="MSD20" s="19"/>
      <c r="MSE20" s="16"/>
      <c r="MSF20" s="19"/>
      <c r="MSG20" s="16"/>
      <c r="MSH20" s="19"/>
      <c r="MSI20" s="16"/>
      <c r="MSJ20" s="19"/>
      <c r="MSK20" s="16"/>
      <c r="MSL20" s="19"/>
      <c r="MSM20" s="16"/>
      <c r="MSN20" s="19"/>
      <c r="MSO20" s="16"/>
      <c r="MSP20" s="19"/>
      <c r="MSQ20" s="16"/>
      <c r="MSR20" s="19"/>
      <c r="MSS20" s="16"/>
      <c r="MST20" s="19"/>
      <c r="MSU20" s="16"/>
      <c r="MSV20" s="19"/>
      <c r="MSW20" s="16"/>
      <c r="MSX20" s="19"/>
      <c r="MSY20" s="16"/>
      <c r="MSZ20" s="19"/>
      <c r="MTA20" s="16"/>
      <c r="MTB20" s="19"/>
      <c r="MTC20" s="16"/>
      <c r="MTD20" s="19"/>
      <c r="MTE20" s="16"/>
      <c r="MTF20" s="19"/>
      <c r="MTG20" s="16"/>
      <c r="MTH20" s="19"/>
      <c r="MTI20" s="16"/>
      <c r="MTJ20" s="19"/>
      <c r="MTK20" s="16"/>
      <c r="MTL20" s="19"/>
      <c r="MTM20" s="16"/>
      <c r="MTN20" s="19"/>
      <c r="MTO20" s="16"/>
      <c r="MTP20" s="19"/>
      <c r="MTQ20" s="16"/>
      <c r="MTR20" s="19"/>
      <c r="MTS20" s="16"/>
      <c r="MTT20" s="19"/>
      <c r="MTU20" s="16"/>
      <c r="MTV20" s="19"/>
      <c r="MTW20" s="16"/>
      <c r="MTX20" s="19"/>
      <c r="MTY20" s="16"/>
      <c r="MTZ20" s="19"/>
      <c r="MUA20" s="16"/>
      <c r="MUB20" s="19"/>
      <c r="MUC20" s="16"/>
      <c r="MUD20" s="19"/>
      <c r="MUE20" s="16"/>
      <c r="MUF20" s="19"/>
      <c r="MUG20" s="16"/>
      <c r="MUH20" s="19"/>
      <c r="MUI20" s="16"/>
      <c r="MUJ20" s="19"/>
      <c r="MUK20" s="16"/>
      <c r="MUL20" s="19"/>
      <c r="MUM20" s="16"/>
      <c r="MUN20" s="19"/>
      <c r="MUO20" s="16"/>
      <c r="MUP20" s="19"/>
      <c r="MUQ20" s="16"/>
      <c r="MUR20" s="19"/>
      <c r="MUS20" s="16"/>
      <c r="MUT20" s="19"/>
      <c r="MUU20" s="16"/>
      <c r="MUV20" s="19"/>
      <c r="MUW20" s="16"/>
      <c r="MUX20" s="19"/>
      <c r="MUY20" s="16"/>
      <c r="MUZ20" s="19"/>
      <c r="MVA20" s="16"/>
      <c r="MVB20" s="19"/>
      <c r="MVC20" s="16"/>
      <c r="MVD20" s="19"/>
      <c r="MVE20" s="16"/>
      <c r="MVF20" s="19"/>
      <c r="MVG20" s="16"/>
      <c r="MVH20" s="19"/>
      <c r="MVI20" s="16"/>
      <c r="MVJ20" s="19"/>
      <c r="MVK20" s="16"/>
      <c r="MVL20" s="19"/>
      <c r="MVM20" s="16"/>
      <c r="MVN20" s="19"/>
      <c r="MVO20" s="16"/>
      <c r="MVP20" s="19"/>
      <c r="MVQ20" s="16"/>
      <c r="MVR20" s="19"/>
      <c r="MVS20" s="16"/>
      <c r="MVT20" s="19"/>
      <c r="MVU20" s="16"/>
      <c r="MVV20" s="19"/>
      <c r="MVW20" s="16"/>
      <c r="MVX20" s="19"/>
      <c r="MVY20" s="16"/>
      <c r="MVZ20" s="19"/>
      <c r="MWA20" s="16"/>
      <c r="MWB20" s="19"/>
      <c r="MWC20" s="16"/>
      <c r="MWD20" s="19"/>
      <c r="MWE20" s="16"/>
      <c r="MWF20" s="19"/>
      <c r="MWG20" s="16"/>
      <c r="MWH20" s="19"/>
      <c r="MWI20" s="16"/>
      <c r="MWJ20" s="19"/>
      <c r="MWK20" s="16"/>
      <c r="MWL20" s="19"/>
      <c r="MWM20" s="16"/>
      <c r="MWN20" s="19"/>
      <c r="MWO20" s="16"/>
      <c r="MWP20" s="19"/>
      <c r="MWQ20" s="16"/>
      <c r="MWR20" s="19"/>
      <c r="MWS20" s="16"/>
      <c r="MWT20" s="19"/>
      <c r="MWU20" s="16"/>
      <c r="MWV20" s="19"/>
      <c r="MWW20" s="16"/>
      <c r="MWX20" s="19"/>
      <c r="MWY20" s="16"/>
      <c r="MWZ20" s="19"/>
      <c r="MXA20" s="16"/>
      <c r="MXB20" s="19"/>
      <c r="MXC20" s="16"/>
      <c r="MXD20" s="19"/>
      <c r="MXE20" s="16"/>
      <c r="MXF20" s="19"/>
      <c r="MXG20" s="16"/>
      <c r="MXH20" s="19"/>
      <c r="MXI20" s="16"/>
      <c r="MXJ20" s="19"/>
      <c r="MXK20" s="16"/>
      <c r="MXL20" s="19"/>
      <c r="MXM20" s="16"/>
      <c r="MXN20" s="19"/>
      <c r="MXO20" s="16"/>
      <c r="MXP20" s="19"/>
      <c r="MXQ20" s="16"/>
      <c r="MXR20" s="19"/>
      <c r="MXS20" s="16"/>
      <c r="MXT20" s="19"/>
      <c r="MXU20" s="16"/>
      <c r="MXV20" s="19"/>
      <c r="MXW20" s="16"/>
      <c r="MXX20" s="19"/>
      <c r="MXY20" s="16"/>
      <c r="MXZ20" s="19"/>
      <c r="MYA20" s="16"/>
      <c r="MYB20" s="19"/>
      <c r="MYC20" s="16"/>
      <c r="MYD20" s="19"/>
      <c r="MYE20" s="16"/>
      <c r="MYF20" s="19"/>
      <c r="MYG20" s="16"/>
      <c r="MYH20" s="19"/>
      <c r="MYI20" s="16"/>
      <c r="MYJ20" s="19"/>
      <c r="MYK20" s="16"/>
      <c r="MYL20" s="19"/>
      <c r="MYM20" s="16"/>
      <c r="MYN20" s="19"/>
      <c r="MYO20" s="16"/>
      <c r="MYP20" s="19"/>
      <c r="MYQ20" s="16"/>
      <c r="MYR20" s="19"/>
      <c r="MYS20" s="16"/>
      <c r="MYT20" s="19"/>
      <c r="MYU20" s="16"/>
      <c r="MYV20" s="19"/>
      <c r="MYW20" s="16"/>
      <c r="MYX20" s="19"/>
      <c r="MYY20" s="16"/>
      <c r="MYZ20" s="19"/>
      <c r="MZA20" s="16"/>
      <c r="MZB20" s="19"/>
      <c r="MZC20" s="16"/>
      <c r="MZD20" s="19"/>
      <c r="MZE20" s="16"/>
      <c r="MZF20" s="19"/>
      <c r="MZG20" s="16"/>
      <c r="MZH20" s="19"/>
      <c r="MZI20" s="16"/>
      <c r="MZJ20" s="19"/>
      <c r="MZK20" s="16"/>
      <c r="MZL20" s="19"/>
      <c r="MZM20" s="16"/>
      <c r="MZN20" s="19"/>
      <c r="MZO20" s="16"/>
      <c r="MZP20" s="19"/>
      <c r="MZQ20" s="16"/>
      <c r="MZR20" s="19"/>
      <c r="MZS20" s="16"/>
      <c r="MZT20" s="19"/>
      <c r="MZU20" s="16"/>
      <c r="MZV20" s="19"/>
      <c r="MZW20" s="16"/>
      <c r="MZX20" s="19"/>
      <c r="MZY20" s="16"/>
      <c r="MZZ20" s="19"/>
      <c r="NAA20" s="16"/>
      <c r="NAB20" s="19"/>
      <c r="NAC20" s="16"/>
      <c r="NAD20" s="19"/>
      <c r="NAE20" s="16"/>
      <c r="NAF20" s="19"/>
      <c r="NAG20" s="16"/>
      <c r="NAH20" s="19"/>
      <c r="NAI20" s="16"/>
      <c r="NAJ20" s="19"/>
      <c r="NAK20" s="16"/>
      <c r="NAL20" s="19"/>
      <c r="NAM20" s="16"/>
      <c r="NAN20" s="19"/>
      <c r="NAO20" s="16"/>
      <c r="NAP20" s="19"/>
      <c r="NAQ20" s="16"/>
      <c r="NAR20" s="19"/>
      <c r="NAS20" s="16"/>
      <c r="NAT20" s="19"/>
      <c r="NAU20" s="16"/>
      <c r="NAV20" s="19"/>
      <c r="NAW20" s="16"/>
      <c r="NAX20" s="19"/>
      <c r="NAY20" s="16"/>
      <c r="NAZ20" s="19"/>
      <c r="NBA20" s="16"/>
      <c r="NBB20" s="19"/>
      <c r="NBC20" s="16"/>
      <c r="NBD20" s="19"/>
      <c r="NBE20" s="16"/>
      <c r="NBF20" s="19"/>
      <c r="NBG20" s="16"/>
      <c r="NBH20" s="19"/>
      <c r="NBI20" s="16"/>
      <c r="NBJ20" s="19"/>
      <c r="NBK20" s="16"/>
      <c r="NBL20" s="19"/>
      <c r="NBM20" s="16"/>
      <c r="NBN20" s="19"/>
      <c r="NBO20" s="16"/>
      <c r="NBP20" s="19"/>
      <c r="NBQ20" s="16"/>
      <c r="NBR20" s="19"/>
      <c r="NBS20" s="16"/>
      <c r="NBT20" s="19"/>
      <c r="NBU20" s="16"/>
      <c r="NBV20" s="19"/>
      <c r="NBW20" s="16"/>
      <c r="NBX20" s="19"/>
      <c r="NBY20" s="16"/>
      <c r="NBZ20" s="19"/>
      <c r="NCA20" s="16"/>
      <c r="NCB20" s="19"/>
      <c r="NCC20" s="16"/>
      <c r="NCD20" s="19"/>
      <c r="NCE20" s="16"/>
      <c r="NCF20" s="19"/>
      <c r="NCG20" s="16"/>
      <c r="NCH20" s="19"/>
      <c r="NCI20" s="16"/>
      <c r="NCJ20" s="19"/>
      <c r="NCK20" s="16"/>
      <c r="NCL20" s="19"/>
      <c r="NCM20" s="16"/>
      <c r="NCN20" s="19"/>
      <c r="NCO20" s="16"/>
      <c r="NCP20" s="19"/>
      <c r="NCQ20" s="16"/>
      <c r="NCR20" s="19"/>
      <c r="NCS20" s="16"/>
      <c r="NCT20" s="19"/>
      <c r="NCU20" s="16"/>
      <c r="NCV20" s="19"/>
      <c r="NCW20" s="16"/>
      <c r="NCX20" s="19"/>
      <c r="NCY20" s="16"/>
      <c r="NCZ20" s="19"/>
      <c r="NDA20" s="16"/>
      <c r="NDB20" s="19"/>
      <c r="NDC20" s="16"/>
      <c r="NDD20" s="19"/>
      <c r="NDE20" s="16"/>
      <c r="NDF20" s="19"/>
      <c r="NDG20" s="16"/>
      <c r="NDH20" s="19"/>
      <c r="NDI20" s="16"/>
      <c r="NDJ20" s="19"/>
      <c r="NDK20" s="16"/>
      <c r="NDL20" s="19"/>
      <c r="NDM20" s="16"/>
      <c r="NDN20" s="19"/>
      <c r="NDO20" s="16"/>
      <c r="NDP20" s="19"/>
      <c r="NDQ20" s="16"/>
      <c r="NDR20" s="19"/>
      <c r="NDS20" s="16"/>
      <c r="NDT20" s="19"/>
      <c r="NDU20" s="16"/>
      <c r="NDV20" s="19"/>
      <c r="NDW20" s="16"/>
      <c r="NDX20" s="19"/>
      <c r="NDY20" s="16"/>
      <c r="NDZ20" s="19"/>
      <c r="NEA20" s="16"/>
      <c r="NEB20" s="19"/>
      <c r="NEC20" s="16"/>
      <c r="NED20" s="19"/>
      <c r="NEE20" s="16"/>
      <c r="NEF20" s="19"/>
      <c r="NEG20" s="16"/>
      <c r="NEH20" s="19"/>
      <c r="NEI20" s="16"/>
      <c r="NEJ20" s="19"/>
      <c r="NEK20" s="16"/>
      <c r="NEL20" s="19"/>
      <c r="NEM20" s="16"/>
      <c r="NEN20" s="19"/>
      <c r="NEO20" s="16"/>
      <c r="NEP20" s="19"/>
      <c r="NEQ20" s="16"/>
      <c r="NER20" s="19"/>
      <c r="NES20" s="16"/>
      <c r="NET20" s="19"/>
      <c r="NEU20" s="16"/>
      <c r="NEV20" s="19"/>
      <c r="NEW20" s="16"/>
      <c r="NEX20" s="19"/>
      <c r="NEY20" s="16"/>
      <c r="NEZ20" s="19"/>
      <c r="NFA20" s="16"/>
      <c r="NFB20" s="19"/>
      <c r="NFC20" s="16"/>
      <c r="NFD20" s="19"/>
      <c r="NFE20" s="16"/>
      <c r="NFF20" s="19"/>
      <c r="NFG20" s="16"/>
      <c r="NFH20" s="19"/>
      <c r="NFI20" s="16"/>
      <c r="NFJ20" s="19"/>
      <c r="NFK20" s="16"/>
      <c r="NFL20" s="19"/>
      <c r="NFM20" s="16"/>
      <c r="NFN20" s="19"/>
      <c r="NFO20" s="16"/>
      <c r="NFP20" s="19"/>
      <c r="NFQ20" s="16"/>
      <c r="NFR20" s="19"/>
      <c r="NFS20" s="16"/>
      <c r="NFT20" s="19"/>
      <c r="NFU20" s="16"/>
      <c r="NFV20" s="19"/>
      <c r="NFW20" s="16"/>
      <c r="NFX20" s="19"/>
      <c r="NFY20" s="16"/>
      <c r="NFZ20" s="19"/>
      <c r="NGA20" s="16"/>
      <c r="NGB20" s="19"/>
      <c r="NGC20" s="16"/>
      <c r="NGD20" s="19"/>
      <c r="NGE20" s="16"/>
      <c r="NGF20" s="19"/>
      <c r="NGG20" s="16"/>
      <c r="NGH20" s="19"/>
      <c r="NGI20" s="16"/>
      <c r="NGJ20" s="19"/>
      <c r="NGK20" s="16"/>
      <c r="NGL20" s="19"/>
      <c r="NGM20" s="16"/>
      <c r="NGN20" s="19"/>
      <c r="NGO20" s="16"/>
      <c r="NGP20" s="19"/>
      <c r="NGQ20" s="16"/>
      <c r="NGR20" s="19"/>
      <c r="NGS20" s="16"/>
      <c r="NGT20" s="19"/>
      <c r="NGU20" s="16"/>
      <c r="NGV20" s="19"/>
      <c r="NGW20" s="16"/>
      <c r="NGX20" s="19"/>
      <c r="NGY20" s="16"/>
      <c r="NGZ20" s="19"/>
      <c r="NHA20" s="16"/>
      <c r="NHB20" s="19"/>
      <c r="NHC20" s="16"/>
      <c r="NHD20" s="19"/>
      <c r="NHE20" s="16"/>
      <c r="NHF20" s="19"/>
      <c r="NHG20" s="16"/>
      <c r="NHH20" s="19"/>
      <c r="NHI20" s="16"/>
      <c r="NHJ20" s="19"/>
      <c r="NHK20" s="16"/>
      <c r="NHL20" s="19"/>
      <c r="NHM20" s="16"/>
      <c r="NHN20" s="19"/>
      <c r="NHO20" s="16"/>
      <c r="NHP20" s="19"/>
      <c r="NHQ20" s="16"/>
      <c r="NHR20" s="19"/>
      <c r="NHS20" s="16"/>
      <c r="NHT20" s="19"/>
      <c r="NHU20" s="16"/>
      <c r="NHV20" s="19"/>
      <c r="NHW20" s="16"/>
      <c r="NHX20" s="19"/>
      <c r="NHY20" s="16"/>
      <c r="NHZ20" s="19"/>
      <c r="NIA20" s="16"/>
      <c r="NIB20" s="19"/>
      <c r="NIC20" s="16"/>
      <c r="NID20" s="19"/>
      <c r="NIE20" s="16"/>
      <c r="NIF20" s="19"/>
      <c r="NIG20" s="16"/>
      <c r="NIH20" s="19"/>
      <c r="NII20" s="16"/>
      <c r="NIJ20" s="19"/>
      <c r="NIK20" s="16"/>
      <c r="NIL20" s="19"/>
      <c r="NIM20" s="16"/>
      <c r="NIN20" s="19"/>
      <c r="NIO20" s="16"/>
      <c r="NIP20" s="19"/>
      <c r="NIQ20" s="16"/>
      <c r="NIR20" s="19"/>
      <c r="NIS20" s="16"/>
      <c r="NIT20" s="19"/>
      <c r="NIU20" s="16"/>
      <c r="NIV20" s="19"/>
      <c r="NIW20" s="16"/>
      <c r="NIX20" s="19"/>
      <c r="NIY20" s="16"/>
      <c r="NIZ20" s="19"/>
      <c r="NJA20" s="16"/>
      <c r="NJB20" s="19"/>
      <c r="NJC20" s="16"/>
      <c r="NJD20" s="19"/>
      <c r="NJE20" s="16"/>
      <c r="NJF20" s="19"/>
      <c r="NJG20" s="16"/>
      <c r="NJH20" s="19"/>
      <c r="NJI20" s="16"/>
      <c r="NJJ20" s="19"/>
      <c r="NJK20" s="16"/>
      <c r="NJL20" s="19"/>
      <c r="NJM20" s="16"/>
      <c r="NJN20" s="19"/>
      <c r="NJO20" s="16"/>
      <c r="NJP20" s="19"/>
      <c r="NJQ20" s="16"/>
      <c r="NJR20" s="19"/>
      <c r="NJS20" s="16"/>
      <c r="NJT20" s="19"/>
      <c r="NJU20" s="16"/>
      <c r="NJV20" s="19"/>
      <c r="NJW20" s="16"/>
      <c r="NJX20" s="19"/>
      <c r="NJY20" s="16"/>
      <c r="NJZ20" s="19"/>
      <c r="NKA20" s="16"/>
      <c r="NKB20" s="19"/>
      <c r="NKC20" s="16"/>
      <c r="NKD20" s="19"/>
      <c r="NKE20" s="16"/>
      <c r="NKF20" s="19"/>
      <c r="NKG20" s="16"/>
      <c r="NKH20" s="19"/>
      <c r="NKI20" s="16"/>
      <c r="NKJ20" s="19"/>
      <c r="NKK20" s="16"/>
      <c r="NKL20" s="19"/>
      <c r="NKM20" s="16"/>
      <c r="NKN20" s="19"/>
      <c r="NKO20" s="16"/>
      <c r="NKP20" s="19"/>
      <c r="NKQ20" s="16"/>
      <c r="NKR20" s="19"/>
      <c r="NKS20" s="16"/>
      <c r="NKT20" s="19"/>
      <c r="NKU20" s="16"/>
      <c r="NKV20" s="19"/>
      <c r="NKW20" s="16"/>
      <c r="NKX20" s="19"/>
      <c r="NKY20" s="16"/>
      <c r="NKZ20" s="19"/>
      <c r="NLA20" s="16"/>
      <c r="NLB20" s="19"/>
      <c r="NLC20" s="16"/>
      <c r="NLD20" s="19"/>
      <c r="NLE20" s="16"/>
      <c r="NLF20" s="19"/>
      <c r="NLG20" s="16"/>
      <c r="NLH20" s="19"/>
      <c r="NLI20" s="16"/>
      <c r="NLJ20" s="19"/>
      <c r="NLK20" s="16"/>
      <c r="NLL20" s="19"/>
      <c r="NLM20" s="16"/>
      <c r="NLN20" s="19"/>
      <c r="NLO20" s="16"/>
      <c r="NLP20" s="19"/>
      <c r="NLQ20" s="16"/>
      <c r="NLR20" s="19"/>
      <c r="NLS20" s="16"/>
      <c r="NLT20" s="19"/>
      <c r="NLU20" s="16"/>
      <c r="NLV20" s="19"/>
      <c r="NLW20" s="16"/>
      <c r="NLX20" s="19"/>
      <c r="NLY20" s="16"/>
      <c r="NLZ20" s="19"/>
      <c r="NMA20" s="16"/>
      <c r="NMB20" s="19"/>
      <c r="NMC20" s="16"/>
      <c r="NMD20" s="19"/>
      <c r="NME20" s="16"/>
      <c r="NMF20" s="19"/>
      <c r="NMG20" s="16"/>
      <c r="NMH20" s="19"/>
      <c r="NMI20" s="16"/>
      <c r="NMJ20" s="19"/>
      <c r="NMK20" s="16"/>
      <c r="NML20" s="19"/>
      <c r="NMM20" s="16"/>
      <c r="NMN20" s="19"/>
      <c r="NMO20" s="16"/>
      <c r="NMP20" s="19"/>
      <c r="NMQ20" s="16"/>
      <c r="NMR20" s="19"/>
      <c r="NMS20" s="16"/>
      <c r="NMT20" s="19"/>
      <c r="NMU20" s="16"/>
      <c r="NMV20" s="19"/>
      <c r="NMW20" s="16"/>
      <c r="NMX20" s="19"/>
      <c r="NMY20" s="16"/>
      <c r="NMZ20" s="19"/>
      <c r="NNA20" s="16"/>
      <c r="NNB20" s="19"/>
      <c r="NNC20" s="16"/>
      <c r="NND20" s="19"/>
      <c r="NNE20" s="16"/>
      <c r="NNF20" s="19"/>
      <c r="NNG20" s="16"/>
      <c r="NNH20" s="19"/>
      <c r="NNI20" s="16"/>
      <c r="NNJ20" s="19"/>
      <c r="NNK20" s="16"/>
      <c r="NNL20" s="19"/>
      <c r="NNM20" s="16"/>
      <c r="NNN20" s="19"/>
      <c r="NNO20" s="16"/>
      <c r="NNP20" s="19"/>
      <c r="NNQ20" s="16"/>
      <c r="NNR20" s="19"/>
      <c r="NNS20" s="16"/>
      <c r="NNT20" s="19"/>
      <c r="NNU20" s="16"/>
      <c r="NNV20" s="19"/>
      <c r="NNW20" s="16"/>
      <c r="NNX20" s="19"/>
      <c r="NNY20" s="16"/>
      <c r="NNZ20" s="19"/>
      <c r="NOA20" s="16"/>
      <c r="NOB20" s="19"/>
      <c r="NOC20" s="16"/>
      <c r="NOD20" s="19"/>
      <c r="NOE20" s="16"/>
      <c r="NOF20" s="19"/>
      <c r="NOG20" s="16"/>
      <c r="NOH20" s="19"/>
      <c r="NOI20" s="16"/>
      <c r="NOJ20" s="19"/>
      <c r="NOK20" s="16"/>
      <c r="NOL20" s="19"/>
      <c r="NOM20" s="16"/>
      <c r="NON20" s="19"/>
      <c r="NOO20" s="16"/>
      <c r="NOP20" s="19"/>
      <c r="NOQ20" s="16"/>
      <c r="NOR20" s="19"/>
      <c r="NOS20" s="16"/>
      <c r="NOT20" s="19"/>
      <c r="NOU20" s="16"/>
      <c r="NOV20" s="19"/>
      <c r="NOW20" s="16"/>
      <c r="NOX20" s="19"/>
      <c r="NOY20" s="16"/>
      <c r="NOZ20" s="19"/>
      <c r="NPA20" s="16"/>
      <c r="NPB20" s="19"/>
      <c r="NPC20" s="16"/>
      <c r="NPD20" s="19"/>
      <c r="NPE20" s="16"/>
      <c r="NPF20" s="19"/>
      <c r="NPG20" s="16"/>
      <c r="NPH20" s="19"/>
      <c r="NPI20" s="16"/>
      <c r="NPJ20" s="19"/>
      <c r="NPK20" s="16"/>
      <c r="NPL20" s="19"/>
      <c r="NPM20" s="16"/>
      <c r="NPN20" s="19"/>
      <c r="NPO20" s="16"/>
      <c r="NPP20" s="19"/>
      <c r="NPQ20" s="16"/>
      <c r="NPR20" s="19"/>
      <c r="NPS20" s="16"/>
      <c r="NPT20" s="19"/>
      <c r="NPU20" s="16"/>
      <c r="NPV20" s="19"/>
      <c r="NPW20" s="16"/>
      <c r="NPX20" s="19"/>
      <c r="NPY20" s="16"/>
      <c r="NPZ20" s="19"/>
      <c r="NQA20" s="16"/>
      <c r="NQB20" s="19"/>
      <c r="NQC20" s="16"/>
      <c r="NQD20" s="19"/>
      <c r="NQE20" s="16"/>
      <c r="NQF20" s="19"/>
      <c r="NQG20" s="16"/>
      <c r="NQH20" s="19"/>
      <c r="NQI20" s="16"/>
      <c r="NQJ20" s="19"/>
      <c r="NQK20" s="16"/>
      <c r="NQL20" s="19"/>
      <c r="NQM20" s="16"/>
      <c r="NQN20" s="19"/>
      <c r="NQO20" s="16"/>
      <c r="NQP20" s="19"/>
      <c r="NQQ20" s="16"/>
      <c r="NQR20" s="19"/>
      <c r="NQS20" s="16"/>
      <c r="NQT20" s="19"/>
      <c r="NQU20" s="16"/>
      <c r="NQV20" s="19"/>
      <c r="NQW20" s="16"/>
      <c r="NQX20" s="19"/>
      <c r="NQY20" s="16"/>
      <c r="NQZ20" s="19"/>
      <c r="NRA20" s="16"/>
      <c r="NRB20" s="19"/>
      <c r="NRC20" s="16"/>
      <c r="NRD20" s="19"/>
      <c r="NRE20" s="16"/>
      <c r="NRF20" s="19"/>
      <c r="NRG20" s="16"/>
      <c r="NRH20" s="19"/>
      <c r="NRI20" s="16"/>
      <c r="NRJ20" s="19"/>
      <c r="NRK20" s="16"/>
      <c r="NRL20" s="19"/>
      <c r="NRM20" s="16"/>
      <c r="NRN20" s="19"/>
      <c r="NRO20" s="16"/>
      <c r="NRP20" s="19"/>
      <c r="NRQ20" s="16"/>
      <c r="NRR20" s="19"/>
      <c r="NRS20" s="16"/>
      <c r="NRT20" s="19"/>
      <c r="NRU20" s="16"/>
      <c r="NRV20" s="19"/>
      <c r="NRW20" s="16"/>
      <c r="NRX20" s="19"/>
      <c r="NRY20" s="16"/>
      <c r="NRZ20" s="19"/>
      <c r="NSA20" s="16"/>
      <c r="NSB20" s="19"/>
      <c r="NSC20" s="16"/>
      <c r="NSD20" s="19"/>
      <c r="NSE20" s="16"/>
      <c r="NSF20" s="19"/>
      <c r="NSG20" s="16"/>
      <c r="NSH20" s="19"/>
      <c r="NSI20" s="16"/>
      <c r="NSJ20" s="19"/>
      <c r="NSK20" s="16"/>
      <c r="NSL20" s="19"/>
      <c r="NSM20" s="16"/>
      <c r="NSN20" s="19"/>
      <c r="NSO20" s="16"/>
      <c r="NSP20" s="19"/>
      <c r="NSQ20" s="16"/>
      <c r="NSR20" s="19"/>
      <c r="NSS20" s="16"/>
      <c r="NST20" s="19"/>
      <c r="NSU20" s="16"/>
      <c r="NSV20" s="19"/>
      <c r="NSW20" s="16"/>
      <c r="NSX20" s="19"/>
      <c r="NSY20" s="16"/>
      <c r="NSZ20" s="19"/>
      <c r="NTA20" s="16"/>
      <c r="NTB20" s="19"/>
      <c r="NTC20" s="16"/>
      <c r="NTD20" s="19"/>
      <c r="NTE20" s="16"/>
      <c r="NTF20" s="19"/>
      <c r="NTG20" s="16"/>
      <c r="NTH20" s="19"/>
      <c r="NTI20" s="16"/>
      <c r="NTJ20" s="19"/>
      <c r="NTK20" s="16"/>
      <c r="NTL20" s="19"/>
      <c r="NTM20" s="16"/>
      <c r="NTN20" s="19"/>
      <c r="NTO20" s="16"/>
      <c r="NTP20" s="19"/>
      <c r="NTQ20" s="16"/>
      <c r="NTR20" s="19"/>
      <c r="NTS20" s="16"/>
      <c r="NTT20" s="19"/>
      <c r="NTU20" s="16"/>
      <c r="NTV20" s="19"/>
      <c r="NTW20" s="16"/>
      <c r="NTX20" s="19"/>
      <c r="NTY20" s="16"/>
      <c r="NTZ20" s="19"/>
      <c r="NUA20" s="16"/>
      <c r="NUB20" s="19"/>
      <c r="NUC20" s="16"/>
      <c r="NUD20" s="19"/>
      <c r="NUE20" s="16"/>
      <c r="NUF20" s="19"/>
      <c r="NUG20" s="16"/>
      <c r="NUH20" s="19"/>
      <c r="NUI20" s="16"/>
      <c r="NUJ20" s="19"/>
      <c r="NUK20" s="16"/>
      <c r="NUL20" s="19"/>
      <c r="NUM20" s="16"/>
      <c r="NUN20" s="19"/>
      <c r="NUO20" s="16"/>
      <c r="NUP20" s="19"/>
      <c r="NUQ20" s="16"/>
      <c r="NUR20" s="19"/>
      <c r="NUS20" s="16"/>
      <c r="NUT20" s="19"/>
      <c r="NUU20" s="16"/>
      <c r="NUV20" s="19"/>
      <c r="NUW20" s="16"/>
      <c r="NUX20" s="19"/>
      <c r="NUY20" s="16"/>
      <c r="NUZ20" s="19"/>
      <c r="NVA20" s="16"/>
      <c r="NVB20" s="19"/>
      <c r="NVC20" s="16"/>
      <c r="NVD20" s="19"/>
      <c r="NVE20" s="16"/>
      <c r="NVF20" s="19"/>
      <c r="NVG20" s="16"/>
      <c r="NVH20" s="19"/>
      <c r="NVI20" s="16"/>
      <c r="NVJ20" s="19"/>
      <c r="NVK20" s="16"/>
      <c r="NVL20" s="19"/>
      <c r="NVM20" s="16"/>
      <c r="NVN20" s="19"/>
      <c r="NVO20" s="16"/>
      <c r="NVP20" s="19"/>
      <c r="NVQ20" s="16"/>
      <c r="NVR20" s="19"/>
      <c r="NVS20" s="16"/>
      <c r="NVT20" s="19"/>
      <c r="NVU20" s="16"/>
      <c r="NVV20" s="19"/>
      <c r="NVW20" s="16"/>
      <c r="NVX20" s="19"/>
      <c r="NVY20" s="16"/>
      <c r="NVZ20" s="19"/>
      <c r="NWA20" s="16"/>
      <c r="NWB20" s="19"/>
      <c r="NWC20" s="16"/>
      <c r="NWD20" s="19"/>
      <c r="NWE20" s="16"/>
      <c r="NWF20" s="19"/>
      <c r="NWG20" s="16"/>
      <c r="NWH20" s="19"/>
      <c r="NWI20" s="16"/>
      <c r="NWJ20" s="19"/>
      <c r="NWK20" s="16"/>
      <c r="NWL20" s="19"/>
      <c r="NWM20" s="16"/>
      <c r="NWN20" s="19"/>
      <c r="NWO20" s="16"/>
      <c r="NWP20" s="19"/>
      <c r="NWQ20" s="16"/>
      <c r="NWR20" s="19"/>
      <c r="NWS20" s="16"/>
      <c r="NWT20" s="19"/>
      <c r="NWU20" s="16"/>
      <c r="NWV20" s="19"/>
      <c r="NWW20" s="16"/>
      <c r="NWX20" s="19"/>
      <c r="NWY20" s="16"/>
      <c r="NWZ20" s="19"/>
      <c r="NXA20" s="16"/>
      <c r="NXB20" s="19"/>
      <c r="NXC20" s="16"/>
      <c r="NXD20" s="19"/>
      <c r="NXE20" s="16"/>
      <c r="NXF20" s="19"/>
      <c r="NXG20" s="16"/>
      <c r="NXH20" s="19"/>
      <c r="NXI20" s="16"/>
      <c r="NXJ20" s="19"/>
      <c r="NXK20" s="16"/>
      <c r="NXL20" s="19"/>
      <c r="NXM20" s="16"/>
      <c r="NXN20" s="19"/>
      <c r="NXO20" s="16"/>
      <c r="NXP20" s="19"/>
      <c r="NXQ20" s="16"/>
      <c r="NXR20" s="19"/>
      <c r="NXS20" s="16"/>
      <c r="NXT20" s="19"/>
      <c r="NXU20" s="16"/>
      <c r="NXV20" s="19"/>
      <c r="NXW20" s="16"/>
      <c r="NXX20" s="19"/>
      <c r="NXY20" s="16"/>
      <c r="NXZ20" s="19"/>
      <c r="NYA20" s="16"/>
      <c r="NYB20" s="19"/>
      <c r="NYC20" s="16"/>
      <c r="NYD20" s="19"/>
      <c r="NYE20" s="16"/>
      <c r="NYF20" s="19"/>
      <c r="NYG20" s="16"/>
      <c r="NYH20" s="19"/>
      <c r="NYI20" s="16"/>
      <c r="NYJ20" s="19"/>
      <c r="NYK20" s="16"/>
      <c r="NYL20" s="19"/>
      <c r="NYM20" s="16"/>
      <c r="NYN20" s="19"/>
      <c r="NYO20" s="16"/>
      <c r="NYP20" s="19"/>
      <c r="NYQ20" s="16"/>
      <c r="NYR20" s="19"/>
      <c r="NYS20" s="16"/>
      <c r="NYT20" s="19"/>
      <c r="NYU20" s="16"/>
      <c r="NYV20" s="19"/>
      <c r="NYW20" s="16"/>
      <c r="NYX20" s="19"/>
      <c r="NYY20" s="16"/>
      <c r="NYZ20" s="19"/>
      <c r="NZA20" s="16"/>
      <c r="NZB20" s="19"/>
      <c r="NZC20" s="16"/>
      <c r="NZD20" s="19"/>
      <c r="NZE20" s="16"/>
      <c r="NZF20" s="19"/>
      <c r="NZG20" s="16"/>
      <c r="NZH20" s="19"/>
      <c r="NZI20" s="16"/>
      <c r="NZJ20" s="19"/>
      <c r="NZK20" s="16"/>
      <c r="NZL20" s="19"/>
      <c r="NZM20" s="16"/>
      <c r="NZN20" s="19"/>
      <c r="NZO20" s="16"/>
      <c r="NZP20" s="19"/>
      <c r="NZQ20" s="16"/>
      <c r="NZR20" s="19"/>
      <c r="NZS20" s="16"/>
      <c r="NZT20" s="19"/>
      <c r="NZU20" s="16"/>
      <c r="NZV20" s="19"/>
      <c r="NZW20" s="16"/>
      <c r="NZX20" s="19"/>
      <c r="NZY20" s="16"/>
      <c r="NZZ20" s="19"/>
      <c r="OAA20" s="16"/>
      <c r="OAB20" s="19"/>
      <c r="OAC20" s="16"/>
      <c r="OAD20" s="19"/>
      <c r="OAE20" s="16"/>
      <c r="OAF20" s="19"/>
      <c r="OAG20" s="16"/>
      <c r="OAH20" s="19"/>
      <c r="OAI20" s="16"/>
      <c r="OAJ20" s="19"/>
      <c r="OAK20" s="16"/>
      <c r="OAL20" s="19"/>
      <c r="OAM20" s="16"/>
      <c r="OAN20" s="19"/>
      <c r="OAO20" s="16"/>
      <c r="OAP20" s="19"/>
      <c r="OAQ20" s="16"/>
      <c r="OAR20" s="19"/>
      <c r="OAS20" s="16"/>
      <c r="OAT20" s="19"/>
      <c r="OAU20" s="16"/>
      <c r="OAV20" s="19"/>
      <c r="OAW20" s="16"/>
      <c r="OAX20" s="19"/>
      <c r="OAY20" s="16"/>
      <c r="OAZ20" s="19"/>
      <c r="OBA20" s="16"/>
      <c r="OBB20" s="19"/>
      <c r="OBC20" s="16"/>
      <c r="OBD20" s="19"/>
      <c r="OBE20" s="16"/>
      <c r="OBF20" s="19"/>
      <c r="OBG20" s="16"/>
      <c r="OBH20" s="19"/>
      <c r="OBI20" s="16"/>
      <c r="OBJ20" s="19"/>
      <c r="OBK20" s="16"/>
      <c r="OBL20" s="19"/>
      <c r="OBM20" s="16"/>
      <c r="OBN20" s="19"/>
      <c r="OBO20" s="16"/>
      <c r="OBP20" s="19"/>
      <c r="OBQ20" s="16"/>
      <c r="OBR20" s="19"/>
      <c r="OBS20" s="16"/>
      <c r="OBT20" s="19"/>
      <c r="OBU20" s="16"/>
      <c r="OBV20" s="19"/>
      <c r="OBW20" s="16"/>
      <c r="OBX20" s="19"/>
      <c r="OBY20" s="16"/>
      <c r="OBZ20" s="19"/>
      <c r="OCA20" s="16"/>
      <c r="OCB20" s="19"/>
      <c r="OCC20" s="16"/>
      <c r="OCD20" s="19"/>
      <c r="OCE20" s="16"/>
      <c r="OCF20" s="19"/>
      <c r="OCG20" s="16"/>
      <c r="OCH20" s="19"/>
      <c r="OCI20" s="16"/>
      <c r="OCJ20" s="19"/>
      <c r="OCK20" s="16"/>
      <c r="OCL20" s="19"/>
      <c r="OCM20" s="16"/>
      <c r="OCN20" s="19"/>
      <c r="OCO20" s="16"/>
      <c r="OCP20" s="19"/>
      <c r="OCQ20" s="16"/>
      <c r="OCR20" s="19"/>
      <c r="OCS20" s="16"/>
      <c r="OCT20" s="19"/>
      <c r="OCU20" s="16"/>
      <c r="OCV20" s="19"/>
      <c r="OCW20" s="16"/>
      <c r="OCX20" s="19"/>
      <c r="OCY20" s="16"/>
      <c r="OCZ20" s="19"/>
      <c r="ODA20" s="16"/>
      <c r="ODB20" s="19"/>
      <c r="ODC20" s="16"/>
      <c r="ODD20" s="19"/>
      <c r="ODE20" s="16"/>
      <c r="ODF20" s="19"/>
      <c r="ODG20" s="16"/>
      <c r="ODH20" s="19"/>
      <c r="ODI20" s="16"/>
      <c r="ODJ20" s="19"/>
      <c r="ODK20" s="16"/>
      <c r="ODL20" s="19"/>
      <c r="ODM20" s="16"/>
      <c r="ODN20" s="19"/>
      <c r="ODO20" s="16"/>
      <c r="ODP20" s="19"/>
      <c r="ODQ20" s="16"/>
      <c r="ODR20" s="19"/>
      <c r="ODS20" s="16"/>
      <c r="ODT20" s="19"/>
      <c r="ODU20" s="16"/>
      <c r="ODV20" s="19"/>
      <c r="ODW20" s="16"/>
      <c r="ODX20" s="19"/>
      <c r="ODY20" s="16"/>
      <c r="ODZ20" s="19"/>
      <c r="OEA20" s="16"/>
      <c r="OEB20" s="19"/>
      <c r="OEC20" s="16"/>
      <c r="OED20" s="19"/>
      <c r="OEE20" s="16"/>
      <c r="OEF20" s="19"/>
      <c r="OEG20" s="16"/>
      <c r="OEH20" s="19"/>
      <c r="OEI20" s="16"/>
      <c r="OEJ20" s="19"/>
      <c r="OEK20" s="16"/>
      <c r="OEL20" s="19"/>
      <c r="OEM20" s="16"/>
      <c r="OEN20" s="19"/>
      <c r="OEO20" s="16"/>
      <c r="OEP20" s="19"/>
      <c r="OEQ20" s="16"/>
      <c r="OER20" s="19"/>
      <c r="OES20" s="16"/>
      <c r="OET20" s="19"/>
      <c r="OEU20" s="16"/>
      <c r="OEV20" s="19"/>
      <c r="OEW20" s="16"/>
      <c r="OEX20" s="19"/>
      <c r="OEY20" s="16"/>
      <c r="OEZ20" s="19"/>
      <c r="OFA20" s="16"/>
      <c r="OFB20" s="19"/>
      <c r="OFC20" s="16"/>
      <c r="OFD20" s="19"/>
      <c r="OFE20" s="16"/>
      <c r="OFF20" s="19"/>
      <c r="OFG20" s="16"/>
      <c r="OFH20" s="19"/>
      <c r="OFI20" s="16"/>
      <c r="OFJ20" s="19"/>
      <c r="OFK20" s="16"/>
      <c r="OFL20" s="19"/>
      <c r="OFM20" s="16"/>
      <c r="OFN20" s="19"/>
      <c r="OFO20" s="16"/>
      <c r="OFP20" s="19"/>
      <c r="OFQ20" s="16"/>
      <c r="OFR20" s="19"/>
      <c r="OFS20" s="16"/>
      <c r="OFT20" s="19"/>
      <c r="OFU20" s="16"/>
      <c r="OFV20" s="19"/>
      <c r="OFW20" s="16"/>
      <c r="OFX20" s="19"/>
      <c r="OFY20" s="16"/>
      <c r="OFZ20" s="19"/>
      <c r="OGA20" s="16"/>
      <c r="OGB20" s="19"/>
      <c r="OGC20" s="16"/>
      <c r="OGD20" s="19"/>
      <c r="OGE20" s="16"/>
      <c r="OGF20" s="19"/>
      <c r="OGG20" s="16"/>
      <c r="OGH20" s="19"/>
      <c r="OGI20" s="16"/>
      <c r="OGJ20" s="19"/>
      <c r="OGK20" s="16"/>
      <c r="OGL20" s="19"/>
      <c r="OGM20" s="16"/>
      <c r="OGN20" s="19"/>
      <c r="OGO20" s="16"/>
      <c r="OGP20" s="19"/>
      <c r="OGQ20" s="16"/>
      <c r="OGR20" s="19"/>
      <c r="OGS20" s="16"/>
      <c r="OGT20" s="19"/>
      <c r="OGU20" s="16"/>
      <c r="OGV20" s="19"/>
      <c r="OGW20" s="16"/>
      <c r="OGX20" s="19"/>
      <c r="OGY20" s="16"/>
      <c r="OGZ20" s="19"/>
      <c r="OHA20" s="16"/>
      <c r="OHB20" s="19"/>
      <c r="OHC20" s="16"/>
      <c r="OHD20" s="19"/>
      <c r="OHE20" s="16"/>
      <c r="OHF20" s="19"/>
      <c r="OHG20" s="16"/>
      <c r="OHH20" s="19"/>
      <c r="OHI20" s="16"/>
      <c r="OHJ20" s="19"/>
      <c r="OHK20" s="16"/>
      <c r="OHL20" s="19"/>
      <c r="OHM20" s="16"/>
      <c r="OHN20" s="19"/>
      <c r="OHO20" s="16"/>
      <c r="OHP20" s="19"/>
      <c r="OHQ20" s="16"/>
      <c r="OHR20" s="19"/>
      <c r="OHS20" s="16"/>
      <c r="OHT20" s="19"/>
      <c r="OHU20" s="16"/>
      <c r="OHV20" s="19"/>
      <c r="OHW20" s="16"/>
      <c r="OHX20" s="19"/>
      <c r="OHY20" s="16"/>
      <c r="OHZ20" s="19"/>
      <c r="OIA20" s="16"/>
      <c r="OIB20" s="19"/>
      <c r="OIC20" s="16"/>
      <c r="OID20" s="19"/>
      <c r="OIE20" s="16"/>
      <c r="OIF20" s="19"/>
      <c r="OIG20" s="16"/>
      <c r="OIH20" s="19"/>
      <c r="OII20" s="16"/>
      <c r="OIJ20" s="19"/>
      <c r="OIK20" s="16"/>
      <c r="OIL20" s="19"/>
      <c r="OIM20" s="16"/>
      <c r="OIN20" s="19"/>
      <c r="OIO20" s="16"/>
      <c r="OIP20" s="19"/>
      <c r="OIQ20" s="16"/>
      <c r="OIR20" s="19"/>
      <c r="OIS20" s="16"/>
      <c r="OIT20" s="19"/>
      <c r="OIU20" s="16"/>
      <c r="OIV20" s="19"/>
      <c r="OIW20" s="16"/>
      <c r="OIX20" s="19"/>
      <c r="OIY20" s="16"/>
      <c r="OIZ20" s="19"/>
      <c r="OJA20" s="16"/>
      <c r="OJB20" s="19"/>
      <c r="OJC20" s="16"/>
      <c r="OJD20" s="19"/>
      <c r="OJE20" s="16"/>
      <c r="OJF20" s="19"/>
      <c r="OJG20" s="16"/>
      <c r="OJH20" s="19"/>
      <c r="OJI20" s="16"/>
      <c r="OJJ20" s="19"/>
      <c r="OJK20" s="16"/>
      <c r="OJL20" s="19"/>
      <c r="OJM20" s="16"/>
      <c r="OJN20" s="19"/>
      <c r="OJO20" s="16"/>
      <c r="OJP20" s="19"/>
      <c r="OJQ20" s="16"/>
      <c r="OJR20" s="19"/>
      <c r="OJS20" s="16"/>
      <c r="OJT20" s="19"/>
      <c r="OJU20" s="16"/>
      <c r="OJV20" s="19"/>
      <c r="OJW20" s="16"/>
      <c r="OJX20" s="19"/>
      <c r="OJY20" s="16"/>
      <c r="OJZ20" s="19"/>
      <c r="OKA20" s="16"/>
      <c r="OKB20" s="19"/>
      <c r="OKC20" s="16"/>
      <c r="OKD20" s="19"/>
      <c r="OKE20" s="16"/>
      <c r="OKF20" s="19"/>
      <c r="OKG20" s="16"/>
      <c r="OKH20" s="19"/>
      <c r="OKI20" s="16"/>
      <c r="OKJ20" s="19"/>
      <c r="OKK20" s="16"/>
      <c r="OKL20" s="19"/>
      <c r="OKM20" s="16"/>
      <c r="OKN20" s="19"/>
      <c r="OKO20" s="16"/>
      <c r="OKP20" s="19"/>
      <c r="OKQ20" s="16"/>
      <c r="OKR20" s="19"/>
      <c r="OKS20" s="16"/>
      <c r="OKT20" s="19"/>
      <c r="OKU20" s="16"/>
      <c r="OKV20" s="19"/>
      <c r="OKW20" s="16"/>
      <c r="OKX20" s="19"/>
      <c r="OKY20" s="16"/>
      <c r="OKZ20" s="19"/>
      <c r="OLA20" s="16"/>
      <c r="OLB20" s="19"/>
      <c r="OLC20" s="16"/>
      <c r="OLD20" s="19"/>
      <c r="OLE20" s="16"/>
      <c r="OLF20" s="19"/>
      <c r="OLG20" s="16"/>
      <c r="OLH20" s="19"/>
      <c r="OLI20" s="16"/>
      <c r="OLJ20" s="19"/>
      <c r="OLK20" s="16"/>
      <c r="OLL20" s="19"/>
      <c r="OLM20" s="16"/>
      <c r="OLN20" s="19"/>
      <c r="OLO20" s="16"/>
      <c r="OLP20" s="19"/>
      <c r="OLQ20" s="16"/>
      <c r="OLR20" s="19"/>
      <c r="OLS20" s="16"/>
      <c r="OLT20" s="19"/>
      <c r="OLU20" s="16"/>
      <c r="OLV20" s="19"/>
      <c r="OLW20" s="16"/>
      <c r="OLX20" s="19"/>
      <c r="OLY20" s="16"/>
      <c r="OLZ20" s="19"/>
      <c r="OMA20" s="16"/>
      <c r="OMB20" s="19"/>
      <c r="OMC20" s="16"/>
      <c r="OMD20" s="19"/>
      <c r="OME20" s="16"/>
      <c r="OMF20" s="19"/>
      <c r="OMG20" s="16"/>
      <c r="OMH20" s="19"/>
      <c r="OMI20" s="16"/>
      <c r="OMJ20" s="19"/>
      <c r="OMK20" s="16"/>
      <c r="OML20" s="19"/>
      <c r="OMM20" s="16"/>
      <c r="OMN20" s="19"/>
      <c r="OMO20" s="16"/>
      <c r="OMP20" s="19"/>
      <c r="OMQ20" s="16"/>
      <c r="OMR20" s="19"/>
      <c r="OMS20" s="16"/>
      <c r="OMT20" s="19"/>
      <c r="OMU20" s="16"/>
      <c r="OMV20" s="19"/>
      <c r="OMW20" s="16"/>
      <c r="OMX20" s="19"/>
      <c r="OMY20" s="16"/>
      <c r="OMZ20" s="19"/>
      <c r="ONA20" s="16"/>
      <c r="ONB20" s="19"/>
      <c r="ONC20" s="16"/>
      <c r="OND20" s="19"/>
      <c r="ONE20" s="16"/>
      <c r="ONF20" s="19"/>
      <c r="ONG20" s="16"/>
      <c r="ONH20" s="19"/>
      <c r="ONI20" s="16"/>
      <c r="ONJ20" s="19"/>
      <c r="ONK20" s="16"/>
      <c r="ONL20" s="19"/>
      <c r="ONM20" s="16"/>
      <c r="ONN20" s="19"/>
      <c r="ONO20" s="16"/>
      <c r="ONP20" s="19"/>
      <c r="ONQ20" s="16"/>
      <c r="ONR20" s="19"/>
      <c r="ONS20" s="16"/>
      <c r="ONT20" s="19"/>
      <c r="ONU20" s="16"/>
      <c r="ONV20" s="19"/>
      <c r="ONW20" s="16"/>
      <c r="ONX20" s="19"/>
      <c r="ONY20" s="16"/>
      <c r="ONZ20" s="19"/>
      <c r="OOA20" s="16"/>
      <c r="OOB20" s="19"/>
      <c r="OOC20" s="16"/>
      <c r="OOD20" s="19"/>
      <c r="OOE20" s="16"/>
      <c r="OOF20" s="19"/>
      <c r="OOG20" s="16"/>
      <c r="OOH20" s="19"/>
      <c r="OOI20" s="16"/>
      <c r="OOJ20" s="19"/>
      <c r="OOK20" s="16"/>
      <c r="OOL20" s="19"/>
      <c r="OOM20" s="16"/>
      <c r="OON20" s="19"/>
      <c r="OOO20" s="16"/>
      <c r="OOP20" s="19"/>
      <c r="OOQ20" s="16"/>
      <c r="OOR20" s="19"/>
      <c r="OOS20" s="16"/>
      <c r="OOT20" s="19"/>
      <c r="OOU20" s="16"/>
      <c r="OOV20" s="19"/>
      <c r="OOW20" s="16"/>
      <c r="OOX20" s="19"/>
      <c r="OOY20" s="16"/>
      <c r="OOZ20" s="19"/>
      <c r="OPA20" s="16"/>
      <c r="OPB20" s="19"/>
      <c r="OPC20" s="16"/>
      <c r="OPD20" s="19"/>
      <c r="OPE20" s="16"/>
      <c r="OPF20" s="19"/>
      <c r="OPG20" s="16"/>
      <c r="OPH20" s="19"/>
      <c r="OPI20" s="16"/>
      <c r="OPJ20" s="19"/>
      <c r="OPK20" s="16"/>
      <c r="OPL20" s="19"/>
      <c r="OPM20" s="16"/>
      <c r="OPN20" s="19"/>
      <c r="OPO20" s="16"/>
      <c r="OPP20" s="19"/>
      <c r="OPQ20" s="16"/>
      <c r="OPR20" s="19"/>
      <c r="OPS20" s="16"/>
      <c r="OPT20" s="19"/>
      <c r="OPU20" s="16"/>
      <c r="OPV20" s="19"/>
      <c r="OPW20" s="16"/>
      <c r="OPX20" s="19"/>
      <c r="OPY20" s="16"/>
      <c r="OPZ20" s="19"/>
      <c r="OQA20" s="16"/>
      <c r="OQB20" s="19"/>
      <c r="OQC20" s="16"/>
      <c r="OQD20" s="19"/>
      <c r="OQE20" s="16"/>
      <c r="OQF20" s="19"/>
      <c r="OQG20" s="16"/>
      <c r="OQH20" s="19"/>
      <c r="OQI20" s="16"/>
      <c r="OQJ20" s="19"/>
      <c r="OQK20" s="16"/>
      <c r="OQL20" s="19"/>
      <c r="OQM20" s="16"/>
      <c r="OQN20" s="19"/>
      <c r="OQO20" s="16"/>
      <c r="OQP20" s="19"/>
      <c r="OQQ20" s="16"/>
      <c r="OQR20" s="19"/>
      <c r="OQS20" s="16"/>
      <c r="OQT20" s="19"/>
      <c r="OQU20" s="16"/>
      <c r="OQV20" s="19"/>
      <c r="OQW20" s="16"/>
      <c r="OQX20" s="19"/>
      <c r="OQY20" s="16"/>
      <c r="OQZ20" s="19"/>
      <c r="ORA20" s="16"/>
      <c r="ORB20" s="19"/>
      <c r="ORC20" s="16"/>
      <c r="ORD20" s="19"/>
      <c r="ORE20" s="16"/>
      <c r="ORF20" s="19"/>
      <c r="ORG20" s="16"/>
      <c r="ORH20" s="19"/>
      <c r="ORI20" s="16"/>
      <c r="ORJ20" s="19"/>
      <c r="ORK20" s="16"/>
      <c r="ORL20" s="19"/>
      <c r="ORM20" s="16"/>
      <c r="ORN20" s="19"/>
      <c r="ORO20" s="16"/>
      <c r="ORP20" s="19"/>
      <c r="ORQ20" s="16"/>
      <c r="ORR20" s="19"/>
      <c r="ORS20" s="16"/>
      <c r="ORT20" s="19"/>
      <c r="ORU20" s="16"/>
      <c r="ORV20" s="19"/>
      <c r="ORW20" s="16"/>
      <c r="ORX20" s="19"/>
      <c r="ORY20" s="16"/>
      <c r="ORZ20" s="19"/>
      <c r="OSA20" s="16"/>
      <c r="OSB20" s="19"/>
      <c r="OSC20" s="16"/>
      <c r="OSD20" s="19"/>
      <c r="OSE20" s="16"/>
      <c r="OSF20" s="19"/>
      <c r="OSG20" s="16"/>
      <c r="OSH20" s="19"/>
      <c r="OSI20" s="16"/>
      <c r="OSJ20" s="19"/>
      <c r="OSK20" s="16"/>
      <c r="OSL20" s="19"/>
      <c r="OSM20" s="16"/>
      <c r="OSN20" s="19"/>
      <c r="OSO20" s="16"/>
      <c r="OSP20" s="19"/>
      <c r="OSQ20" s="16"/>
      <c r="OSR20" s="19"/>
      <c r="OSS20" s="16"/>
      <c r="OST20" s="19"/>
      <c r="OSU20" s="16"/>
      <c r="OSV20" s="19"/>
      <c r="OSW20" s="16"/>
      <c r="OSX20" s="19"/>
      <c r="OSY20" s="16"/>
      <c r="OSZ20" s="19"/>
      <c r="OTA20" s="16"/>
      <c r="OTB20" s="19"/>
      <c r="OTC20" s="16"/>
      <c r="OTD20" s="19"/>
      <c r="OTE20" s="16"/>
      <c r="OTF20" s="19"/>
      <c r="OTG20" s="16"/>
      <c r="OTH20" s="19"/>
      <c r="OTI20" s="16"/>
      <c r="OTJ20" s="19"/>
      <c r="OTK20" s="16"/>
      <c r="OTL20" s="19"/>
      <c r="OTM20" s="16"/>
      <c r="OTN20" s="19"/>
      <c r="OTO20" s="16"/>
      <c r="OTP20" s="19"/>
      <c r="OTQ20" s="16"/>
      <c r="OTR20" s="19"/>
      <c r="OTS20" s="16"/>
      <c r="OTT20" s="19"/>
      <c r="OTU20" s="16"/>
      <c r="OTV20" s="19"/>
      <c r="OTW20" s="16"/>
      <c r="OTX20" s="19"/>
      <c r="OTY20" s="16"/>
      <c r="OTZ20" s="19"/>
      <c r="OUA20" s="16"/>
      <c r="OUB20" s="19"/>
      <c r="OUC20" s="16"/>
      <c r="OUD20" s="19"/>
      <c r="OUE20" s="16"/>
      <c r="OUF20" s="19"/>
      <c r="OUG20" s="16"/>
      <c r="OUH20" s="19"/>
      <c r="OUI20" s="16"/>
      <c r="OUJ20" s="19"/>
      <c r="OUK20" s="16"/>
      <c r="OUL20" s="19"/>
      <c r="OUM20" s="16"/>
      <c r="OUN20" s="19"/>
      <c r="OUO20" s="16"/>
      <c r="OUP20" s="19"/>
      <c r="OUQ20" s="16"/>
      <c r="OUR20" s="19"/>
      <c r="OUS20" s="16"/>
      <c r="OUT20" s="19"/>
      <c r="OUU20" s="16"/>
      <c r="OUV20" s="19"/>
      <c r="OUW20" s="16"/>
      <c r="OUX20" s="19"/>
      <c r="OUY20" s="16"/>
      <c r="OUZ20" s="19"/>
      <c r="OVA20" s="16"/>
      <c r="OVB20" s="19"/>
      <c r="OVC20" s="16"/>
      <c r="OVD20" s="19"/>
      <c r="OVE20" s="16"/>
      <c r="OVF20" s="19"/>
      <c r="OVG20" s="16"/>
      <c r="OVH20" s="19"/>
      <c r="OVI20" s="16"/>
      <c r="OVJ20" s="19"/>
      <c r="OVK20" s="16"/>
      <c r="OVL20" s="19"/>
      <c r="OVM20" s="16"/>
      <c r="OVN20" s="19"/>
      <c r="OVO20" s="16"/>
      <c r="OVP20" s="19"/>
      <c r="OVQ20" s="16"/>
      <c r="OVR20" s="19"/>
      <c r="OVS20" s="16"/>
      <c r="OVT20" s="19"/>
      <c r="OVU20" s="16"/>
      <c r="OVV20" s="19"/>
      <c r="OVW20" s="16"/>
      <c r="OVX20" s="19"/>
      <c r="OVY20" s="16"/>
      <c r="OVZ20" s="19"/>
      <c r="OWA20" s="16"/>
      <c r="OWB20" s="19"/>
      <c r="OWC20" s="16"/>
      <c r="OWD20" s="19"/>
      <c r="OWE20" s="16"/>
      <c r="OWF20" s="19"/>
      <c r="OWG20" s="16"/>
      <c r="OWH20" s="19"/>
      <c r="OWI20" s="16"/>
      <c r="OWJ20" s="19"/>
      <c r="OWK20" s="16"/>
      <c r="OWL20" s="19"/>
      <c r="OWM20" s="16"/>
      <c r="OWN20" s="19"/>
      <c r="OWO20" s="16"/>
      <c r="OWP20" s="19"/>
      <c r="OWQ20" s="16"/>
      <c r="OWR20" s="19"/>
      <c r="OWS20" s="16"/>
      <c r="OWT20" s="19"/>
      <c r="OWU20" s="16"/>
      <c r="OWV20" s="19"/>
      <c r="OWW20" s="16"/>
      <c r="OWX20" s="19"/>
      <c r="OWY20" s="16"/>
      <c r="OWZ20" s="19"/>
      <c r="OXA20" s="16"/>
      <c r="OXB20" s="19"/>
      <c r="OXC20" s="16"/>
      <c r="OXD20" s="19"/>
      <c r="OXE20" s="16"/>
      <c r="OXF20" s="19"/>
      <c r="OXG20" s="16"/>
      <c r="OXH20" s="19"/>
      <c r="OXI20" s="16"/>
      <c r="OXJ20" s="19"/>
      <c r="OXK20" s="16"/>
      <c r="OXL20" s="19"/>
      <c r="OXM20" s="16"/>
      <c r="OXN20" s="19"/>
      <c r="OXO20" s="16"/>
      <c r="OXP20" s="19"/>
      <c r="OXQ20" s="16"/>
      <c r="OXR20" s="19"/>
      <c r="OXS20" s="16"/>
      <c r="OXT20" s="19"/>
      <c r="OXU20" s="16"/>
      <c r="OXV20" s="19"/>
      <c r="OXW20" s="16"/>
      <c r="OXX20" s="19"/>
      <c r="OXY20" s="16"/>
      <c r="OXZ20" s="19"/>
      <c r="OYA20" s="16"/>
      <c r="OYB20" s="19"/>
      <c r="OYC20" s="16"/>
      <c r="OYD20" s="19"/>
      <c r="OYE20" s="16"/>
      <c r="OYF20" s="19"/>
      <c r="OYG20" s="16"/>
      <c r="OYH20" s="19"/>
      <c r="OYI20" s="16"/>
      <c r="OYJ20" s="19"/>
      <c r="OYK20" s="16"/>
      <c r="OYL20" s="19"/>
      <c r="OYM20" s="16"/>
      <c r="OYN20" s="19"/>
      <c r="OYO20" s="16"/>
      <c r="OYP20" s="19"/>
      <c r="OYQ20" s="16"/>
      <c r="OYR20" s="19"/>
      <c r="OYS20" s="16"/>
      <c r="OYT20" s="19"/>
      <c r="OYU20" s="16"/>
      <c r="OYV20" s="19"/>
      <c r="OYW20" s="16"/>
      <c r="OYX20" s="19"/>
      <c r="OYY20" s="16"/>
      <c r="OYZ20" s="19"/>
      <c r="OZA20" s="16"/>
      <c r="OZB20" s="19"/>
      <c r="OZC20" s="16"/>
      <c r="OZD20" s="19"/>
      <c r="OZE20" s="16"/>
      <c r="OZF20" s="19"/>
      <c r="OZG20" s="16"/>
      <c r="OZH20" s="19"/>
      <c r="OZI20" s="16"/>
      <c r="OZJ20" s="19"/>
      <c r="OZK20" s="16"/>
      <c r="OZL20" s="19"/>
      <c r="OZM20" s="16"/>
      <c r="OZN20" s="19"/>
      <c r="OZO20" s="16"/>
      <c r="OZP20" s="19"/>
      <c r="OZQ20" s="16"/>
      <c r="OZR20" s="19"/>
      <c r="OZS20" s="16"/>
      <c r="OZT20" s="19"/>
      <c r="OZU20" s="16"/>
      <c r="OZV20" s="19"/>
      <c r="OZW20" s="16"/>
      <c r="OZX20" s="19"/>
      <c r="OZY20" s="16"/>
      <c r="OZZ20" s="19"/>
      <c r="PAA20" s="16"/>
      <c r="PAB20" s="19"/>
      <c r="PAC20" s="16"/>
      <c r="PAD20" s="19"/>
      <c r="PAE20" s="16"/>
      <c r="PAF20" s="19"/>
      <c r="PAG20" s="16"/>
      <c r="PAH20" s="19"/>
      <c r="PAI20" s="16"/>
      <c r="PAJ20" s="19"/>
      <c r="PAK20" s="16"/>
      <c r="PAL20" s="19"/>
      <c r="PAM20" s="16"/>
      <c r="PAN20" s="19"/>
      <c r="PAO20" s="16"/>
      <c r="PAP20" s="19"/>
      <c r="PAQ20" s="16"/>
      <c r="PAR20" s="19"/>
      <c r="PAS20" s="16"/>
      <c r="PAT20" s="19"/>
      <c r="PAU20" s="16"/>
      <c r="PAV20" s="19"/>
      <c r="PAW20" s="16"/>
      <c r="PAX20" s="19"/>
      <c r="PAY20" s="16"/>
      <c r="PAZ20" s="19"/>
      <c r="PBA20" s="16"/>
      <c r="PBB20" s="19"/>
      <c r="PBC20" s="16"/>
      <c r="PBD20" s="19"/>
      <c r="PBE20" s="16"/>
      <c r="PBF20" s="19"/>
      <c r="PBG20" s="16"/>
      <c r="PBH20" s="19"/>
      <c r="PBI20" s="16"/>
      <c r="PBJ20" s="19"/>
      <c r="PBK20" s="16"/>
      <c r="PBL20" s="19"/>
      <c r="PBM20" s="16"/>
      <c r="PBN20" s="19"/>
      <c r="PBO20" s="16"/>
      <c r="PBP20" s="19"/>
      <c r="PBQ20" s="16"/>
      <c r="PBR20" s="19"/>
      <c r="PBS20" s="16"/>
      <c r="PBT20" s="19"/>
      <c r="PBU20" s="16"/>
      <c r="PBV20" s="19"/>
      <c r="PBW20" s="16"/>
      <c r="PBX20" s="19"/>
      <c r="PBY20" s="16"/>
      <c r="PBZ20" s="19"/>
      <c r="PCA20" s="16"/>
      <c r="PCB20" s="19"/>
      <c r="PCC20" s="16"/>
      <c r="PCD20" s="19"/>
      <c r="PCE20" s="16"/>
      <c r="PCF20" s="19"/>
      <c r="PCG20" s="16"/>
      <c r="PCH20" s="19"/>
      <c r="PCI20" s="16"/>
      <c r="PCJ20" s="19"/>
      <c r="PCK20" s="16"/>
      <c r="PCL20" s="19"/>
      <c r="PCM20" s="16"/>
      <c r="PCN20" s="19"/>
      <c r="PCO20" s="16"/>
      <c r="PCP20" s="19"/>
      <c r="PCQ20" s="16"/>
      <c r="PCR20" s="19"/>
      <c r="PCS20" s="16"/>
      <c r="PCT20" s="19"/>
      <c r="PCU20" s="16"/>
      <c r="PCV20" s="19"/>
      <c r="PCW20" s="16"/>
      <c r="PCX20" s="19"/>
      <c r="PCY20" s="16"/>
      <c r="PCZ20" s="19"/>
      <c r="PDA20" s="16"/>
      <c r="PDB20" s="19"/>
      <c r="PDC20" s="16"/>
      <c r="PDD20" s="19"/>
      <c r="PDE20" s="16"/>
      <c r="PDF20" s="19"/>
      <c r="PDG20" s="16"/>
      <c r="PDH20" s="19"/>
      <c r="PDI20" s="16"/>
      <c r="PDJ20" s="19"/>
      <c r="PDK20" s="16"/>
      <c r="PDL20" s="19"/>
      <c r="PDM20" s="16"/>
      <c r="PDN20" s="19"/>
      <c r="PDO20" s="16"/>
      <c r="PDP20" s="19"/>
      <c r="PDQ20" s="16"/>
      <c r="PDR20" s="19"/>
      <c r="PDS20" s="16"/>
      <c r="PDT20" s="19"/>
      <c r="PDU20" s="16"/>
      <c r="PDV20" s="19"/>
      <c r="PDW20" s="16"/>
      <c r="PDX20" s="19"/>
      <c r="PDY20" s="16"/>
      <c r="PDZ20" s="19"/>
      <c r="PEA20" s="16"/>
      <c r="PEB20" s="19"/>
      <c r="PEC20" s="16"/>
      <c r="PED20" s="19"/>
      <c r="PEE20" s="16"/>
      <c r="PEF20" s="19"/>
      <c r="PEG20" s="16"/>
      <c r="PEH20" s="19"/>
      <c r="PEI20" s="16"/>
      <c r="PEJ20" s="19"/>
      <c r="PEK20" s="16"/>
      <c r="PEL20" s="19"/>
      <c r="PEM20" s="16"/>
      <c r="PEN20" s="19"/>
      <c r="PEO20" s="16"/>
      <c r="PEP20" s="19"/>
      <c r="PEQ20" s="16"/>
      <c r="PER20" s="19"/>
      <c r="PES20" s="16"/>
      <c r="PET20" s="19"/>
      <c r="PEU20" s="16"/>
      <c r="PEV20" s="19"/>
      <c r="PEW20" s="16"/>
      <c r="PEX20" s="19"/>
      <c r="PEY20" s="16"/>
      <c r="PEZ20" s="19"/>
      <c r="PFA20" s="16"/>
      <c r="PFB20" s="19"/>
      <c r="PFC20" s="16"/>
      <c r="PFD20" s="19"/>
      <c r="PFE20" s="16"/>
      <c r="PFF20" s="19"/>
      <c r="PFG20" s="16"/>
      <c r="PFH20" s="19"/>
      <c r="PFI20" s="16"/>
      <c r="PFJ20" s="19"/>
      <c r="PFK20" s="16"/>
      <c r="PFL20" s="19"/>
      <c r="PFM20" s="16"/>
      <c r="PFN20" s="19"/>
      <c r="PFO20" s="16"/>
      <c r="PFP20" s="19"/>
      <c r="PFQ20" s="16"/>
      <c r="PFR20" s="19"/>
      <c r="PFS20" s="16"/>
      <c r="PFT20" s="19"/>
      <c r="PFU20" s="16"/>
      <c r="PFV20" s="19"/>
      <c r="PFW20" s="16"/>
      <c r="PFX20" s="19"/>
      <c r="PFY20" s="16"/>
      <c r="PFZ20" s="19"/>
      <c r="PGA20" s="16"/>
      <c r="PGB20" s="19"/>
      <c r="PGC20" s="16"/>
      <c r="PGD20" s="19"/>
      <c r="PGE20" s="16"/>
      <c r="PGF20" s="19"/>
      <c r="PGG20" s="16"/>
      <c r="PGH20" s="19"/>
      <c r="PGI20" s="16"/>
      <c r="PGJ20" s="19"/>
      <c r="PGK20" s="16"/>
      <c r="PGL20" s="19"/>
      <c r="PGM20" s="16"/>
      <c r="PGN20" s="19"/>
      <c r="PGO20" s="16"/>
      <c r="PGP20" s="19"/>
      <c r="PGQ20" s="16"/>
      <c r="PGR20" s="19"/>
      <c r="PGS20" s="16"/>
      <c r="PGT20" s="19"/>
      <c r="PGU20" s="16"/>
      <c r="PGV20" s="19"/>
      <c r="PGW20" s="16"/>
      <c r="PGX20" s="19"/>
      <c r="PGY20" s="16"/>
      <c r="PGZ20" s="19"/>
      <c r="PHA20" s="16"/>
      <c r="PHB20" s="19"/>
      <c r="PHC20" s="16"/>
      <c r="PHD20" s="19"/>
      <c r="PHE20" s="16"/>
      <c r="PHF20" s="19"/>
      <c r="PHG20" s="16"/>
      <c r="PHH20" s="19"/>
      <c r="PHI20" s="16"/>
      <c r="PHJ20" s="19"/>
      <c r="PHK20" s="16"/>
      <c r="PHL20" s="19"/>
      <c r="PHM20" s="16"/>
      <c r="PHN20" s="19"/>
      <c r="PHO20" s="16"/>
      <c r="PHP20" s="19"/>
      <c r="PHQ20" s="16"/>
      <c r="PHR20" s="19"/>
      <c r="PHS20" s="16"/>
      <c r="PHT20" s="19"/>
      <c r="PHU20" s="16"/>
      <c r="PHV20" s="19"/>
      <c r="PHW20" s="16"/>
      <c r="PHX20" s="19"/>
      <c r="PHY20" s="16"/>
      <c r="PHZ20" s="19"/>
      <c r="PIA20" s="16"/>
      <c r="PIB20" s="19"/>
      <c r="PIC20" s="16"/>
      <c r="PID20" s="19"/>
      <c r="PIE20" s="16"/>
      <c r="PIF20" s="19"/>
      <c r="PIG20" s="16"/>
      <c r="PIH20" s="19"/>
      <c r="PII20" s="16"/>
      <c r="PIJ20" s="19"/>
      <c r="PIK20" s="16"/>
      <c r="PIL20" s="19"/>
      <c r="PIM20" s="16"/>
      <c r="PIN20" s="19"/>
      <c r="PIO20" s="16"/>
      <c r="PIP20" s="19"/>
      <c r="PIQ20" s="16"/>
      <c r="PIR20" s="19"/>
      <c r="PIS20" s="16"/>
      <c r="PIT20" s="19"/>
      <c r="PIU20" s="16"/>
      <c r="PIV20" s="19"/>
      <c r="PIW20" s="16"/>
      <c r="PIX20" s="19"/>
      <c r="PIY20" s="16"/>
      <c r="PIZ20" s="19"/>
      <c r="PJA20" s="16"/>
      <c r="PJB20" s="19"/>
      <c r="PJC20" s="16"/>
      <c r="PJD20" s="19"/>
      <c r="PJE20" s="16"/>
      <c r="PJF20" s="19"/>
      <c r="PJG20" s="16"/>
      <c r="PJH20" s="19"/>
      <c r="PJI20" s="16"/>
      <c r="PJJ20" s="19"/>
      <c r="PJK20" s="16"/>
      <c r="PJL20" s="19"/>
      <c r="PJM20" s="16"/>
      <c r="PJN20" s="19"/>
      <c r="PJO20" s="16"/>
      <c r="PJP20" s="19"/>
      <c r="PJQ20" s="16"/>
      <c r="PJR20" s="19"/>
      <c r="PJS20" s="16"/>
      <c r="PJT20" s="19"/>
      <c r="PJU20" s="16"/>
      <c r="PJV20" s="19"/>
      <c r="PJW20" s="16"/>
      <c r="PJX20" s="19"/>
      <c r="PJY20" s="16"/>
      <c r="PJZ20" s="19"/>
      <c r="PKA20" s="16"/>
      <c r="PKB20" s="19"/>
      <c r="PKC20" s="16"/>
      <c r="PKD20" s="19"/>
      <c r="PKE20" s="16"/>
      <c r="PKF20" s="19"/>
      <c r="PKG20" s="16"/>
      <c r="PKH20" s="19"/>
      <c r="PKI20" s="16"/>
      <c r="PKJ20" s="19"/>
      <c r="PKK20" s="16"/>
      <c r="PKL20" s="19"/>
      <c r="PKM20" s="16"/>
      <c r="PKN20" s="19"/>
      <c r="PKO20" s="16"/>
      <c r="PKP20" s="19"/>
      <c r="PKQ20" s="16"/>
      <c r="PKR20" s="19"/>
      <c r="PKS20" s="16"/>
      <c r="PKT20" s="19"/>
      <c r="PKU20" s="16"/>
      <c r="PKV20" s="19"/>
      <c r="PKW20" s="16"/>
      <c r="PKX20" s="19"/>
      <c r="PKY20" s="16"/>
      <c r="PKZ20" s="19"/>
      <c r="PLA20" s="16"/>
      <c r="PLB20" s="19"/>
      <c r="PLC20" s="16"/>
      <c r="PLD20" s="19"/>
      <c r="PLE20" s="16"/>
      <c r="PLF20" s="19"/>
      <c r="PLG20" s="16"/>
      <c r="PLH20" s="19"/>
      <c r="PLI20" s="16"/>
      <c r="PLJ20" s="19"/>
      <c r="PLK20" s="16"/>
      <c r="PLL20" s="19"/>
      <c r="PLM20" s="16"/>
      <c r="PLN20" s="19"/>
      <c r="PLO20" s="16"/>
      <c r="PLP20" s="19"/>
      <c r="PLQ20" s="16"/>
      <c r="PLR20" s="19"/>
      <c r="PLS20" s="16"/>
      <c r="PLT20" s="19"/>
      <c r="PLU20" s="16"/>
      <c r="PLV20" s="19"/>
      <c r="PLW20" s="16"/>
      <c r="PLX20" s="19"/>
      <c r="PLY20" s="16"/>
      <c r="PLZ20" s="19"/>
      <c r="PMA20" s="16"/>
      <c r="PMB20" s="19"/>
      <c r="PMC20" s="16"/>
      <c r="PMD20" s="19"/>
      <c r="PME20" s="16"/>
      <c r="PMF20" s="19"/>
      <c r="PMG20" s="16"/>
      <c r="PMH20" s="19"/>
      <c r="PMI20" s="16"/>
      <c r="PMJ20" s="19"/>
      <c r="PMK20" s="16"/>
      <c r="PML20" s="19"/>
      <c r="PMM20" s="16"/>
      <c r="PMN20" s="19"/>
      <c r="PMO20" s="16"/>
      <c r="PMP20" s="19"/>
      <c r="PMQ20" s="16"/>
      <c r="PMR20" s="19"/>
      <c r="PMS20" s="16"/>
      <c r="PMT20" s="19"/>
      <c r="PMU20" s="16"/>
      <c r="PMV20" s="19"/>
      <c r="PMW20" s="16"/>
      <c r="PMX20" s="19"/>
      <c r="PMY20" s="16"/>
      <c r="PMZ20" s="19"/>
      <c r="PNA20" s="16"/>
      <c r="PNB20" s="19"/>
      <c r="PNC20" s="16"/>
      <c r="PND20" s="19"/>
      <c r="PNE20" s="16"/>
      <c r="PNF20" s="19"/>
      <c r="PNG20" s="16"/>
      <c r="PNH20" s="19"/>
      <c r="PNI20" s="16"/>
      <c r="PNJ20" s="19"/>
      <c r="PNK20" s="16"/>
      <c r="PNL20" s="19"/>
      <c r="PNM20" s="16"/>
      <c r="PNN20" s="19"/>
      <c r="PNO20" s="16"/>
      <c r="PNP20" s="19"/>
      <c r="PNQ20" s="16"/>
      <c r="PNR20" s="19"/>
      <c r="PNS20" s="16"/>
      <c r="PNT20" s="19"/>
      <c r="PNU20" s="16"/>
      <c r="PNV20" s="19"/>
      <c r="PNW20" s="16"/>
      <c r="PNX20" s="19"/>
      <c r="PNY20" s="16"/>
      <c r="PNZ20" s="19"/>
      <c r="POA20" s="16"/>
      <c r="POB20" s="19"/>
      <c r="POC20" s="16"/>
      <c r="POD20" s="19"/>
      <c r="POE20" s="16"/>
      <c r="POF20" s="19"/>
      <c r="POG20" s="16"/>
      <c r="POH20" s="19"/>
      <c r="POI20" s="16"/>
      <c r="POJ20" s="19"/>
      <c r="POK20" s="16"/>
      <c r="POL20" s="19"/>
      <c r="POM20" s="16"/>
      <c r="PON20" s="19"/>
      <c r="POO20" s="16"/>
      <c r="POP20" s="19"/>
      <c r="POQ20" s="16"/>
      <c r="POR20" s="19"/>
      <c r="POS20" s="16"/>
      <c r="POT20" s="19"/>
      <c r="POU20" s="16"/>
      <c r="POV20" s="19"/>
      <c r="POW20" s="16"/>
      <c r="POX20" s="19"/>
      <c r="POY20" s="16"/>
      <c r="POZ20" s="19"/>
      <c r="PPA20" s="16"/>
      <c r="PPB20" s="19"/>
      <c r="PPC20" s="16"/>
      <c r="PPD20" s="19"/>
      <c r="PPE20" s="16"/>
      <c r="PPF20" s="19"/>
      <c r="PPG20" s="16"/>
      <c r="PPH20" s="19"/>
      <c r="PPI20" s="16"/>
      <c r="PPJ20" s="19"/>
      <c r="PPK20" s="16"/>
      <c r="PPL20" s="19"/>
      <c r="PPM20" s="16"/>
      <c r="PPN20" s="19"/>
      <c r="PPO20" s="16"/>
      <c r="PPP20" s="19"/>
      <c r="PPQ20" s="16"/>
      <c r="PPR20" s="19"/>
      <c r="PPS20" s="16"/>
      <c r="PPT20" s="19"/>
      <c r="PPU20" s="16"/>
      <c r="PPV20" s="19"/>
      <c r="PPW20" s="16"/>
      <c r="PPX20" s="19"/>
      <c r="PPY20" s="16"/>
      <c r="PPZ20" s="19"/>
      <c r="PQA20" s="16"/>
      <c r="PQB20" s="19"/>
      <c r="PQC20" s="16"/>
      <c r="PQD20" s="19"/>
      <c r="PQE20" s="16"/>
      <c r="PQF20" s="19"/>
      <c r="PQG20" s="16"/>
      <c r="PQH20" s="19"/>
      <c r="PQI20" s="16"/>
      <c r="PQJ20" s="19"/>
      <c r="PQK20" s="16"/>
      <c r="PQL20" s="19"/>
      <c r="PQM20" s="16"/>
      <c r="PQN20" s="19"/>
      <c r="PQO20" s="16"/>
      <c r="PQP20" s="19"/>
      <c r="PQQ20" s="16"/>
      <c r="PQR20" s="19"/>
      <c r="PQS20" s="16"/>
      <c r="PQT20" s="19"/>
      <c r="PQU20" s="16"/>
      <c r="PQV20" s="19"/>
      <c r="PQW20" s="16"/>
      <c r="PQX20" s="19"/>
      <c r="PQY20" s="16"/>
      <c r="PQZ20" s="19"/>
      <c r="PRA20" s="16"/>
      <c r="PRB20" s="19"/>
      <c r="PRC20" s="16"/>
      <c r="PRD20" s="19"/>
      <c r="PRE20" s="16"/>
      <c r="PRF20" s="19"/>
      <c r="PRG20" s="16"/>
      <c r="PRH20" s="19"/>
      <c r="PRI20" s="16"/>
      <c r="PRJ20" s="19"/>
      <c r="PRK20" s="16"/>
      <c r="PRL20" s="19"/>
      <c r="PRM20" s="16"/>
      <c r="PRN20" s="19"/>
      <c r="PRO20" s="16"/>
      <c r="PRP20" s="19"/>
      <c r="PRQ20" s="16"/>
      <c r="PRR20" s="19"/>
      <c r="PRS20" s="16"/>
      <c r="PRT20" s="19"/>
      <c r="PRU20" s="16"/>
      <c r="PRV20" s="19"/>
      <c r="PRW20" s="16"/>
      <c r="PRX20" s="19"/>
      <c r="PRY20" s="16"/>
      <c r="PRZ20" s="19"/>
      <c r="PSA20" s="16"/>
      <c r="PSB20" s="19"/>
      <c r="PSC20" s="16"/>
      <c r="PSD20" s="19"/>
      <c r="PSE20" s="16"/>
      <c r="PSF20" s="19"/>
      <c r="PSG20" s="16"/>
      <c r="PSH20" s="19"/>
      <c r="PSI20" s="16"/>
      <c r="PSJ20" s="19"/>
      <c r="PSK20" s="16"/>
      <c r="PSL20" s="19"/>
      <c r="PSM20" s="16"/>
      <c r="PSN20" s="19"/>
      <c r="PSO20" s="16"/>
      <c r="PSP20" s="19"/>
      <c r="PSQ20" s="16"/>
      <c r="PSR20" s="19"/>
      <c r="PSS20" s="16"/>
      <c r="PST20" s="19"/>
      <c r="PSU20" s="16"/>
      <c r="PSV20" s="19"/>
      <c r="PSW20" s="16"/>
      <c r="PSX20" s="19"/>
      <c r="PSY20" s="16"/>
      <c r="PSZ20" s="19"/>
      <c r="PTA20" s="16"/>
      <c r="PTB20" s="19"/>
      <c r="PTC20" s="16"/>
      <c r="PTD20" s="19"/>
      <c r="PTE20" s="16"/>
      <c r="PTF20" s="19"/>
      <c r="PTG20" s="16"/>
      <c r="PTH20" s="19"/>
      <c r="PTI20" s="16"/>
      <c r="PTJ20" s="19"/>
      <c r="PTK20" s="16"/>
      <c r="PTL20" s="19"/>
      <c r="PTM20" s="16"/>
      <c r="PTN20" s="19"/>
      <c r="PTO20" s="16"/>
      <c r="PTP20" s="19"/>
      <c r="PTQ20" s="16"/>
      <c r="PTR20" s="19"/>
      <c r="PTS20" s="16"/>
      <c r="PTT20" s="19"/>
      <c r="PTU20" s="16"/>
      <c r="PTV20" s="19"/>
      <c r="PTW20" s="16"/>
      <c r="PTX20" s="19"/>
      <c r="PTY20" s="16"/>
      <c r="PTZ20" s="19"/>
      <c r="PUA20" s="16"/>
      <c r="PUB20" s="19"/>
      <c r="PUC20" s="16"/>
      <c r="PUD20" s="19"/>
      <c r="PUE20" s="16"/>
      <c r="PUF20" s="19"/>
      <c r="PUG20" s="16"/>
      <c r="PUH20" s="19"/>
      <c r="PUI20" s="16"/>
      <c r="PUJ20" s="19"/>
      <c r="PUK20" s="16"/>
      <c r="PUL20" s="19"/>
      <c r="PUM20" s="16"/>
      <c r="PUN20" s="19"/>
      <c r="PUO20" s="16"/>
      <c r="PUP20" s="19"/>
      <c r="PUQ20" s="16"/>
      <c r="PUR20" s="19"/>
      <c r="PUS20" s="16"/>
      <c r="PUT20" s="19"/>
      <c r="PUU20" s="16"/>
      <c r="PUV20" s="19"/>
      <c r="PUW20" s="16"/>
      <c r="PUX20" s="19"/>
      <c r="PUY20" s="16"/>
      <c r="PUZ20" s="19"/>
      <c r="PVA20" s="16"/>
      <c r="PVB20" s="19"/>
      <c r="PVC20" s="16"/>
      <c r="PVD20" s="19"/>
      <c r="PVE20" s="16"/>
      <c r="PVF20" s="19"/>
      <c r="PVG20" s="16"/>
      <c r="PVH20" s="19"/>
      <c r="PVI20" s="16"/>
      <c r="PVJ20" s="19"/>
      <c r="PVK20" s="16"/>
      <c r="PVL20" s="19"/>
      <c r="PVM20" s="16"/>
      <c r="PVN20" s="19"/>
      <c r="PVO20" s="16"/>
      <c r="PVP20" s="19"/>
      <c r="PVQ20" s="16"/>
      <c r="PVR20" s="19"/>
      <c r="PVS20" s="16"/>
      <c r="PVT20" s="19"/>
      <c r="PVU20" s="16"/>
      <c r="PVV20" s="19"/>
      <c r="PVW20" s="16"/>
      <c r="PVX20" s="19"/>
      <c r="PVY20" s="16"/>
      <c r="PVZ20" s="19"/>
      <c r="PWA20" s="16"/>
      <c r="PWB20" s="19"/>
      <c r="PWC20" s="16"/>
      <c r="PWD20" s="19"/>
      <c r="PWE20" s="16"/>
      <c r="PWF20" s="19"/>
      <c r="PWG20" s="16"/>
      <c r="PWH20" s="19"/>
      <c r="PWI20" s="16"/>
      <c r="PWJ20" s="19"/>
      <c r="PWK20" s="16"/>
      <c r="PWL20" s="19"/>
      <c r="PWM20" s="16"/>
      <c r="PWN20" s="19"/>
      <c r="PWO20" s="16"/>
      <c r="PWP20" s="19"/>
      <c r="PWQ20" s="16"/>
      <c r="PWR20" s="19"/>
      <c r="PWS20" s="16"/>
      <c r="PWT20" s="19"/>
      <c r="PWU20" s="16"/>
      <c r="PWV20" s="19"/>
      <c r="PWW20" s="16"/>
      <c r="PWX20" s="19"/>
      <c r="PWY20" s="16"/>
      <c r="PWZ20" s="19"/>
      <c r="PXA20" s="16"/>
      <c r="PXB20" s="19"/>
      <c r="PXC20" s="16"/>
      <c r="PXD20" s="19"/>
      <c r="PXE20" s="16"/>
      <c r="PXF20" s="19"/>
      <c r="PXG20" s="16"/>
      <c r="PXH20" s="19"/>
      <c r="PXI20" s="16"/>
      <c r="PXJ20" s="19"/>
      <c r="PXK20" s="16"/>
      <c r="PXL20" s="19"/>
      <c r="PXM20" s="16"/>
      <c r="PXN20" s="19"/>
      <c r="PXO20" s="16"/>
      <c r="PXP20" s="19"/>
      <c r="PXQ20" s="16"/>
      <c r="PXR20" s="19"/>
      <c r="PXS20" s="16"/>
      <c r="PXT20" s="19"/>
      <c r="PXU20" s="16"/>
      <c r="PXV20" s="19"/>
      <c r="PXW20" s="16"/>
      <c r="PXX20" s="19"/>
      <c r="PXY20" s="16"/>
      <c r="PXZ20" s="19"/>
      <c r="PYA20" s="16"/>
      <c r="PYB20" s="19"/>
      <c r="PYC20" s="16"/>
      <c r="PYD20" s="19"/>
      <c r="PYE20" s="16"/>
      <c r="PYF20" s="19"/>
      <c r="PYG20" s="16"/>
      <c r="PYH20" s="19"/>
      <c r="PYI20" s="16"/>
      <c r="PYJ20" s="19"/>
      <c r="PYK20" s="16"/>
      <c r="PYL20" s="19"/>
      <c r="PYM20" s="16"/>
      <c r="PYN20" s="19"/>
      <c r="PYO20" s="16"/>
      <c r="PYP20" s="19"/>
      <c r="PYQ20" s="16"/>
      <c r="PYR20" s="19"/>
      <c r="PYS20" s="16"/>
      <c r="PYT20" s="19"/>
      <c r="PYU20" s="16"/>
      <c r="PYV20" s="19"/>
      <c r="PYW20" s="16"/>
      <c r="PYX20" s="19"/>
      <c r="PYY20" s="16"/>
      <c r="PYZ20" s="19"/>
      <c r="PZA20" s="16"/>
      <c r="PZB20" s="19"/>
      <c r="PZC20" s="16"/>
      <c r="PZD20" s="19"/>
      <c r="PZE20" s="16"/>
      <c r="PZF20" s="19"/>
      <c r="PZG20" s="16"/>
      <c r="PZH20" s="19"/>
      <c r="PZI20" s="16"/>
      <c r="PZJ20" s="19"/>
      <c r="PZK20" s="16"/>
      <c r="PZL20" s="19"/>
      <c r="PZM20" s="16"/>
      <c r="PZN20" s="19"/>
      <c r="PZO20" s="16"/>
      <c r="PZP20" s="19"/>
      <c r="PZQ20" s="16"/>
      <c r="PZR20" s="19"/>
      <c r="PZS20" s="16"/>
      <c r="PZT20" s="19"/>
      <c r="PZU20" s="16"/>
      <c r="PZV20" s="19"/>
      <c r="PZW20" s="16"/>
      <c r="PZX20" s="19"/>
      <c r="PZY20" s="16"/>
      <c r="PZZ20" s="19"/>
      <c r="QAA20" s="16"/>
      <c r="QAB20" s="19"/>
      <c r="QAC20" s="16"/>
      <c r="QAD20" s="19"/>
      <c r="QAE20" s="16"/>
      <c r="QAF20" s="19"/>
      <c r="QAG20" s="16"/>
      <c r="QAH20" s="19"/>
      <c r="QAI20" s="16"/>
      <c r="QAJ20" s="19"/>
      <c r="QAK20" s="16"/>
      <c r="QAL20" s="19"/>
      <c r="QAM20" s="16"/>
      <c r="QAN20" s="19"/>
      <c r="QAO20" s="16"/>
      <c r="QAP20" s="19"/>
      <c r="QAQ20" s="16"/>
      <c r="QAR20" s="19"/>
      <c r="QAS20" s="16"/>
      <c r="QAT20" s="19"/>
      <c r="QAU20" s="16"/>
      <c r="QAV20" s="19"/>
      <c r="QAW20" s="16"/>
      <c r="QAX20" s="19"/>
      <c r="QAY20" s="16"/>
      <c r="QAZ20" s="19"/>
      <c r="QBA20" s="16"/>
      <c r="QBB20" s="19"/>
      <c r="QBC20" s="16"/>
      <c r="QBD20" s="19"/>
      <c r="QBE20" s="16"/>
      <c r="QBF20" s="19"/>
      <c r="QBG20" s="16"/>
      <c r="QBH20" s="19"/>
      <c r="QBI20" s="16"/>
      <c r="QBJ20" s="19"/>
      <c r="QBK20" s="16"/>
      <c r="QBL20" s="19"/>
      <c r="QBM20" s="16"/>
      <c r="QBN20" s="19"/>
      <c r="QBO20" s="16"/>
      <c r="QBP20" s="19"/>
      <c r="QBQ20" s="16"/>
      <c r="QBR20" s="19"/>
      <c r="QBS20" s="16"/>
      <c r="QBT20" s="19"/>
      <c r="QBU20" s="16"/>
      <c r="QBV20" s="19"/>
      <c r="QBW20" s="16"/>
      <c r="QBX20" s="19"/>
      <c r="QBY20" s="16"/>
      <c r="QBZ20" s="19"/>
      <c r="QCA20" s="16"/>
      <c r="QCB20" s="19"/>
      <c r="QCC20" s="16"/>
      <c r="QCD20" s="19"/>
      <c r="QCE20" s="16"/>
      <c r="QCF20" s="19"/>
      <c r="QCG20" s="16"/>
      <c r="QCH20" s="19"/>
      <c r="QCI20" s="16"/>
      <c r="QCJ20" s="19"/>
      <c r="QCK20" s="16"/>
      <c r="QCL20" s="19"/>
      <c r="QCM20" s="16"/>
      <c r="QCN20" s="19"/>
      <c r="QCO20" s="16"/>
      <c r="QCP20" s="19"/>
      <c r="QCQ20" s="16"/>
      <c r="QCR20" s="19"/>
      <c r="QCS20" s="16"/>
      <c r="QCT20" s="19"/>
      <c r="QCU20" s="16"/>
      <c r="QCV20" s="19"/>
      <c r="QCW20" s="16"/>
      <c r="QCX20" s="19"/>
      <c r="QCY20" s="16"/>
      <c r="QCZ20" s="19"/>
      <c r="QDA20" s="16"/>
      <c r="QDB20" s="19"/>
      <c r="QDC20" s="16"/>
      <c r="QDD20" s="19"/>
      <c r="QDE20" s="16"/>
      <c r="QDF20" s="19"/>
      <c r="QDG20" s="16"/>
      <c r="QDH20" s="19"/>
      <c r="QDI20" s="16"/>
      <c r="QDJ20" s="19"/>
      <c r="QDK20" s="16"/>
      <c r="QDL20" s="19"/>
      <c r="QDM20" s="16"/>
      <c r="QDN20" s="19"/>
      <c r="QDO20" s="16"/>
      <c r="QDP20" s="19"/>
      <c r="QDQ20" s="16"/>
      <c r="QDR20" s="19"/>
      <c r="QDS20" s="16"/>
      <c r="QDT20" s="19"/>
      <c r="QDU20" s="16"/>
      <c r="QDV20" s="19"/>
      <c r="QDW20" s="16"/>
      <c r="QDX20" s="19"/>
      <c r="QDY20" s="16"/>
      <c r="QDZ20" s="19"/>
      <c r="QEA20" s="16"/>
      <c r="QEB20" s="19"/>
      <c r="QEC20" s="16"/>
      <c r="QED20" s="19"/>
      <c r="QEE20" s="16"/>
      <c r="QEF20" s="19"/>
      <c r="QEG20" s="16"/>
      <c r="QEH20" s="19"/>
      <c r="QEI20" s="16"/>
      <c r="QEJ20" s="19"/>
      <c r="QEK20" s="16"/>
      <c r="QEL20" s="19"/>
      <c r="QEM20" s="16"/>
      <c r="QEN20" s="19"/>
      <c r="QEO20" s="16"/>
      <c r="QEP20" s="19"/>
      <c r="QEQ20" s="16"/>
      <c r="QER20" s="19"/>
      <c r="QES20" s="16"/>
      <c r="QET20" s="19"/>
      <c r="QEU20" s="16"/>
      <c r="QEV20" s="19"/>
      <c r="QEW20" s="16"/>
      <c r="QEX20" s="19"/>
      <c r="QEY20" s="16"/>
      <c r="QEZ20" s="19"/>
      <c r="QFA20" s="16"/>
      <c r="QFB20" s="19"/>
      <c r="QFC20" s="16"/>
      <c r="QFD20" s="19"/>
      <c r="QFE20" s="16"/>
      <c r="QFF20" s="19"/>
      <c r="QFG20" s="16"/>
      <c r="QFH20" s="19"/>
      <c r="QFI20" s="16"/>
      <c r="QFJ20" s="19"/>
      <c r="QFK20" s="16"/>
      <c r="QFL20" s="19"/>
      <c r="QFM20" s="16"/>
      <c r="QFN20" s="19"/>
      <c r="QFO20" s="16"/>
      <c r="QFP20" s="19"/>
      <c r="QFQ20" s="16"/>
      <c r="QFR20" s="19"/>
      <c r="QFS20" s="16"/>
      <c r="QFT20" s="19"/>
      <c r="QFU20" s="16"/>
      <c r="QFV20" s="19"/>
      <c r="QFW20" s="16"/>
      <c r="QFX20" s="19"/>
      <c r="QFY20" s="16"/>
      <c r="QFZ20" s="19"/>
      <c r="QGA20" s="16"/>
      <c r="QGB20" s="19"/>
      <c r="QGC20" s="16"/>
      <c r="QGD20" s="19"/>
      <c r="QGE20" s="16"/>
      <c r="QGF20" s="19"/>
      <c r="QGG20" s="16"/>
      <c r="QGH20" s="19"/>
      <c r="QGI20" s="16"/>
      <c r="QGJ20" s="19"/>
      <c r="QGK20" s="16"/>
      <c r="QGL20" s="19"/>
      <c r="QGM20" s="16"/>
      <c r="QGN20" s="19"/>
      <c r="QGO20" s="16"/>
      <c r="QGP20" s="19"/>
      <c r="QGQ20" s="16"/>
      <c r="QGR20" s="19"/>
      <c r="QGS20" s="16"/>
      <c r="QGT20" s="19"/>
      <c r="QGU20" s="16"/>
      <c r="QGV20" s="19"/>
      <c r="QGW20" s="16"/>
      <c r="QGX20" s="19"/>
      <c r="QGY20" s="16"/>
      <c r="QGZ20" s="19"/>
      <c r="QHA20" s="16"/>
      <c r="QHB20" s="19"/>
      <c r="QHC20" s="16"/>
      <c r="QHD20" s="19"/>
      <c r="QHE20" s="16"/>
      <c r="QHF20" s="19"/>
      <c r="QHG20" s="16"/>
      <c r="QHH20" s="19"/>
      <c r="QHI20" s="16"/>
      <c r="QHJ20" s="19"/>
      <c r="QHK20" s="16"/>
      <c r="QHL20" s="19"/>
      <c r="QHM20" s="16"/>
      <c r="QHN20" s="19"/>
      <c r="QHO20" s="16"/>
      <c r="QHP20" s="19"/>
      <c r="QHQ20" s="16"/>
      <c r="QHR20" s="19"/>
      <c r="QHS20" s="16"/>
      <c r="QHT20" s="19"/>
      <c r="QHU20" s="16"/>
      <c r="QHV20" s="19"/>
      <c r="QHW20" s="16"/>
      <c r="QHX20" s="19"/>
      <c r="QHY20" s="16"/>
      <c r="QHZ20" s="19"/>
      <c r="QIA20" s="16"/>
      <c r="QIB20" s="19"/>
      <c r="QIC20" s="16"/>
      <c r="QID20" s="19"/>
      <c r="QIE20" s="16"/>
      <c r="QIF20" s="19"/>
      <c r="QIG20" s="16"/>
      <c r="QIH20" s="19"/>
      <c r="QII20" s="16"/>
      <c r="QIJ20" s="19"/>
      <c r="QIK20" s="16"/>
      <c r="QIL20" s="19"/>
      <c r="QIM20" s="16"/>
      <c r="QIN20" s="19"/>
      <c r="QIO20" s="16"/>
      <c r="QIP20" s="19"/>
      <c r="QIQ20" s="16"/>
      <c r="QIR20" s="19"/>
      <c r="QIS20" s="16"/>
      <c r="QIT20" s="19"/>
      <c r="QIU20" s="16"/>
      <c r="QIV20" s="19"/>
      <c r="QIW20" s="16"/>
      <c r="QIX20" s="19"/>
      <c r="QIY20" s="16"/>
      <c r="QIZ20" s="19"/>
      <c r="QJA20" s="16"/>
      <c r="QJB20" s="19"/>
      <c r="QJC20" s="16"/>
      <c r="QJD20" s="19"/>
      <c r="QJE20" s="16"/>
      <c r="QJF20" s="19"/>
      <c r="QJG20" s="16"/>
      <c r="QJH20" s="19"/>
      <c r="QJI20" s="16"/>
      <c r="QJJ20" s="19"/>
      <c r="QJK20" s="16"/>
      <c r="QJL20" s="19"/>
      <c r="QJM20" s="16"/>
      <c r="QJN20" s="19"/>
      <c r="QJO20" s="16"/>
      <c r="QJP20" s="19"/>
      <c r="QJQ20" s="16"/>
      <c r="QJR20" s="19"/>
      <c r="QJS20" s="16"/>
      <c r="QJT20" s="19"/>
      <c r="QJU20" s="16"/>
      <c r="QJV20" s="19"/>
      <c r="QJW20" s="16"/>
      <c r="QJX20" s="19"/>
      <c r="QJY20" s="16"/>
      <c r="QJZ20" s="19"/>
      <c r="QKA20" s="16"/>
      <c r="QKB20" s="19"/>
      <c r="QKC20" s="16"/>
      <c r="QKD20" s="19"/>
      <c r="QKE20" s="16"/>
      <c r="QKF20" s="19"/>
      <c r="QKG20" s="16"/>
      <c r="QKH20" s="19"/>
      <c r="QKI20" s="16"/>
      <c r="QKJ20" s="19"/>
      <c r="QKK20" s="16"/>
      <c r="QKL20" s="19"/>
      <c r="QKM20" s="16"/>
      <c r="QKN20" s="19"/>
      <c r="QKO20" s="16"/>
      <c r="QKP20" s="19"/>
      <c r="QKQ20" s="16"/>
      <c r="QKR20" s="19"/>
      <c r="QKS20" s="16"/>
      <c r="QKT20" s="19"/>
      <c r="QKU20" s="16"/>
      <c r="QKV20" s="19"/>
      <c r="QKW20" s="16"/>
      <c r="QKX20" s="19"/>
      <c r="QKY20" s="16"/>
      <c r="QKZ20" s="19"/>
      <c r="QLA20" s="16"/>
      <c r="QLB20" s="19"/>
      <c r="QLC20" s="16"/>
      <c r="QLD20" s="19"/>
      <c r="QLE20" s="16"/>
      <c r="QLF20" s="19"/>
      <c r="QLG20" s="16"/>
      <c r="QLH20" s="19"/>
      <c r="QLI20" s="16"/>
      <c r="QLJ20" s="19"/>
      <c r="QLK20" s="16"/>
      <c r="QLL20" s="19"/>
      <c r="QLM20" s="16"/>
      <c r="QLN20" s="19"/>
      <c r="QLO20" s="16"/>
      <c r="QLP20" s="19"/>
      <c r="QLQ20" s="16"/>
      <c r="QLR20" s="19"/>
      <c r="QLS20" s="16"/>
      <c r="QLT20" s="19"/>
      <c r="QLU20" s="16"/>
      <c r="QLV20" s="19"/>
      <c r="QLW20" s="16"/>
      <c r="QLX20" s="19"/>
      <c r="QLY20" s="16"/>
      <c r="QLZ20" s="19"/>
      <c r="QMA20" s="16"/>
      <c r="QMB20" s="19"/>
      <c r="QMC20" s="16"/>
      <c r="QMD20" s="19"/>
      <c r="QME20" s="16"/>
      <c r="QMF20" s="19"/>
      <c r="QMG20" s="16"/>
      <c r="QMH20" s="19"/>
      <c r="QMI20" s="16"/>
      <c r="QMJ20" s="19"/>
      <c r="QMK20" s="16"/>
      <c r="QML20" s="19"/>
      <c r="QMM20" s="16"/>
      <c r="QMN20" s="19"/>
      <c r="QMO20" s="16"/>
      <c r="QMP20" s="19"/>
      <c r="QMQ20" s="16"/>
      <c r="QMR20" s="19"/>
      <c r="QMS20" s="16"/>
      <c r="QMT20" s="19"/>
      <c r="QMU20" s="16"/>
      <c r="QMV20" s="19"/>
      <c r="QMW20" s="16"/>
      <c r="QMX20" s="19"/>
      <c r="QMY20" s="16"/>
      <c r="QMZ20" s="19"/>
      <c r="QNA20" s="16"/>
      <c r="QNB20" s="19"/>
      <c r="QNC20" s="16"/>
      <c r="QND20" s="19"/>
      <c r="QNE20" s="16"/>
      <c r="QNF20" s="19"/>
      <c r="QNG20" s="16"/>
      <c r="QNH20" s="19"/>
      <c r="QNI20" s="16"/>
      <c r="QNJ20" s="19"/>
      <c r="QNK20" s="16"/>
      <c r="QNL20" s="19"/>
      <c r="QNM20" s="16"/>
      <c r="QNN20" s="19"/>
      <c r="QNO20" s="16"/>
      <c r="QNP20" s="19"/>
      <c r="QNQ20" s="16"/>
      <c r="QNR20" s="19"/>
      <c r="QNS20" s="16"/>
      <c r="QNT20" s="19"/>
      <c r="QNU20" s="16"/>
      <c r="QNV20" s="19"/>
      <c r="QNW20" s="16"/>
      <c r="QNX20" s="19"/>
      <c r="QNY20" s="16"/>
      <c r="QNZ20" s="19"/>
      <c r="QOA20" s="16"/>
      <c r="QOB20" s="19"/>
      <c r="QOC20" s="16"/>
      <c r="QOD20" s="19"/>
      <c r="QOE20" s="16"/>
      <c r="QOF20" s="19"/>
      <c r="QOG20" s="16"/>
      <c r="QOH20" s="19"/>
      <c r="QOI20" s="16"/>
      <c r="QOJ20" s="19"/>
      <c r="QOK20" s="16"/>
      <c r="QOL20" s="19"/>
      <c r="QOM20" s="16"/>
      <c r="QON20" s="19"/>
      <c r="QOO20" s="16"/>
      <c r="QOP20" s="19"/>
      <c r="QOQ20" s="16"/>
      <c r="QOR20" s="19"/>
      <c r="QOS20" s="16"/>
      <c r="QOT20" s="19"/>
      <c r="QOU20" s="16"/>
      <c r="QOV20" s="19"/>
      <c r="QOW20" s="16"/>
      <c r="QOX20" s="19"/>
      <c r="QOY20" s="16"/>
      <c r="QOZ20" s="19"/>
      <c r="QPA20" s="16"/>
      <c r="QPB20" s="19"/>
      <c r="QPC20" s="16"/>
      <c r="QPD20" s="19"/>
      <c r="QPE20" s="16"/>
      <c r="QPF20" s="19"/>
      <c r="QPG20" s="16"/>
      <c r="QPH20" s="19"/>
      <c r="QPI20" s="16"/>
      <c r="QPJ20" s="19"/>
      <c r="QPK20" s="16"/>
      <c r="QPL20" s="19"/>
      <c r="QPM20" s="16"/>
      <c r="QPN20" s="19"/>
      <c r="QPO20" s="16"/>
      <c r="QPP20" s="19"/>
      <c r="QPQ20" s="16"/>
      <c r="QPR20" s="19"/>
      <c r="QPS20" s="16"/>
      <c r="QPT20" s="19"/>
      <c r="QPU20" s="16"/>
      <c r="QPV20" s="19"/>
      <c r="QPW20" s="16"/>
      <c r="QPX20" s="19"/>
      <c r="QPY20" s="16"/>
      <c r="QPZ20" s="19"/>
      <c r="QQA20" s="16"/>
      <c r="QQB20" s="19"/>
      <c r="QQC20" s="16"/>
      <c r="QQD20" s="19"/>
      <c r="QQE20" s="16"/>
      <c r="QQF20" s="19"/>
      <c r="QQG20" s="16"/>
      <c r="QQH20" s="19"/>
      <c r="QQI20" s="16"/>
      <c r="QQJ20" s="19"/>
      <c r="QQK20" s="16"/>
      <c r="QQL20" s="19"/>
      <c r="QQM20" s="16"/>
      <c r="QQN20" s="19"/>
      <c r="QQO20" s="16"/>
      <c r="QQP20" s="19"/>
      <c r="QQQ20" s="16"/>
      <c r="QQR20" s="19"/>
      <c r="QQS20" s="16"/>
      <c r="QQT20" s="19"/>
      <c r="QQU20" s="16"/>
      <c r="QQV20" s="19"/>
      <c r="QQW20" s="16"/>
      <c r="QQX20" s="19"/>
      <c r="QQY20" s="16"/>
      <c r="QQZ20" s="19"/>
      <c r="QRA20" s="16"/>
      <c r="QRB20" s="19"/>
      <c r="QRC20" s="16"/>
      <c r="QRD20" s="19"/>
      <c r="QRE20" s="16"/>
      <c r="QRF20" s="19"/>
      <c r="QRG20" s="16"/>
      <c r="QRH20" s="19"/>
      <c r="QRI20" s="16"/>
      <c r="QRJ20" s="19"/>
      <c r="QRK20" s="16"/>
      <c r="QRL20" s="19"/>
      <c r="QRM20" s="16"/>
      <c r="QRN20" s="19"/>
      <c r="QRO20" s="16"/>
      <c r="QRP20" s="19"/>
      <c r="QRQ20" s="16"/>
      <c r="QRR20" s="19"/>
      <c r="QRS20" s="16"/>
      <c r="QRT20" s="19"/>
      <c r="QRU20" s="16"/>
      <c r="QRV20" s="19"/>
      <c r="QRW20" s="16"/>
      <c r="QRX20" s="19"/>
      <c r="QRY20" s="16"/>
      <c r="QRZ20" s="19"/>
      <c r="QSA20" s="16"/>
      <c r="QSB20" s="19"/>
      <c r="QSC20" s="16"/>
      <c r="QSD20" s="19"/>
      <c r="QSE20" s="16"/>
      <c r="QSF20" s="19"/>
      <c r="QSG20" s="16"/>
      <c r="QSH20" s="19"/>
      <c r="QSI20" s="16"/>
      <c r="QSJ20" s="19"/>
      <c r="QSK20" s="16"/>
      <c r="QSL20" s="19"/>
      <c r="QSM20" s="16"/>
      <c r="QSN20" s="19"/>
      <c r="QSO20" s="16"/>
      <c r="QSP20" s="19"/>
      <c r="QSQ20" s="16"/>
      <c r="QSR20" s="19"/>
      <c r="QSS20" s="16"/>
      <c r="QST20" s="19"/>
      <c r="QSU20" s="16"/>
      <c r="QSV20" s="19"/>
      <c r="QSW20" s="16"/>
      <c r="QSX20" s="19"/>
      <c r="QSY20" s="16"/>
      <c r="QSZ20" s="19"/>
      <c r="QTA20" s="16"/>
      <c r="QTB20" s="19"/>
      <c r="QTC20" s="16"/>
      <c r="QTD20" s="19"/>
      <c r="QTE20" s="16"/>
      <c r="QTF20" s="19"/>
      <c r="QTG20" s="16"/>
      <c r="QTH20" s="19"/>
      <c r="QTI20" s="16"/>
      <c r="QTJ20" s="19"/>
      <c r="QTK20" s="16"/>
      <c r="QTL20" s="19"/>
      <c r="QTM20" s="16"/>
      <c r="QTN20" s="19"/>
      <c r="QTO20" s="16"/>
      <c r="QTP20" s="19"/>
      <c r="QTQ20" s="16"/>
      <c r="QTR20" s="19"/>
      <c r="QTS20" s="16"/>
      <c r="QTT20" s="19"/>
      <c r="QTU20" s="16"/>
      <c r="QTV20" s="19"/>
      <c r="QTW20" s="16"/>
      <c r="QTX20" s="19"/>
      <c r="QTY20" s="16"/>
      <c r="QTZ20" s="19"/>
      <c r="QUA20" s="16"/>
      <c r="QUB20" s="19"/>
      <c r="QUC20" s="16"/>
      <c r="QUD20" s="19"/>
      <c r="QUE20" s="16"/>
      <c r="QUF20" s="19"/>
      <c r="QUG20" s="16"/>
      <c r="QUH20" s="19"/>
      <c r="QUI20" s="16"/>
      <c r="QUJ20" s="19"/>
      <c r="QUK20" s="16"/>
      <c r="QUL20" s="19"/>
      <c r="QUM20" s="16"/>
      <c r="QUN20" s="19"/>
      <c r="QUO20" s="16"/>
      <c r="QUP20" s="19"/>
      <c r="QUQ20" s="16"/>
      <c r="QUR20" s="19"/>
      <c r="QUS20" s="16"/>
      <c r="QUT20" s="19"/>
      <c r="QUU20" s="16"/>
      <c r="QUV20" s="19"/>
      <c r="QUW20" s="16"/>
      <c r="QUX20" s="19"/>
      <c r="QUY20" s="16"/>
      <c r="QUZ20" s="19"/>
      <c r="QVA20" s="16"/>
      <c r="QVB20" s="19"/>
      <c r="QVC20" s="16"/>
      <c r="QVD20" s="19"/>
      <c r="QVE20" s="16"/>
      <c r="QVF20" s="19"/>
      <c r="QVG20" s="16"/>
      <c r="QVH20" s="19"/>
      <c r="QVI20" s="16"/>
      <c r="QVJ20" s="19"/>
      <c r="QVK20" s="16"/>
      <c r="QVL20" s="19"/>
      <c r="QVM20" s="16"/>
      <c r="QVN20" s="19"/>
      <c r="QVO20" s="16"/>
      <c r="QVP20" s="19"/>
      <c r="QVQ20" s="16"/>
      <c r="QVR20" s="19"/>
      <c r="QVS20" s="16"/>
      <c r="QVT20" s="19"/>
      <c r="QVU20" s="16"/>
      <c r="QVV20" s="19"/>
      <c r="QVW20" s="16"/>
      <c r="QVX20" s="19"/>
      <c r="QVY20" s="16"/>
      <c r="QVZ20" s="19"/>
      <c r="QWA20" s="16"/>
      <c r="QWB20" s="19"/>
      <c r="QWC20" s="16"/>
      <c r="QWD20" s="19"/>
      <c r="QWE20" s="16"/>
      <c r="QWF20" s="19"/>
      <c r="QWG20" s="16"/>
      <c r="QWH20" s="19"/>
      <c r="QWI20" s="16"/>
      <c r="QWJ20" s="19"/>
      <c r="QWK20" s="16"/>
      <c r="QWL20" s="19"/>
      <c r="QWM20" s="16"/>
      <c r="QWN20" s="19"/>
      <c r="QWO20" s="16"/>
      <c r="QWP20" s="19"/>
      <c r="QWQ20" s="16"/>
      <c r="QWR20" s="19"/>
      <c r="QWS20" s="16"/>
      <c r="QWT20" s="19"/>
      <c r="QWU20" s="16"/>
      <c r="QWV20" s="19"/>
      <c r="QWW20" s="16"/>
      <c r="QWX20" s="19"/>
      <c r="QWY20" s="16"/>
      <c r="QWZ20" s="19"/>
      <c r="QXA20" s="16"/>
      <c r="QXB20" s="19"/>
      <c r="QXC20" s="16"/>
      <c r="QXD20" s="19"/>
      <c r="QXE20" s="16"/>
      <c r="QXF20" s="19"/>
      <c r="QXG20" s="16"/>
      <c r="QXH20" s="19"/>
      <c r="QXI20" s="16"/>
      <c r="QXJ20" s="19"/>
      <c r="QXK20" s="16"/>
      <c r="QXL20" s="19"/>
      <c r="QXM20" s="16"/>
      <c r="QXN20" s="19"/>
      <c r="QXO20" s="16"/>
      <c r="QXP20" s="19"/>
      <c r="QXQ20" s="16"/>
      <c r="QXR20" s="19"/>
      <c r="QXS20" s="16"/>
      <c r="QXT20" s="19"/>
      <c r="QXU20" s="16"/>
      <c r="QXV20" s="19"/>
      <c r="QXW20" s="16"/>
      <c r="QXX20" s="19"/>
      <c r="QXY20" s="16"/>
      <c r="QXZ20" s="19"/>
      <c r="QYA20" s="16"/>
      <c r="QYB20" s="19"/>
      <c r="QYC20" s="16"/>
      <c r="QYD20" s="19"/>
      <c r="QYE20" s="16"/>
      <c r="QYF20" s="19"/>
      <c r="QYG20" s="16"/>
      <c r="QYH20" s="19"/>
      <c r="QYI20" s="16"/>
      <c r="QYJ20" s="19"/>
      <c r="QYK20" s="16"/>
      <c r="QYL20" s="19"/>
      <c r="QYM20" s="16"/>
      <c r="QYN20" s="19"/>
      <c r="QYO20" s="16"/>
      <c r="QYP20" s="19"/>
      <c r="QYQ20" s="16"/>
      <c r="QYR20" s="19"/>
      <c r="QYS20" s="16"/>
      <c r="QYT20" s="19"/>
      <c r="QYU20" s="16"/>
      <c r="QYV20" s="19"/>
      <c r="QYW20" s="16"/>
      <c r="QYX20" s="19"/>
      <c r="QYY20" s="16"/>
      <c r="QYZ20" s="19"/>
      <c r="QZA20" s="16"/>
      <c r="QZB20" s="19"/>
      <c r="QZC20" s="16"/>
      <c r="QZD20" s="19"/>
      <c r="QZE20" s="16"/>
      <c r="QZF20" s="19"/>
      <c r="QZG20" s="16"/>
      <c r="QZH20" s="19"/>
      <c r="QZI20" s="16"/>
      <c r="QZJ20" s="19"/>
      <c r="QZK20" s="16"/>
      <c r="QZL20" s="19"/>
      <c r="QZM20" s="16"/>
      <c r="QZN20" s="19"/>
      <c r="QZO20" s="16"/>
      <c r="QZP20" s="19"/>
      <c r="QZQ20" s="16"/>
      <c r="QZR20" s="19"/>
      <c r="QZS20" s="16"/>
      <c r="QZT20" s="19"/>
      <c r="QZU20" s="16"/>
      <c r="QZV20" s="19"/>
      <c r="QZW20" s="16"/>
      <c r="QZX20" s="19"/>
      <c r="QZY20" s="16"/>
      <c r="QZZ20" s="19"/>
      <c r="RAA20" s="16"/>
      <c r="RAB20" s="19"/>
      <c r="RAC20" s="16"/>
      <c r="RAD20" s="19"/>
      <c r="RAE20" s="16"/>
      <c r="RAF20" s="19"/>
      <c r="RAG20" s="16"/>
      <c r="RAH20" s="19"/>
      <c r="RAI20" s="16"/>
      <c r="RAJ20" s="19"/>
      <c r="RAK20" s="16"/>
      <c r="RAL20" s="19"/>
      <c r="RAM20" s="16"/>
      <c r="RAN20" s="19"/>
      <c r="RAO20" s="16"/>
      <c r="RAP20" s="19"/>
      <c r="RAQ20" s="16"/>
      <c r="RAR20" s="19"/>
      <c r="RAS20" s="16"/>
      <c r="RAT20" s="19"/>
      <c r="RAU20" s="16"/>
      <c r="RAV20" s="19"/>
      <c r="RAW20" s="16"/>
      <c r="RAX20" s="19"/>
      <c r="RAY20" s="16"/>
      <c r="RAZ20" s="19"/>
      <c r="RBA20" s="16"/>
      <c r="RBB20" s="19"/>
      <c r="RBC20" s="16"/>
      <c r="RBD20" s="19"/>
      <c r="RBE20" s="16"/>
      <c r="RBF20" s="19"/>
      <c r="RBG20" s="16"/>
      <c r="RBH20" s="19"/>
      <c r="RBI20" s="16"/>
      <c r="RBJ20" s="19"/>
      <c r="RBK20" s="16"/>
      <c r="RBL20" s="19"/>
      <c r="RBM20" s="16"/>
      <c r="RBN20" s="19"/>
      <c r="RBO20" s="16"/>
      <c r="RBP20" s="19"/>
      <c r="RBQ20" s="16"/>
      <c r="RBR20" s="19"/>
      <c r="RBS20" s="16"/>
      <c r="RBT20" s="19"/>
      <c r="RBU20" s="16"/>
      <c r="RBV20" s="19"/>
      <c r="RBW20" s="16"/>
      <c r="RBX20" s="19"/>
      <c r="RBY20" s="16"/>
      <c r="RBZ20" s="19"/>
      <c r="RCA20" s="16"/>
      <c r="RCB20" s="19"/>
      <c r="RCC20" s="16"/>
      <c r="RCD20" s="19"/>
      <c r="RCE20" s="16"/>
      <c r="RCF20" s="19"/>
      <c r="RCG20" s="16"/>
      <c r="RCH20" s="19"/>
      <c r="RCI20" s="16"/>
      <c r="RCJ20" s="19"/>
      <c r="RCK20" s="16"/>
      <c r="RCL20" s="19"/>
      <c r="RCM20" s="16"/>
      <c r="RCN20" s="19"/>
      <c r="RCO20" s="16"/>
      <c r="RCP20" s="19"/>
      <c r="RCQ20" s="16"/>
      <c r="RCR20" s="19"/>
      <c r="RCS20" s="16"/>
      <c r="RCT20" s="19"/>
      <c r="RCU20" s="16"/>
      <c r="RCV20" s="19"/>
      <c r="RCW20" s="16"/>
      <c r="RCX20" s="19"/>
      <c r="RCY20" s="16"/>
      <c r="RCZ20" s="19"/>
      <c r="RDA20" s="16"/>
      <c r="RDB20" s="19"/>
      <c r="RDC20" s="16"/>
      <c r="RDD20" s="19"/>
      <c r="RDE20" s="16"/>
      <c r="RDF20" s="19"/>
      <c r="RDG20" s="16"/>
      <c r="RDH20" s="19"/>
      <c r="RDI20" s="16"/>
      <c r="RDJ20" s="19"/>
      <c r="RDK20" s="16"/>
      <c r="RDL20" s="19"/>
      <c r="RDM20" s="16"/>
      <c r="RDN20" s="19"/>
      <c r="RDO20" s="16"/>
      <c r="RDP20" s="19"/>
      <c r="RDQ20" s="16"/>
      <c r="RDR20" s="19"/>
      <c r="RDS20" s="16"/>
      <c r="RDT20" s="19"/>
      <c r="RDU20" s="16"/>
      <c r="RDV20" s="19"/>
      <c r="RDW20" s="16"/>
      <c r="RDX20" s="19"/>
      <c r="RDY20" s="16"/>
      <c r="RDZ20" s="19"/>
      <c r="REA20" s="16"/>
      <c r="REB20" s="19"/>
      <c r="REC20" s="16"/>
      <c r="RED20" s="19"/>
      <c r="REE20" s="16"/>
      <c r="REF20" s="19"/>
      <c r="REG20" s="16"/>
      <c r="REH20" s="19"/>
      <c r="REI20" s="16"/>
      <c r="REJ20" s="19"/>
      <c r="REK20" s="16"/>
      <c r="REL20" s="19"/>
      <c r="REM20" s="16"/>
      <c r="REN20" s="19"/>
      <c r="REO20" s="16"/>
      <c r="REP20" s="19"/>
      <c r="REQ20" s="16"/>
      <c r="RER20" s="19"/>
      <c r="RES20" s="16"/>
      <c r="RET20" s="19"/>
      <c r="REU20" s="16"/>
      <c r="REV20" s="19"/>
      <c r="REW20" s="16"/>
      <c r="REX20" s="19"/>
      <c r="REY20" s="16"/>
      <c r="REZ20" s="19"/>
      <c r="RFA20" s="16"/>
      <c r="RFB20" s="19"/>
      <c r="RFC20" s="16"/>
      <c r="RFD20" s="19"/>
      <c r="RFE20" s="16"/>
      <c r="RFF20" s="19"/>
      <c r="RFG20" s="16"/>
      <c r="RFH20" s="19"/>
      <c r="RFI20" s="16"/>
      <c r="RFJ20" s="19"/>
      <c r="RFK20" s="16"/>
      <c r="RFL20" s="19"/>
      <c r="RFM20" s="16"/>
      <c r="RFN20" s="19"/>
      <c r="RFO20" s="16"/>
      <c r="RFP20" s="19"/>
      <c r="RFQ20" s="16"/>
      <c r="RFR20" s="19"/>
      <c r="RFS20" s="16"/>
      <c r="RFT20" s="19"/>
      <c r="RFU20" s="16"/>
      <c r="RFV20" s="19"/>
      <c r="RFW20" s="16"/>
      <c r="RFX20" s="19"/>
      <c r="RFY20" s="16"/>
      <c r="RFZ20" s="19"/>
      <c r="RGA20" s="16"/>
      <c r="RGB20" s="19"/>
      <c r="RGC20" s="16"/>
      <c r="RGD20" s="19"/>
      <c r="RGE20" s="16"/>
      <c r="RGF20" s="19"/>
      <c r="RGG20" s="16"/>
      <c r="RGH20" s="19"/>
      <c r="RGI20" s="16"/>
      <c r="RGJ20" s="19"/>
      <c r="RGK20" s="16"/>
      <c r="RGL20" s="19"/>
      <c r="RGM20" s="16"/>
      <c r="RGN20" s="19"/>
      <c r="RGO20" s="16"/>
      <c r="RGP20" s="19"/>
      <c r="RGQ20" s="16"/>
      <c r="RGR20" s="19"/>
      <c r="RGS20" s="16"/>
      <c r="RGT20" s="19"/>
      <c r="RGU20" s="16"/>
      <c r="RGV20" s="19"/>
      <c r="RGW20" s="16"/>
      <c r="RGX20" s="19"/>
      <c r="RGY20" s="16"/>
      <c r="RGZ20" s="19"/>
      <c r="RHA20" s="16"/>
      <c r="RHB20" s="19"/>
      <c r="RHC20" s="16"/>
      <c r="RHD20" s="19"/>
      <c r="RHE20" s="16"/>
      <c r="RHF20" s="19"/>
      <c r="RHG20" s="16"/>
      <c r="RHH20" s="19"/>
      <c r="RHI20" s="16"/>
      <c r="RHJ20" s="19"/>
      <c r="RHK20" s="16"/>
      <c r="RHL20" s="19"/>
      <c r="RHM20" s="16"/>
      <c r="RHN20" s="19"/>
      <c r="RHO20" s="16"/>
      <c r="RHP20" s="19"/>
      <c r="RHQ20" s="16"/>
      <c r="RHR20" s="19"/>
      <c r="RHS20" s="16"/>
      <c r="RHT20" s="19"/>
      <c r="RHU20" s="16"/>
      <c r="RHV20" s="19"/>
      <c r="RHW20" s="16"/>
      <c r="RHX20" s="19"/>
      <c r="RHY20" s="16"/>
      <c r="RHZ20" s="19"/>
      <c r="RIA20" s="16"/>
      <c r="RIB20" s="19"/>
      <c r="RIC20" s="16"/>
      <c r="RID20" s="19"/>
      <c r="RIE20" s="16"/>
      <c r="RIF20" s="19"/>
      <c r="RIG20" s="16"/>
      <c r="RIH20" s="19"/>
      <c r="RII20" s="16"/>
      <c r="RIJ20" s="19"/>
      <c r="RIK20" s="16"/>
      <c r="RIL20" s="19"/>
      <c r="RIM20" s="16"/>
      <c r="RIN20" s="19"/>
      <c r="RIO20" s="16"/>
      <c r="RIP20" s="19"/>
      <c r="RIQ20" s="16"/>
      <c r="RIR20" s="19"/>
      <c r="RIS20" s="16"/>
      <c r="RIT20" s="19"/>
      <c r="RIU20" s="16"/>
      <c r="RIV20" s="19"/>
      <c r="RIW20" s="16"/>
      <c r="RIX20" s="19"/>
      <c r="RIY20" s="16"/>
      <c r="RIZ20" s="19"/>
      <c r="RJA20" s="16"/>
      <c r="RJB20" s="19"/>
      <c r="RJC20" s="16"/>
      <c r="RJD20" s="19"/>
      <c r="RJE20" s="16"/>
      <c r="RJF20" s="19"/>
      <c r="RJG20" s="16"/>
      <c r="RJH20" s="19"/>
      <c r="RJI20" s="16"/>
      <c r="RJJ20" s="19"/>
      <c r="RJK20" s="16"/>
      <c r="RJL20" s="19"/>
      <c r="RJM20" s="16"/>
      <c r="RJN20" s="19"/>
      <c r="RJO20" s="16"/>
      <c r="RJP20" s="19"/>
      <c r="RJQ20" s="16"/>
      <c r="RJR20" s="19"/>
      <c r="RJS20" s="16"/>
      <c r="RJT20" s="19"/>
      <c r="RJU20" s="16"/>
      <c r="RJV20" s="19"/>
      <c r="RJW20" s="16"/>
      <c r="RJX20" s="19"/>
      <c r="RJY20" s="16"/>
      <c r="RJZ20" s="19"/>
      <c r="RKA20" s="16"/>
      <c r="RKB20" s="19"/>
      <c r="RKC20" s="16"/>
      <c r="RKD20" s="19"/>
      <c r="RKE20" s="16"/>
      <c r="RKF20" s="19"/>
      <c r="RKG20" s="16"/>
      <c r="RKH20" s="19"/>
      <c r="RKI20" s="16"/>
      <c r="RKJ20" s="19"/>
      <c r="RKK20" s="16"/>
      <c r="RKL20" s="19"/>
      <c r="RKM20" s="16"/>
      <c r="RKN20" s="19"/>
      <c r="RKO20" s="16"/>
      <c r="RKP20" s="19"/>
      <c r="RKQ20" s="16"/>
      <c r="RKR20" s="19"/>
      <c r="RKS20" s="16"/>
      <c r="RKT20" s="19"/>
      <c r="RKU20" s="16"/>
      <c r="RKV20" s="19"/>
      <c r="RKW20" s="16"/>
      <c r="RKX20" s="19"/>
      <c r="RKY20" s="16"/>
      <c r="RKZ20" s="19"/>
      <c r="RLA20" s="16"/>
      <c r="RLB20" s="19"/>
      <c r="RLC20" s="16"/>
      <c r="RLD20" s="19"/>
      <c r="RLE20" s="16"/>
      <c r="RLF20" s="19"/>
      <c r="RLG20" s="16"/>
      <c r="RLH20" s="19"/>
      <c r="RLI20" s="16"/>
      <c r="RLJ20" s="19"/>
      <c r="RLK20" s="16"/>
      <c r="RLL20" s="19"/>
      <c r="RLM20" s="16"/>
      <c r="RLN20" s="19"/>
      <c r="RLO20" s="16"/>
      <c r="RLP20" s="19"/>
      <c r="RLQ20" s="16"/>
      <c r="RLR20" s="19"/>
      <c r="RLS20" s="16"/>
      <c r="RLT20" s="19"/>
      <c r="RLU20" s="16"/>
      <c r="RLV20" s="19"/>
      <c r="RLW20" s="16"/>
      <c r="RLX20" s="19"/>
      <c r="RLY20" s="16"/>
      <c r="RLZ20" s="19"/>
      <c r="RMA20" s="16"/>
      <c r="RMB20" s="19"/>
      <c r="RMC20" s="16"/>
      <c r="RMD20" s="19"/>
      <c r="RME20" s="16"/>
      <c r="RMF20" s="19"/>
      <c r="RMG20" s="16"/>
      <c r="RMH20" s="19"/>
      <c r="RMI20" s="16"/>
      <c r="RMJ20" s="19"/>
      <c r="RMK20" s="16"/>
      <c r="RML20" s="19"/>
      <c r="RMM20" s="16"/>
      <c r="RMN20" s="19"/>
      <c r="RMO20" s="16"/>
      <c r="RMP20" s="19"/>
      <c r="RMQ20" s="16"/>
      <c r="RMR20" s="19"/>
      <c r="RMS20" s="16"/>
      <c r="RMT20" s="19"/>
      <c r="RMU20" s="16"/>
      <c r="RMV20" s="19"/>
      <c r="RMW20" s="16"/>
      <c r="RMX20" s="19"/>
      <c r="RMY20" s="16"/>
      <c r="RMZ20" s="19"/>
      <c r="RNA20" s="16"/>
      <c r="RNB20" s="19"/>
      <c r="RNC20" s="16"/>
      <c r="RND20" s="19"/>
      <c r="RNE20" s="16"/>
      <c r="RNF20" s="19"/>
      <c r="RNG20" s="16"/>
      <c r="RNH20" s="19"/>
      <c r="RNI20" s="16"/>
      <c r="RNJ20" s="19"/>
      <c r="RNK20" s="16"/>
      <c r="RNL20" s="19"/>
      <c r="RNM20" s="16"/>
      <c r="RNN20" s="19"/>
      <c r="RNO20" s="16"/>
      <c r="RNP20" s="19"/>
      <c r="RNQ20" s="16"/>
      <c r="RNR20" s="19"/>
      <c r="RNS20" s="16"/>
      <c r="RNT20" s="19"/>
      <c r="RNU20" s="16"/>
      <c r="RNV20" s="19"/>
      <c r="RNW20" s="16"/>
      <c r="RNX20" s="19"/>
      <c r="RNY20" s="16"/>
      <c r="RNZ20" s="19"/>
      <c r="ROA20" s="16"/>
      <c r="ROB20" s="19"/>
      <c r="ROC20" s="16"/>
      <c r="ROD20" s="19"/>
      <c r="ROE20" s="16"/>
      <c r="ROF20" s="19"/>
      <c r="ROG20" s="16"/>
      <c r="ROH20" s="19"/>
      <c r="ROI20" s="16"/>
      <c r="ROJ20" s="19"/>
      <c r="ROK20" s="16"/>
      <c r="ROL20" s="19"/>
      <c r="ROM20" s="16"/>
      <c r="RON20" s="19"/>
      <c r="ROO20" s="16"/>
      <c r="ROP20" s="19"/>
      <c r="ROQ20" s="16"/>
      <c r="ROR20" s="19"/>
      <c r="ROS20" s="16"/>
      <c r="ROT20" s="19"/>
      <c r="ROU20" s="16"/>
      <c r="ROV20" s="19"/>
      <c r="ROW20" s="16"/>
      <c r="ROX20" s="19"/>
      <c r="ROY20" s="16"/>
      <c r="ROZ20" s="19"/>
      <c r="RPA20" s="16"/>
      <c r="RPB20" s="19"/>
      <c r="RPC20" s="16"/>
      <c r="RPD20" s="19"/>
      <c r="RPE20" s="16"/>
      <c r="RPF20" s="19"/>
      <c r="RPG20" s="16"/>
      <c r="RPH20" s="19"/>
      <c r="RPI20" s="16"/>
      <c r="RPJ20" s="19"/>
      <c r="RPK20" s="16"/>
      <c r="RPL20" s="19"/>
      <c r="RPM20" s="16"/>
      <c r="RPN20" s="19"/>
      <c r="RPO20" s="16"/>
      <c r="RPP20" s="19"/>
      <c r="RPQ20" s="16"/>
      <c r="RPR20" s="19"/>
      <c r="RPS20" s="16"/>
      <c r="RPT20" s="19"/>
      <c r="RPU20" s="16"/>
      <c r="RPV20" s="19"/>
      <c r="RPW20" s="16"/>
      <c r="RPX20" s="19"/>
      <c r="RPY20" s="16"/>
      <c r="RPZ20" s="19"/>
      <c r="RQA20" s="16"/>
      <c r="RQB20" s="19"/>
      <c r="RQC20" s="16"/>
      <c r="RQD20" s="19"/>
      <c r="RQE20" s="16"/>
      <c r="RQF20" s="19"/>
      <c r="RQG20" s="16"/>
      <c r="RQH20" s="19"/>
      <c r="RQI20" s="16"/>
      <c r="RQJ20" s="19"/>
      <c r="RQK20" s="16"/>
      <c r="RQL20" s="19"/>
      <c r="RQM20" s="16"/>
      <c r="RQN20" s="19"/>
      <c r="RQO20" s="16"/>
      <c r="RQP20" s="19"/>
      <c r="RQQ20" s="16"/>
      <c r="RQR20" s="19"/>
      <c r="RQS20" s="16"/>
      <c r="RQT20" s="19"/>
      <c r="RQU20" s="16"/>
      <c r="RQV20" s="19"/>
      <c r="RQW20" s="16"/>
      <c r="RQX20" s="19"/>
      <c r="RQY20" s="16"/>
      <c r="RQZ20" s="19"/>
      <c r="RRA20" s="16"/>
      <c r="RRB20" s="19"/>
      <c r="RRC20" s="16"/>
      <c r="RRD20" s="19"/>
      <c r="RRE20" s="16"/>
      <c r="RRF20" s="19"/>
      <c r="RRG20" s="16"/>
      <c r="RRH20" s="19"/>
      <c r="RRI20" s="16"/>
      <c r="RRJ20" s="19"/>
      <c r="RRK20" s="16"/>
      <c r="RRL20" s="19"/>
      <c r="RRM20" s="16"/>
      <c r="RRN20" s="19"/>
      <c r="RRO20" s="16"/>
      <c r="RRP20" s="19"/>
      <c r="RRQ20" s="16"/>
      <c r="RRR20" s="19"/>
      <c r="RRS20" s="16"/>
      <c r="RRT20" s="19"/>
      <c r="RRU20" s="16"/>
      <c r="RRV20" s="19"/>
      <c r="RRW20" s="16"/>
      <c r="RRX20" s="19"/>
      <c r="RRY20" s="16"/>
      <c r="RRZ20" s="19"/>
      <c r="RSA20" s="16"/>
      <c r="RSB20" s="19"/>
      <c r="RSC20" s="16"/>
      <c r="RSD20" s="19"/>
      <c r="RSE20" s="16"/>
      <c r="RSF20" s="19"/>
      <c r="RSG20" s="16"/>
      <c r="RSH20" s="19"/>
      <c r="RSI20" s="16"/>
      <c r="RSJ20" s="19"/>
      <c r="RSK20" s="16"/>
      <c r="RSL20" s="19"/>
      <c r="RSM20" s="16"/>
      <c r="RSN20" s="19"/>
      <c r="RSO20" s="16"/>
      <c r="RSP20" s="19"/>
      <c r="RSQ20" s="16"/>
      <c r="RSR20" s="19"/>
      <c r="RSS20" s="16"/>
      <c r="RST20" s="19"/>
      <c r="RSU20" s="16"/>
      <c r="RSV20" s="19"/>
      <c r="RSW20" s="16"/>
      <c r="RSX20" s="19"/>
      <c r="RSY20" s="16"/>
      <c r="RSZ20" s="19"/>
      <c r="RTA20" s="16"/>
      <c r="RTB20" s="19"/>
      <c r="RTC20" s="16"/>
      <c r="RTD20" s="19"/>
      <c r="RTE20" s="16"/>
      <c r="RTF20" s="19"/>
      <c r="RTG20" s="16"/>
      <c r="RTH20" s="19"/>
      <c r="RTI20" s="16"/>
      <c r="RTJ20" s="19"/>
      <c r="RTK20" s="16"/>
      <c r="RTL20" s="19"/>
      <c r="RTM20" s="16"/>
      <c r="RTN20" s="19"/>
      <c r="RTO20" s="16"/>
      <c r="RTP20" s="19"/>
      <c r="RTQ20" s="16"/>
      <c r="RTR20" s="19"/>
      <c r="RTS20" s="16"/>
      <c r="RTT20" s="19"/>
      <c r="RTU20" s="16"/>
      <c r="RTV20" s="19"/>
      <c r="RTW20" s="16"/>
      <c r="RTX20" s="19"/>
      <c r="RTY20" s="16"/>
      <c r="RTZ20" s="19"/>
      <c r="RUA20" s="16"/>
      <c r="RUB20" s="19"/>
      <c r="RUC20" s="16"/>
      <c r="RUD20" s="19"/>
      <c r="RUE20" s="16"/>
      <c r="RUF20" s="19"/>
      <c r="RUG20" s="16"/>
      <c r="RUH20" s="19"/>
      <c r="RUI20" s="16"/>
      <c r="RUJ20" s="19"/>
      <c r="RUK20" s="16"/>
      <c r="RUL20" s="19"/>
      <c r="RUM20" s="16"/>
      <c r="RUN20" s="19"/>
      <c r="RUO20" s="16"/>
      <c r="RUP20" s="19"/>
      <c r="RUQ20" s="16"/>
      <c r="RUR20" s="19"/>
      <c r="RUS20" s="16"/>
      <c r="RUT20" s="19"/>
      <c r="RUU20" s="16"/>
      <c r="RUV20" s="19"/>
      <c r="RUW20" s="16"/>
      <c r="RUX20" s="19"/>
      <c r="RUY20" s="16"/>
      <c r="RUZ20" s="19"/>
      <c r="RVA20" s="16"/>
      <c r="RVB20" s="19"/>
      <c r="RVC20" s="16"/>
      <c r="RVD20" s="19"/>
      <c r="RVE20" s="16"/>
      <c r="RVF20" s="19"/>
      <c r="RVG20" s="16"/>
      <c r="RVH20" s="19"/>
      <c r="RVI20" s="16"/>
      <c r="RVJ20" s="19"/>
      <c r="RVK20" s="16"/>
      <c r="RVL20" s="19"/>
      <c r="RVM20" s="16"/>
      <c r="RVN20" s="19"/>
      <c r="RVO20" s="16"/>
      <c r="RVP20" s="19"/>
      <c r="RVQ20" s="16"/>
      <c r="RVR20" s="19"/>
      <c r="RVS20" s="16"/>
      <c r="RVT20" s="19"/>
      <c r="RVU20" s="16"/>
      <c r="RVV20" s="19"/>
      <c r="RVW20" s="16"/>
      <c r="RVX20" s="19"/>
      <c r="RVY20" s="16"/>
      <c r="RVZ20" s="19"/>
      <c r="RWA20" s="16"/>
      <c r="RWB20" s="19"/>
      <c r="RWC20" s="16"/>
      <c r="RWD20" s="19"/>
      <c r="RWE20" s="16"/>
      <c r="RWF20" s="19"/>
      <c r="RWG20" s="16"/>
      <c r="RWH20" s="19"/>
      <c r="RWI20" s="16"/>
      <c r="RWJ20" s="19"/>
      <c r="RWK20" s="16"/>
      <c r="RWL20" s="19"/>
      <c r="RWM20" s="16"/>
      <c r="RWN20" s="19"/>
      <c r="RWO20" s="16"/>
      <c r="RWP20" s="19"/>
      <c r="RWQ20" s="16"/>
      <c r="RWR20" s="19"/>
      <c r="RWS20" s="16"/>
      <c r="RWT20" s="19"/>
      <c r="RWU20" s="16"/>
      <c r="RWV20" s="19"/>
      <c r="RWW20" s="16"/>
      <c r="RWX20" s="19"/>
      <c r="RWY20" s="16"/>
      <c r="RWZ20" s="19"/>
      <c r="RXA20" s="16"/>
      <c r="RXB20" s="19"/>
      <c r="RXC20" s="16"/>
      <c r="RXD20" s="19"/>
      <c r="RXE20" s="16"/>
      <c r="RXF20" s="19"/>
      <c r="RXG20" s="16"/>
      <c r="RXH20" s="19"/>
      <c r="RXI20" s="16"/>
      <c r="RXJ20" s="19"/>
      <c r="RXK20" s="16"/>
      <c r="RXL20" s="19"/>
      <c r="RXM20" s="16"/>
      <c r="RXN20" s="19"/>
      <c r="RXO20" s="16"/>
      <c r="RXP20" s="19"/>
      <c r="RXQ20" s="16"/>
      <c r="RXR20" s="19"/>
      <c r="RXS20" s="16"/>
      <c r="RXT20" s="19"/>
      <c r="RXU20" s="16"/>
      <c r="RXV20" s="19"/>
      <c r="RXW20" s="16"/>
      <c r="RXX20" s="19"/>
      <c r="RXY20" s="16"/>
      <c r="RXZ20" s="19"/>
      <c r="RYA20" s="16"/>
      <c r="RYB20" s="19"/>
      <c r="RYC20" s="16"/>
      <c r="RYD20" s="19"/>
      <c r="RYE20" s="16"/>
      <c r="RYF20" s="19"/>
      <c r="RYG20" s="16"/>
      <c r="RYH20" s="19"/>
      <c r="RYI20" s="16"/>
      <c r="RYJ20" s="19"/>
      <c r="RYK20" s="16"/>
      <c r="RYL20" s="19"/>
      <c r="RYM20" s="16"/>
      <c r="RYN20" s="19"/>
      <c r="RYO20" s="16"/>
      <c r="RYP20" s="19"/>
      <c r="RYQ20" s="16"/>
      <c r="RYR20" s="19"/>
      <c r="RYS20" s="16"/>
      <c r="RYT20" s="19"/>
      <c r="RYU20" s="16"/>
      <c r="RYV20" s="19"/>
      <c r="RYW20" s="16"/>
      <c r="RYX20" s="19"/>
      <c r="RYY20" s="16"/>
      <c r="RYZ20" s="19"/>
      <c r="RZA20" s="16"/>
      <c r="RZB20" s="19"/>
      <c r="RZC20" s="16"/>
      <c r="RZD20" s="19"/>
      <c r="RZE20" s="16"/>
      <c r="RZF20" s="19"/>
      <c r="RZG20" s="16"/>
      <c r="RZH20" s="19"/>
      <c r="RZI20" s="16"/>
      <c r="RZJ20" s="19"/>
      <c r="RZK20" s="16"/>
      <c r="RZL20" s="19"/>
      <c r="RZM20" s="16"/>
      <c r="RZN20" s="19"/>
      <c r="RZO20" s="16"/>
      <c r="RZP20" s="19"/>
      <c r="RZQ20" s="16"/>
      <c r="RZR20" s="19"/>
      <c r="RZS20" s="16"/>
      <c r="RZT20" s="19"/>
      <c r="RZU20" s="16"/>
      <c r="RZV20" s="19"/>
      <c r="RZW20" s="16"/>
      <c r="RZX20" s="19"/>
      <c r="RZY20" s="16"/>
      <c r="RZZ20" s="19"/>
      <c r="SAA20" s="16"/>
      <c r="SAB20" s="19"/>
      <c r="SAC20" s="16"/>
      <c r="SAD20" s="19"/>
      <c r="SAE20" s="16"/>
      <c r="SAF20" s="19"/>
      <c r="SAG20" s="16"/>
      <c r="SAH20" s="19"/>
      <c r="SAI20" s="16"/>
      <c r="SAJ20" s="19"/>
      <c r="SAK20" s="16"/>
      <c r="SAL20" s="19"/>
      <c r="SAM20" s="16"/>
      <c r="SAN20" s="19"/>
      <c r="SAO20" s="16"/>
      <c r="SAP20" s="19"/>
      <c r="SAQ20" s="16"/>
      <c r="SAR20" s="19"/>
      <c r="SAS20" s="16"/>
      <c r="SAT20" s="19"/>
      <c r="SAU20" s="16"/>
      <c r="SAV20" s="19"/>
      <c r="SAW20" s="16"/>
      <c r="SAX20" s="19"/>
      <c r="SAY20" s="16"/>
      <c r="SAZ20" s="19"/>
      <c r="SBA20" s="16"/>
      <c r="SBB20" s="19"/>
      <c r="SBC20" s="16"/>
      <c r="SBD20" s="19"/>
      <c r="SBE20" s="16"/>
      <c r="SBF20" s="19"/>
      <c r="SBG20" s="16"/>
      <c r="SBH20" s="19"/>
      <c r="SBI20" s="16"/>
      <c r="SBJ20" s="19"/>
      <c r="SBK20" s="16"/>
      <c r="SBL20" s="19"/>
      <c r="SBM20" s="16"/>
      <c r="SBN20" s="19"/>
      <c r="SBO20" s="16"/>
      <c r="SBP20" s="19"/>
      <c r="SBQ20" s="16"/>
      <c r="SBR20" s="19"/>
      <c r="SBS20" s="16"/>
      <c r="SBT20" s="19"/>
      <c r="SBU20" s="16"/>
      <c r="SBV20" s="19"/>
      <c r="SBW20" s="16"/>
      <c r="SBX20" s="19"/>
      <c r="SBY20" s="16"/>
      <c r="SBZ20" s="19"/>
      <c r="SCA20" s="16"/>
      <c r="SCB20" s="19"/>
      <c r="SCC20" s="16"/>
      <c r="SCD20" s="19"/>
      <c r="SCE20" s="16"/>
      <c r="SCF20" s="19"/>
      <c r="SCG20" s="16"/>
      <c r="SCH20" s="19"/>
      <c r="SCI20" s="16"/>
      <c r="SCJ20" s="19"/>
      <c r="SCK20" s="16"/>
      <c r="SCL20" s="19"/>
      <c r="SCM20" s="16"/>
      <c r="SCN20" s="19"/>
      <c r="SCO20" s="16"/>
      <c r="SCP20" s="19"/>
      <c r="SCQ20" s="16"/>
      <c r="SCR20" s="19"/>
      <c r="SCS20" s="16"/>
      <c r="SCT20" s="19"/>
      <c r="SCU20" s="16"/>
      <c r="SCV20" s="19"/>
      <c r="SCW20" s="16"/>
      <c r="SCX20" s="19"/>
      <c r="SCY20" s="16"/>
      <c r="SCZ20" s="19"/>
      <c r="SDA20" s="16"/>
      <c r="SDB20" s="19"/>
      <c r="SDC20" s="16"/>
      <c r="SDD20" s="19"/>
      <c r="SDE20" s="16"/>
      <c r="SDF20" s="19"/>
      <c r="SDG20" s="16"/>
      <c r="SDH20" s="19"/>
      <c r="SDI20" s="16"/>
      <c r="SDJ20" s="19"/>
      <c r="SDK20" s="16"/>
      <c r="SDL20" s="19"/>
      <c r="SDM20" s="16"/>
      <c r="SDN20" s="19"/>
      <c r="SDO20" s="16"/>
      <c r="SDP20" s="19"/>
      <c r="SDQ20" s="16"/>
      <c r="SDR20" s="19"/>
      <c r="SDS20" s="16"/>
      <c r="SDT20" s="19"/>
      <c r="SDU20" s="16"/>
      <c r="SDV20" s="19"/>
      <c r="SDW20" s="16"/>
      <c r="SDX20" s="19"/>
      <c r="SDY20" s="16"/>
      <c r="SDZ20" s="19"/>
      <c r="SEA20" s="16"/>
      <c r="SEB20" s="19"/>
      <c r="SEC20" s="16"/>
      <c r="SED20" s="19"/>
      <c r="SEE20" s="16"/>
      <c r="SEF20" s="19"/>
      <c r="SEG20" s="16"/>
      <c r="SEH20" s="19"/>
      <c r="SEI20" s="16"/>
      <c r="SEJ20" s="19"/>
      <c r="SEK20" s="16"/>
      <c r="SEL20" s="19"/>
      <c r="SEM20" s="16"/>
      <c r="SEN20" s="19"/>
      <c r="SEO20" s="16"/>
      <c r="SEP20" s="19"/>
      <c r="SEQ20" s="16"/>
      <c r="SER20" s="19"/>
      <c r="SES20" s="16"/>
      <c r="SET20" s="19"/>
      <c r="SEU20" s="16"/>
      <c r="SEV20" s="19"/>
      <c r="SEW20" s="16"/>
      <c r="SEX20" s="19"/>
      <c r="SEY20" s="16"/>
      <c r="SEZ20" s="19"/>
      <c r="SFA20" s="16"/>
      <c r="SFB20" s="19"/>
      <c r="SFC20" s="16"/>
      <c r="SFD20" s="19"/>
      <c r="SFE20" s="16"/>
      <c r="SFF20" s="19"/>
      <c r="SFG20" s="16"/>
      <c r="SFH20" s="19"/>
      <c r="SFI20" s="16"/>
      <c r="SFJ20" s="19"/>
      <c r="SFK20" s="16"/>
      <c r="SFL20" s="19"/>
      <c r="SFM20" s="16"/>
      <c r="SFN20" s="19"/>
      <c r="SFO20" s="16"/>
      <c r="SFP20" s="19"/>
      <c r="SFQ20" s="16"/>
      <c r="SFR20" s="19"/>
      <c r="SFS20" s="16"/>
      <c r="SFT20" s="19"/>
      <c r="SFU20" s="16"/>
      <c r="SFV20" s="19"/>
      <c r="SFW20" s="16"/>
      <c r="SFX20" s="19"/>
      <c r="SFY20" s="16"/>
      <c r="SFZ20" s="19"/>
      <c r="SGA20" s="16"/>
      <c r="SGB20" s="19"/>
      <c r="SGC20" s="16"/>
      <c r="SGD20" s="19"/>
      <c r="SGE20" s="16"/>
      <c r="SGF20" s="19"/>
      <c r="SGG20" s="16"/>
      <c r="SGH20" s="19"/>
      <c r="SGI20" s="16"/>
      <c r="SGJ20" s="19"/>
      <c r="SGK20" s="16"/>
      <c r="SGL20" s="19"/>
      <c r="SGM20" s="16"/>
      <c r="SGN20" s="19"/>
      <c r="SGO20" s="16"/>
      <c r="SGP20" s="19"/>
      <c r="SGQ20" s="16"/>
      <c r="SGR20" s="19"/>
      <c r="SGS20" s="16"/>
      <c r="SGT20" s="19"/>
      <c r="SGU20" s="16"/>
      <c r="SGV20" s="19"/>
      <c r="SGW20" s="16"/>
      <c r="SGX20" s="19"/>
      <c r="SGY20" s="16"/>
      <c r="SGZ20" s="19"/>
      <c r="SHA20" s="16"/>
      <c r="SHB20" s="19"/>
      <c r="SHC20" s="16"/>
      <c r="SHD20" s="19"/>
      <c r="SHE20" s="16"/>
      <c r="SHF20" s="19"/>
      <c r="SHG20" s="16"/>
      <c r="SHH20" s="19"/>
      <c r="SHI20" s="16"/>
      <c r="SHJ20" s="19"/>
      <c r="SHK20" s="16"/>
      <c r="SHL20" s="19"/>
      <c r="SHM20" s="16"/>
      <c r="SHN20" s="19"/>
      <c r="SHO20" s="16"/>
      <c r="SHP20" s="19"/>
      <c r="SHQ20" s="16"/>
      <c r="SHR20" s="19"/>
      <c r="SHS20" s="16"/>
      <c r="SHT20" s="19"/>
      <c r="SHU20" s="16"/>
      <c r="SHV20" s="19"/>
      <c r="SHW20" s="16"/>
      <c r="SHX20" s="19"/>
      <c r="SHY20" s="16"/>
      <c r="SHZ20" s="19"/>
      <c r="SIA20" s="16"/>
      <c r="SIB20" s="19"/>
      <c r="SIC20" s="16"/>
      <c r="SID20" s="19"/>
      <c r="SIE20" s="16"/>
      <c r="SIF20" s="19"/>
      <c r="SIG20" s="16"/>
      <c r="SIH20" s="19"/>
      <c r="SII20" s="16"/>
      <c r="SIJ20" s="19"/>
      <c r="SIK20" s="16"/>
      <c r="SIL20" s="19"/>
      <c r="SIM20" s="16"/>
      <c r="SIN20" s="19"/>
      <c r="SIO20" s="16"/>
      <c r="SIP20" s="19"/>
      <c r="SIQ20" s="16"/>
      <c r="SIR20" s="19"/>
      <c r="SIS20" s="16"/>
      <c r="SIT20" s="19"/>
      <c r="SIU20" s="16"/>
      <c r="SIV20" s="19"/>
      <c r="SIW20" s="16"/>
      <c r="SIX20" s="19"/>
      <c r="SIY20" s="16"/>
      <c r="SIZ20" s="19"/>
      <c r="SJA20" s="16"/>
      <c r="SJB20" s="19"/>
      <c r="SJC20" s="16"/>
      <c r="SJD20" s="19"/>
      <c r="SJE20" s="16"/>
      <c r="SJF20" s="19"/>
      <c r="SJG20" s="16"/>
      <c r="SJH20" s="19"/>
      <c r="SJI20" s="16"/>
      <c r="SJJ20" s="19"/>
      <c r="SJK20" s="16"/>
      <c r="SJL20" s="19"/>
      <c r="SJM20" s="16"/>
      <c r="SJN20" s="19"/>
      <c r="SJO20" s="16"/>
      <c r="SJP20" s="19"/>
      <c r="SJQ20" s="16"/>
      <c r="SJR20" s="19"/>
      <c r="SJS20" s="16"/>
      <c r="SJT20" s="19"/>
      <c r="SJU20" s="16"/>
      <c r="SJV20" s="19"/>
      <c r="SJW20" s="16"/>
      <c r="SJX20" s="19"/>
      <c r="SJY20" s="16"/>
      <c r="SJZ20" s="19"/>
      <c r="SKA20" s="16"/>
      <c r="SKB20" s="19"/>
      <c r="SKC20" s="16"/>
      <c r="SKD20" s="19"/>
      <c r="SKE20" s="16"/>
      <c r="SKF20" s="19"/>
      <c r="SKG20" s="16"/>
      <c r="SKH20" s="19"/>
      <c r="SKI20" s="16"/>
      <c r="SKJ20" s="19"/>
      <c r="SKK20" s="16"/>
      <c r="SKL20" s="19"/>
      <c r="SKM20" s="16"/>
      <c r="SKN20" s="19"/>
      <c r="SKO20" s="16"/>
      <c r="SKP20" s="19"/>
      <c r="SKQ20" s="16"/>
      <c r="SKR20" s="19"/>
      <c r="SKS20" s="16"/>
      <c r="SKT20" s="19"/>
      <c r="SKU20" s="16"/>
      <c r="SKV20" s="19"/>
      <c r="SKW20" s="16"/>
      <c r="SKX20" s="19"/>
      <c r="SKY20" s="16"/>
      <c r="SKZ20" s="19"/>
      <c r="SLA20" s="16"/>
      <c r="SLB20" s="19"/>
      <c r="SLC20" s="16"/>
      <c r="SLD20" s="19"/>
      <c r="SLE20" s="16"/>
      <c r="SLF20" s="19"/>
      <c r="SLG20" s="16"/>
      <c r="SLH20" s="19"/>
      <c r="SLI20" s="16"/>
      <c r="SLJ20" s="19"/>
      <c r="SLK20" s="16"/>
      <c r="SLL20" s="19"/>
      <c r="SLM20" s="16"/>
      <c r="SLN20" s="19"/>
      <c r="SLO20" s="16"/>
      <c r="SLP20" s="19"/>
      <c r="SLQ20" s="16"/>
      <c r="SLR20" s="19"/>
      <c r="SLS20" s="16"/>
      <c r="SLT20" s="19"/>
      <c r="SLU20" s="16"/>
      <c r="SLV20" s="19"/>
      <c r="SLW20" s="16"/>
      <c r="SLX20" s="19"/>
      <c r="SLY20" s="16"/>
      <c r="SLZ20" s="19"/>
      <c r="SMA20" s="16"/>
      <c r="SMB20" s="19"/>
      <c r="SMC20" s="16"/>
      <c r="SMD20" s="19"/>
      <c r="SME20" s="16"/>
      <c r="SMF20" s="19"/>
      <c r="SMG20" s="16"/>
      <c r="SMH20" s="19"/>
      <c r="SMI20" s="16"/>
      <c r="SMJ20" s="19"/>
      <c r="SMK20" s="16"/>
      <c r="SML20" s="19"/>
      <c r="SMM20" s="16"/>
      <c r="SMN20" s="19"/>
      <c r="SMO20" s="16"/>
      <c r="SMP20" s="19"/>
      <c r="SMQ20" s="16"/>
      <c r="SMR20" s="19"/>
      <c r="SMS20" s="16"/>
      <c r="SMT20" s="19"/>
      <c r="SMU20" s="16"/>
      <c r="SMV20" s="19"/>
      <c r="SMW20" s="16"/>
      <c r="SMX20" s="19"/>
      <c r="SMY20" s="16"/>
      <c r="SMZ20" s="19"/>
      <c r="SNA20" s="16"/>
      <c r="SNB20" s="19"/>
      <c r="SNC20" s="16"/>
      <c r="SND20" s="19"/>
      <c r="SNE20" s="16"/>
      <c r="SNF20" s="19"/>
      <c r="SNG20" s="16"/>
      <c r="SNH20" s="19"/>
      <c r="SNI20" s="16"/>
      <c r="SNJ20" s="19"/>
      <c r="SNK20" s="16"/>
      <c r="SNL20" s="19"/>
      <c r="SNM20" s="16"/>
      <c r="SNN20" s="19"/>
      <c r="SNO20" s="16"/>
      <c r="SNP20" s="19"/>
      <c r="SNQ20" s="16"/>
      <c r="SNR20" s="19"/>
      <c r="SNS20" s="16"/>
      <c r="SNT20" s="19"/>
      <c r="SNU20" s="16"/>
      <c r="SNV20" s="19"/>
      <c r="SNW20" s="16"/>
      <c r="SNX20" s="19"/>
      <c r="SNY20" s="16"/>
      <c r="SNZ20" s="19"/>
      <c r="SOA20" s="16"/>
      <c r="SOB20" s="19"/>
      <c r="SOC20" s="16"/>
      <c r="SOD20" s="19"/>
      <c r="SOE20" s="16"/>
      <c r="SOF20" s="19"/>
      <c r="SOG20" s="16"/>
      <c r="SOH20" s="19"/>
      <c r="SOI20" s="16"/>
      <c r="SOJ20" s="19"/>
      <c r="SOK20" s="16"/>
      <c r="SOL20" s="19"/>
      <c r="SOM20" s="16"/>
      <c r="SON20" s="19"/>
      <c r="SOO20" s="16"/>
      <c r="SOP20" s="19"/>
      <c r="SOQ20" s="16"/>
      <c r="SOR20" s="19"/>
      <c r="SOS20" s="16"/>
      <c r="SOT20" s="19"/>
      <c r="SOU20" s="16"/>
      <c r="SOV20" s="19"/>
      <c r="SOW20" s="16"/>
      <c r="SOX20" s="19"/>
      <c r="SOY20" s="16"/>
      <c r="SOZ20" s="19"/>
      <c r="SPA20" s="16"/>
      <c r="SPB20" s="19"/>
      <c r="SPC20" s="16"/>
      <c r="SPD20" s="19"/>
      <c r="SPE20" s="16"/>
      <c r="SPF20" s="19"/>
      <c r="SPG20" s="16"/>
      <c r="SPH20" s="19"/>
      <c r="SPI20" s="16"/>
      <c r="SPJ20" s="19"/>
      <c r="SPK20" s="16"/>
      <c r="SPL20" s="19"/>
      <c r="SPM20" s="16"/>
      <c r="SPN20" s="19"/>
      <c r="SPO20" s="16"/>
      <c r="SPP20" s="19"/>
      <c r="SPQ20" s="16"/>
      <c r="SPR20" s="19"/>
      <c r="SPS20" s="16"/>
      <c r="SPT20" s="19"/>
      <c r="SPU20" s="16"/>
      <c r="SPV20" s="19"/>
      <c r="SPW20" s="16"/>
      <c r="SPX20" s="19"/>
      <c r="SPY20" s="16"/>
      <c r="SPZ20" s="19"/>
      <c r="SQA20" s="16"/>
      <c r="SQB20" s="19"/>
      <c r="SQC20" s="16"/>
      <c r="SQD20" s="19"/>
      <c r="SQE20" s="16"/>
      <c r="SQF20" s="19"/>
      <c r="SQG20" s="16"/>
      <c r="SQH20" s="19"/>
      <c r="SQI20" s="16"/>
      <c r="SQJ20" s="19"/>
      <c r="SQK20" s="16"/>
      <c r="SQL20" s="19"/>
      <c r="SQM20" s="16"/>
      <c r="SQN20" s="19"/>
      <c r="SQO20" s="16"/>
      <c r="SQP20" s="19"/>
      <c r="SQQ20" s="16"/>
      <c r="SQR20" s="19"/>
      <c r="SQS20" s="16"/>
      <c r="SQT20" s="19"/>
      <c r="SQU20" s="16"/>
      <c r="SQV20" s="19"/>
      <c r="SQW20" s="16"/>
      <c r="SQX20" s="19"/>
      <c r="SQY20" s="16"/>
      <c r="SQZ20" s="19"/>
      <c r="SRA20" s="16"/>
      <c r="SRB20" s="19"/>
      <c r="SRC20" s="16"/>
      <c r="SRD20" s="19"/>
      <c r="SRE20" s="16"/>
      <c r="SRF20" s="19"/>
      <c r="SRG20" s="16"/>
      <c r="SRH20" s="19"/>
      <c r="SRI20" s="16"/>
      <c r="SRJ20" s="19"/>
      <c r="SRK20" s="16"/>
      <c r="SRL20" s="19"/>
      <c r="SRM20" s="16"/>
      <c r="SRN20" s="19"/>
      <c r="SRO20" s="16"/>
      <c r="SRP20" s="19"/>
      <c r="SRQ20" s="16"/>
      <c r="SRR20" s="19"/>
      <c r="SRS20" s="16"/>
      <c r="SRT20" s="19"/>
      <c r="SRU20" s="16"/>
      <c r="SRV20" s="19"/>
      <c r="SRW20" s="16"/>
      <c r="SRX20" s="19"/>
      <c r="SRY20" s="16"/>
      <c r="SRZ20" s="19"/>
      <c r="SSA20" s="16"/>
      <c r="SSB20" s="19"/>
      <c r="SSC20" s="16"/>
      <c r="SSD20" s="19"/>
      <c r="SSE20" s="16"/>
      <c r="SSF20" s="19"/>
      <c r="SSG20" s="16"/>
      <c r="SSH20" s="19"/>
      <c r="SSI20" s="16"/>
      <c r="SSJ20" s="19"/>
      <c r="SSK20" s="16"/>
      <c r="SSL20" s="19"/>
      <c r="SSM20" s="16"/>
      <c r="SSN20" s="19"/>
      <c r="SSO20" s="16"/>
      <c r="SSP20" s="19"/>
      <c r="SSQ20" s="16"/>
      <c r="SSR20" s="19"/>
      <c r="SSS20" s="16"/>
      <c r="SST20" s="19"/>
      <c r="SSU20" s="16"/>
      <c r="SSV20" s="19"/>
      <c r="SSW20" s="16"/>
      <c r="SSX20" s="19"/>
      <c r="SSY20" s="16"/>
      <c r="SSZ20" s="19"/>
      <c r="STA20" s="16"/>
      <c r="STB20" s="19"/>
      <c r="STC20" s="16"/>
      <c r="STD20" s="19"/>
      <c r="STE20" s="16"/>
      <c r="STF20" s="19"/>
      <c r="STG20" s="16"/>
      <c r="STH20" s="19"/>
      <c r="STI20" s="16"/>
      <c r="STJ20" s="19"/>
      <c r="STK20" s="16"/>
      <c r="STL20" s="19"/>
      <c r="STM20" s="16"/>
      <c r="STN20" s="19"/>
      <c r="STO20" s="16"/>
      <c r="STP20" s="19"/>
      <c r="STQ20" s="16"/>
      <c r="STR20" s="19"/>
      <c r="STS20" s="16"/>
      <c r="STT20" s="19"/>
      <c r="STU20" s="16"/>
      <c r="STV20" s="19"/>
      <c r="STW20" s="16"/>
      <c r="STX20" s="19"/>
      <c r="STY20" s="16"/>
      <c r="STZ20" s="19"/>
      <c r="SUA20" s="16"/>
      <c r="SUB20" s="19"/>
      <c r="SUC20" s="16"/>
      <c r="SUD20" s="19"/>
      <c r="SUE20" s="16"/>
      <c r="SUF20" s="19"/>
      <c r="SUG20" s="16"/>
      <c r="SUH20" s="19"/>
      <c r="SUI20" s="16"/>
      <c r="SUJ20" s="19"/>
      <c r="SUK20" s="16"/>
      <c r="SUL20" s="19"/>
      <c r="SUM20" s="16"/>
      <c r="SUN20" s="19"/>
      <c r="SUO20" s="16"/>
      <c r="SUP20" s="19"/>
      <c r="SUQ20" s="16"/>
      <c r="SUR20" s="19"/>
      <c r="SUS20" s="16"/>
      <c r="SUT20" s="19"/>
      <c r="SUU20" s="16"/>
      <c r="SUV20" s="19"/>
      <c r="SUW20" s="16"/>
      <c r="SUX20" s="19"/>
      <c r="SUY20" s="16"/>
      <c r="SUZ20" s="19"/>
      <c r="SVA20" s="16"/>
      <c r="SVB20" s="19"/>
      <c r="SVC20" s="16"/>
      <c r="SVD20" s="19"/>
      <c r="SVE20" s="16"/>
      <c r="SVF20" s="19"/>
      <c r="SVG20" s="16"/>
      <c r="SVH20" s="19"/>
      <c r="SVI20" s="16"/>
      <c r="SVJ20" s="19"/>
      <c r="SVK20" s="16"/>
      <c r="SVL20" s="19"/>
      <c r="SVM20" s="16"/>
      <c r="SVN20" s="19"/>
      <c r="SVO20" s="16"/>
      <c r="SVP20" s="19"/>
      <c r="SVQ20" s="16"/>
      <c r="SVR20" s="19"/>
      <c r="SVS20" s="16"/>
      <c r="SVT20" s="19"/>
      <c r="SVU20" s="16"/>
      <c r="SVV20" s="19"/>
      <c r="SVW20" s="16"/>
      <c r="SVX20" s="19"/>
      <c r="SVY20" s="16"/>
      <c r="SVZ20" s="19"/>
      <c r="SWA20" s="16"/>
      <c r="SWB20" s="19"/>
      <c r="SWC20" s="16"/>
      <c r="SWD20" s="19"/>
      <c r="SWE20" s="16"/>
      <c r="SWF20" s="19"/>
      <c r="SWG20" s="16"/>
      <c r="SWH20" s="19"/>
      <c r="SWI20" s="16"/>
      <c r="SWJ20" s="19"/>
      <c r="SWK20" s="16"/>
      <c r="SWL20" s="19"/>
      <c r="SWM20" s="16"/>
      <c r="SWN20" s="19"/>
      <c r="SWO20" s="16"/>
      <c r="SWP20" s="19"/>
      <c r="SWQ20" s="16"/>
      <c r="SWR20" s="19"/>
      <c r="SWS20" s="16"/>
      <c r="SWT20" s="19"/>
      <c r="SWU20" s="16"/>
      <c r="SWV20" s="19"/>
      <c r="SWW20" s="16"/>
      <c r="SWX20" s="19"/>
      <c r="SWY20" s="16"/>
      <c r="SWZ20" s="19"/>
      <c r="SXA20" s="16"/>
      <c r="SXB20" s="19"/>
      <c r="SXC20" s="16"/>
      <c r="SXD20" s="19"/>
      <c r="SXE20" s="16"/>
      <c r="SXF20" s="19"/>
      <c r="SXG20" s="16"/>
      <c r="SXH20" s="19"/>
      <c r="SXI20" s="16"/>
      <c r="SXJ20" s="19"/>
      <c r="SXK20" s="16"/>
      <c r="SXL20" s="19"/>
      <c r="SXM20" s="16"/>
      <c r="SXN20" s="19"/>
      <c r="SXO20" s="16"/>
      <c r="SXP20" s="19"/>
      <c r="SXQ20" s="16"/>
      <c r="SXR20" s="19"/>
      <c r="SXS20" s="16"/>
      <c r="SXT20" s="19"/>
      <c r="SXU20" s="16"/>
      <c r="SXV20" s="19"/>
      <c r="SXW20" s="16"/>
      <c r="SXX20" s="19"/>
      <c r="SXY20" s="16"/>
      <c r="SXZ20" s="19"/>
      <c r="SYA20" s="16"/>
      <c r="SYB20" s="19"/>
      <c r="SYC20" s="16"/>
      <c r="SYD20" s="19"/>
      <c r="SYE20" s="16"/>
      <c r="SYF20" s="19"/>
      <c r="SYG20" s="16"/>
      <c r="SYH20" s="19"/>
      <c r="SYI20" s="16"/>
      <c r="SYJ20" s="19"/>
      <c r="SYK20" s="16"/>
      <c r="SYL20" s="19"/>
      <c r="SYM20" s="16"/>
      <c r="SYN20" s="19"/>
      <c r="SYO20" s="16"/>
      <c r="SYP20" s="19"/>
      <c r="SYQ20" s="16"/>
      <c r="SYR20" s="19"/>
      <c r="SYS20" s="16"/>
      <c r="SYT20" s="19"/>
      <c r="SYU20" s="16"/>
      <c r="SYV20" s="19"/>
      <c r="SYW20" s="16"/>
      <c r="SYX20" s="19"/>
      <c r="SYY20" s="16"/>
      <c r="SYZ20" s="19"/>
      <c r="SZA20" s="16"/>
      <c r="SZB20" s="19"/>
      <c r="SZC20" s="16"/>
      <c r="SZD20" s="19"/>
      <c r="SZE20" s="16"/>
      <c r="SZF20" s="19"/>
      <c r="SZG20" s="16"/>
      <c r="SZH20" s="19"/>
      <c r="SZI20" s="16"/>
      <c r="SZJ20" s="19"/>
      <c r="SZK20" s="16"/>
      <c r="SZL20" s="19"/>
      <c r="SZM20" s="16"/>
      <c r="SZN20" s="19"/>
      <c r="SZO20" s="16"/>
      <c r="SZP20" s="19"/>
      <c r="SZQ20" s="16"/>
      <c r="SZR20" s="19"/>
      <c r="SZS20" s="16"/>
      <c r="SZT20" s="19"/>
      <c r="SZU20" s="16"/>
      <c r="SZV20" s="19"/>
      <c r="SZW20" s="16"/>
      <c r="SZX20" s="19"/>
      <c r="SZY20" s="16"/>
      <c r="SZZ20" s="19"/>
      <c r="TAA20" s="16"/>
      <c r="TAB20" s="19"/>
      <c r="TAC20" s="16"/>
      <c r="TAD20" s="19"/>
      <c r="TAE20" s="16"/>
      <c r="TAF20" s="19"/>
      <c r="TAG20" s="16"/>
      <c r="TAH20" s="19"/>
      <c r="TAI20" s="16"/>
      <c r="TAJ20" s="19"/>
      <c r="TAK20" s="16"/>
      <c r="TAL20" s="19"/>
      <c r="TAM20" s="16"/>
      <c r="TAN20" s="19"/>
      <c r="TAO20" s="16"/>
      <c r="TAP20" s="19"/>
      <c r="TAQ20" s="16"/>
      <c r="TAR20" s="19"/>
      <c r="TAS20" s="16"/>
      <c r="TAT20" s="19"/>
      <c r="TAU20" s="16"/>
      <c r="TAV20" s="19"/>
      <c r="TAW20" s="16"/>
      <c r="TAX20" s="19"/>
      <c r="TAY20" s="16"/>
      <c r="TAZ20" s="19"/>
      <c r="TBA20" s="16"/>
      <c r="TBB20" s="19"/>
      <c r="TBC20" s="16"/>
      <c r="TBD20" s="19"/>
      <c r="TBE20" s="16"/>
      <c r="TBF20" s="19"/>
      <c r="TBG20" s="16"/>
      <c r="TBH20" s="19"/>
      <c r="TBI20" s="16"/>
      <c r="TBJ20" s="19"/>
      <c r="TBK20" s="16"/>
      <c r="TBL20" s="19"/>
      <c r="TBM20" s="16"/>
      <c r="TBN20" s="19"/>
      <c r="TBO20" s="16"/>
      <c r="TBP20" s="19"/>
      <c r="TBQ20" s="16"/>
      <c r="TBR20" s="19"/>
      <c r="TBS20" s="16"/>
      <c r="TBT20" s="19"/>
      <c r="TBU20" s="16"/>
      <c r="TBV20" s="19"/>
      <c r="TBW20" s="16"/>
      <c r="TBX20" s="19"/>
      <c r="TBY20" s="16"/>
      <c r="TBZ20" s="19"/>
      <c r="TCA20" s="16"/>
      <c r="TCB20" s="19"/>
      <c r="TCC20" s="16"/>
      <c r="TCD20" s="19"/>
      <c r="TCE20" s="16"/>
      <c r="TCF20" s="19"/>
      <c r="TCG20" s="16"/>
      <c r="TCH20" s="19"/>
      <c r="TCI20" s="16"/>
      <c r="TCJ20" s="19"/>
      <c r="TCK20" s="16"/>
      <c r="TCL20" s="19"/>
      <c r="TCM20" s="16"/>
      <c r="TCN20" s="19"/>
      <c r="TCO20" s="16"/>
      <c r="TCP20" s="19"/>
      <c r="TCQ20" s="16"/>
      <c r="TCR20" s="19"/>
      <c r="TCS20" s="16"/>
      <c r="TCT20" s="19"/>
      <c r="TCU20" s="16"/>
      <c r="TCV20" s="19"/>
      <c r="TCW20" s="16"/>
      <c r="TCX20" s="19"/>
      <c r="TCY20" s="16"/>
      <c r="TCZ20" s="19"/>
      <c r="TDA20" s="16"/>
      <c r="TDB20" s="19"/>
      <c r="TDC20" s="16"/>
      <c r="TDD20" s="19"/>
      <c r="TDE20" s="16"/>
      <c r="TDF20" s="19"/>
      <c r="TDG20" s="16"/>
      <c r="TDH20" s="19"/>
      <c r="TDI20" s="16"/>
      <c r="TDJ20" s="19"/>
      <c r="TDK20" s="16"/>
      <c r="TDL20" s="19"/>
      <c r="TDM20" s="16"/>
      <c r="TDN20" s="19"/>
      <c r="TDO20" s="16"/>
      <c r="TDP20" s="19"/>
      <c r="TDQ20" s="16"/>
      <c r="TDR20" s="19"/>
      <c r="TDS20" s="16"/>
      <c r="TDT20" s="19"/>
      <c r="TDU20" s="16"/>
      <c r="TDV20" s="19"/>
      <c r="TDW20" s="16"/>
      <c r="TDX20" s="19"/>
      <c r="TDY20" s="16"/>
      <c r="TDZ20" s="19"/>
      <c r="TEA20" s="16"/>
      <c r="TEB20" s="19"/>
      <c r="TEC20" s="16"/>
      <c r="TED20" s="19"/>
      <c r="TEE20" s="16"/>
      <c r="TEF20" s="19"/>
      <c r="TEG20" s="16"/>
      <c r="TEH20" s="19"/>
      <c r="TEI20" s="16"/>
      <c r="TEJ20" s="19"/>
      <c r="TEK20" s="16"/>
      <c r="TEL20" s="19"/>
      <c r="TEM20" s="16"/>
      <c r="TEN20" s="19"/>
      <c r="TEO20" s="16"/>
      <c r="TEP20" s="19"/>
      <c r="TEQ20" s="16"/>
      <c r="TER20" s="19"/>
      <c r="TES20" s="16"/>
      <c r="TET20" s="19"/>
      <c r="TEU20" s="16"/>
      <c r="TEV20" s="19"/>
      <c r="TEW20" s="16"/>
      <c r="TEX20" s="19"/>
      <c r="TEY20" s="16"/>
      <c r="TEZ20" s="19"/>
      <c r="TFA20" s="16"/>
      <c r="TFB20" s="19"/>
      <c r="TFC20" s="16"/>
      <c r="TFD20" s="19"/>
      <c r="TFE20" s="16"/>
      <c r="TFF20" s="19"/>
      <c r="TFG20" s="16"/>
      <c r="TFH20" s="19"/>
      <c r="TFI20" s="16"/>
      <c r="TFJ20" s="19"/>
      <c r="TFK20" s="16"/>
      <c r="TFL20" s="19"/>
      <c r="TFM20" s="16"/>
      <c r="TFN20" s="19"/>
      <c r="TFO20" s="16"/>
      <c r="TFP20" s="19"/>
      <c r="TFQ20" s="16"/>
      <c r="TFR20" s="19"/>
      <c r="TFS20" s="16"/>
      <c r="TFT20" s="19"/>
      <c r="TFU20" s="16"/>
      <c r="TFV20" s="19"/>
      <c r="TFW20" s="16"/>
      <c r="TFX20" s="19"/>
      <c r="TFY20" s="16"/>
      <c r="TFZ20" s="19"/>
      <c r="TGA20" s="16"/>
      <c r="TGB20" s="19"/>
      <c r="TGC20" s="16"/>
      <c r="TGD20" s="19"/>
      <c r="TGE20" s="16"/>
      <c r="TGF20" s="19"/>
      <c r="TGG20" s="16"/>
      <c r="TGH20" s="19"/>
      <c r="TGI20" s="16"/>
      <c r="TGJ20" s="19"/>
      <c r="TGK20" s="16"/>
      <c r="TGL20" s="19"/>
      <c r="TGM20" s="16"/>
      <c r="TGN20" s="19"/>
      <c r="TGO20" s="16"/>
      <c r="TGP20" s="19"/>
      <c r="TGQ20" s="16"/>
      <c r="TGR20" s="19"/>
      <c r="TGS20" s="16"/>
      <c r="TGT20" s="19"/>
      <c r="TGU20" s="16"/>
      <c r="TGV20" s="19"/>
      <c r="TGW20" s="16"/>
      <c r="TGX20" s="19"/>
      <c r="TGY20" s="16"/>
      <c r="TGZ20" s="19"/>
      <c r="THA20" s="16"/>
      <c r="THB20" s="19"/>
      <c r="THC20" s="16"/>
      <c r="THD20" s="19"/>
      <c r="THE20" s="16"/>
      <c r="THF20" s="19"/>
      <c r="THG20" s="16"/>
      <c r="THH20" s="19"/>
      <c r="THI20" s="16"/>
      <c r="THJ20" s="19"/>
      <c r="THK20" s="16"/>
      <c r="THL20" s="19"/>
      <c r="THM20" s="16"/>
      <c r="THN20" s="19"/>
      <c r="THO20" s="16"/>
      <c r="THP20" s="19"/>
      <c r="THQ20" s="16"/>
      <c r="THR20" s="19"/>
      <c r="THS20" s="16"/>
      <c r="THT20" s="19"/>
      <c r="THU20" s="16"/>
      <c r="THV20" s="19"/>
      <c r="THW20" s="16"/>
      <c r="THX20" s="19"/>
      <c r="THY20" s="16"/>
      <c r="THZ20" s="19"/>
      <c r="TIA20" s="16"/>
      <c r="TIB20" s="19"/>
      <c r="TIC20" s="16"/>
      <c r="TID20" s="19"/>
      <c r="TIE20" s="16"/>
      <c r="TIF20" s="19"/>
      <c r="TIG20" s="16"/>
      <c r="TIH20" s="19"/>
      <c r="TII20" s="16"/>
      <c r="TIJ20" s="19"/>
      <c r="TIK20" s="16"/>
      <c r="TIL20" s="19"/>
      <c r="TIM20" s="16"/>
      <c r="TIN20" s="19"/>
      <c r="TIO20" s="16"/>
      <c r="TIP20" s="19"/>
      <c r="TIQ20" s="16"/>
      <c r="TIR20" s="19"/>
      <c r="TIS20" s="16"/>
      <c r="TIT20" s="19"/>
      <c r="TIU20" s="16"/>
      <c r="TIV20" s="19"/>
      <c r="TIW20" s="16"/>
      <c r="TIX20" s="19"/>
      <c r="TIY20" s="16"/>
      <c r="TIZ20" s="19"/>
      <c r="TJA20" s="16"/>
      <c r="TJB20" s="19"/>
      <c r="TJC20" s="16"/>
      <c r="TJD20" s="19"/>
      <c r="TJE20" s="16"/>
      <c r="TJF20" s="19"/>
      <c r="TJG20" s="16"/>
      <c r="TJH20" s="19"/>
      <c r="TJI20" s="16"/>
      <c r="TJJ20" s="19"/>
      <c r="TJK20" s="16"/>
      <c r="TJL20" s="19"/>
      <c r="TJM20" s="16"/>
      <c r="TJN20" s="19"/>
      <c r="TJO20" s="16"/>
      <c r="TJP20" s="19"/>
      <c r="TJQ20" s="16"/>
      <c r="TJR20" s="19"/>
      <c r="TJS20" s="16"/>
      <c r="TJT20" s="19"/>
      <c r="TJU20" s="16"/>
      <c r="TJV20" s="19"/>
      <c r="TJW20" s="16"/>
      <c r="TJX20" s="19"/>
      <c r="TJY20" s="16"/>
      <c r="TJZ20" s="19"/>
      <c r="TKA20" s="16"/>
      <c r="TKB20" s="19"/>
      <c r="TKC20" s="16"/>
      <c r="TKD20" s="19"/>
      <c r="TKE20" s="16"/>
      <c r="TKF20" s="19"/>
      <c r="TKG20" s="16"/>
      <c r="TKH20" s="19"/>
      <c r="TKI20" s="16"/>
      <c r="TKJ20" s="19"/>
      <c r="TKK20" s="16"/>
      <c r="TKL20" s="19"/>
      <c r="TKM20" s="16"/>
      <c r="TKN20" s="19"/>
      <c r="TKO20" s="16"/>
      <c r="TKP20" s="19"/>
      <c r="TKQ20" s="16"/>
      <c r="TKR20" s="19"/>
      <c r="TKS20" s="16"/>
      <c r="TKT20" s="19"/>
      <c r="TKU20" s="16"/>
      <c r="TKV20" s="19"/>
      <c r="TKW20" s="16"/>
      <c r="TKX20" s="19"/>
      <c r="TKY20" s="16"/>
      <c r="TKZ20" s="19"/>
      <c r="TLA20" s="16"/>
      <c r="TLB20" s="19"/>
      <c r="TLC20" s="16"/>
      <c r="TLD20" s="19"/>
      <c r="TLE20" s="16"/>
      <c r="TLF20" s="19"/>
      <c r="TLG20" s="16"/>
      <c r="TLH20" s="19"/>
      <c r="TLI20" s="16"/>
      <c r="TLJ20" s="19"/>
      <c r="TLK20" s="16"/>
      <c r="TLL20" s="19"/>
      <c r="TLM20" s="16"/>
      <c r="TLN20" s="19"/>
      <c r="TLO20" s="16"/>
      <c r="TLP20" s="19"/>
      <c r="TLQ20" s="16"/>
      <c r="TLR20" s="19"/>
      <c r="TLS20" s="16"/>
      <c r="TLT20" s="19"/>
      <c r="TLU20" s="16"/>
      <c r="TLV20" s="19"/>
      <c r="TLW20" s="16"/>
      <c r="TLX20" s="19"/>
      <c r="TLY20" s="16"/>
      <c r="TLZ20" s="19"/>
      <c r="TMA20" s="16"/>
      <c r="TMB20" s="19"/>
      <c r="TMC20" s="16"/>
      <c r="TMD20" s="19"/>
      <c r="TME20" s="16"/>
      <c r="TMF20" s="19"/>
      <c r="TMG20" s="16"/>
      <c r="TMH20" s="19"/>
      <c r="TMI20" s="16"/>
      <c r="TMJ20" s="19"/>
      <c r="TMK20" s="16"/>
      <c r="TML20" s="19"/>
      <c r="TMM20" s="16"/>
      <c r="TMN20" s="19"/>
      <c r="TMO20" s="16"/>
      <c r="TMP20" s="19"/>
      <c r="TMQ20" s="16"/>
      <c r="TMR20" s="19"/>
      <c r="TMS20" s="16"/>
      <c r="TMT20" s="19"/>
      <c r="TMU20" s="16"/>
      <c r="TMV20" s="19"/>
      <c r="TMW20" s="16"/>
      <c r="TMX20" s="19"/>
      <c r="TMY20" s="16"/>
      <c r="TMZ20" s="19"/>
      <c r="TNA20" s="16"/>
      <c r="TNB20" s="19"/>
      <c r="TNC20" s="16"/>
      <c r="TND20" s="19"/>
      <c r="TNE20" s="16"/>
      <c r="TNF20" s="19"/>
      <c r="TNG20" s="16"/>
      <c r="TNH20" s="19"/>
      <c r="TNI20" s="16"/>
      <c r="TNJ20" s="19"/>
      <c r="TNK20" s="16"/>
      <c r="TNL20" s="19"/>
      <c r="TNM20" s="16"/>
      <c r="TNN20" s="19"/>
      <c r="TNO20" s="16"/>
      <c r="TNP20" s="19"/>
      <c r="TNQ20" s="16"/>
      <c r="TNR20" s="19"/>
      <c r="TNS20" s="16"/>
      <c r="TNT20" s="19"/>
      <c r="TNU20" s="16"/>
      <c r="TNV20" s="19"/>
      <c r="TNW20" s="16"/>
      <c r="TNX20" s="19"/>
      <c r="TNY20" s="16"/>
      <c r="TNZ20" s="19"/>
      <c r="TOA20" s="16"/>
      <c r="TOB20" s="19"/>
      <c r="TOC20" s="16"/>
      <c r="TOD20" s="19"/>
      <c r="TOE20" s="16"/>
      <c r="TOF20" s="19"/>
      <c r="TOG20" s="16"/>
      <c r="TOH20" s="19"/>
      <c r="TOI20" s="16"/>
      <c r="TOJ20" s="19"/>
      <c r="TOK20" s="16"/>
      <c r="TOL20" s="19"/>
      <c r="TOM20" s="16"/>
      <c r="TON20" s="19"/>
      <c r="TOO20" s="16"/>
      <c r="TOP20" s="19"/>
      <c r="TOQ20" s="16"/>
      <c r="TOR20" s="19"/>
      <c r="TOS20" s="16"/>
      <c r="TOT20" s="19"/>
      <c r="TOU20" s="16"/>
      <c r="TOV20" s="19"/>
      <c r="TOW20" s="16"/>
      <c r="TOX20" s="19"/>
      <c r="TOY20" s="16"/>
      <c r="TOZ20" s="19"/>
      <c r="TPA20" s="16"/>
      <c r="TPB20" s="19"/>
      <c r="TPC20" s="16"/>
      <c r="TPD20" s="19"/>
      <c r="TPE20" s="16"/>
      <c r="TPF20" s="19"/>
      <c r="TPG20" s="16"/>
      <c r="TPH20" s="19"/>
      <c r="TPI20" s="16"/>
      <c r="TPJ20" s="19"/>
      <c r="TPK20" s="16"/>
      <c r="TPL20" s="19"/>
      <c r="TPM20" s="16"/>
      <c r="TPN20" s="19"/>
      <c r="TPO20" s="16"/>
      <c r="TPP20" s="19"/>
      <c r="TPQ20" s="16"/>
      <c r="TPR20" s="19"/>
      <c r="TPS20" s="16"/>
      <c r="TPT20" s="19"/>
      <c r="TPU20" s="16"/>
      <c r="TPV20" s="19"/>
      <c r="TPW20" s="16"/>
      <c r="TPX20" s="19"/>
      <c r="TPY20" s="16"/>
      <c r="TPZ20" s="19"/>
      <c r="TQA20" s="16"/>
      <c r="TQB20" s="19"/>
      <c r="TQC20" s="16"/>
      <c r="TQD20" s="19"/>
      <c r="TQE20" s="16"/>
      <c r="TQF20" s="19"/>
      <c r="TQG20" s="16"/>
      <c r="TQH20" s="19"/>
      <c r="TQI20" s="16"/>
      <c r="TQJ20" s="19"/>
      <c r="TQK20" s="16"/>
      <c r="TQL20" s="19"/>
      <c r="TQM20" s="16"/>
      <c r="TQN20" s="19"/>
      <c r="TQO20" s="16"/>
      <c r="TQP20" s="19"/>
      <c r="TQQ20" s="16"/>
      <c r="TQR20" s="19"/>
      <c r="TQS20" s="16"/>
      <c r="TQT20" s="19"/>
      <c r="TQU20" s="16"/>
      <c r="TQV20" s="19"/>
      <c r="TQW20" s="16"/>
      <c r="TQX20" s="19"/>
      <c r="TQY20" s="16"/>
      <c r="TQZ20" s="19"/>
      <c r="TRA20" s="16"/>
      <c r="TRB20" s="19"/>
      <c r="TRC20" s="16"/>
      <c r="TRD20" s="19"/>
      <c r="TRE20" s="16"/>
      <c r="TRF20" s="19"/>
      <c r="TRG20" s="16"/>
      <c r="TRH20" s="19"/>
      <c r="TRI20" s="16"/>
      <c r="TRJ20" s="19"/>
      <c r="TRK20" s="16"/>
      <c r="TRL20" s="19"/>
      <c r="TRM20" s="16"/>
      <c r="TRN20" s="19"/>
      <c r="TRO20" s="16"/>
      <c r="TRP20" s="19"/>
      <c r="TRQ20" s="16"/>
      <c r="TRR20" s="19"/>
      <c r="TRS20" s="16"/>
      <c r="TRT20" s="19"/>
      <c r="TRU20" s="16"/>
      <c r="TRV20" s="19"/>
      <c r="TRW20" s="16"/>
      <c r="TRX20" s="19"/>
      <c r="TRY20" s="16"/>
      <c r="TRZ20" s="19"/>
      <c r="TSA20" s="16"/>
      <c r="TSB20" s="19"/>
      <c r="TSC20" s="16"/>
      <c r="TSD20" s="19"/>
      <c r="TSE20" s="16"/>
      <c r="TSF20" s="19"/>
      <c r="TSG20" s="16"/>
      <c r="TSH20" s="19"/>
      <c r="TSI20" s="16"/>
      <c r="TSJ20" s="19"/>
      <c r="TSK20" s="16"/>
      <c r="TSL20" s="19"/>
      <c r="TSM20" s="16"/>
      <c r="TSN20" s="19"/>
      <c r="TSO20" s="16"/>
      <c r="TSP20" s="19"/>
      <c r="TSQ20" s="16"/>
      <c r="TSR20" s="19"/>
      <c r="TSS20" s="16"/>
      <c r="TST20" s="19"/>
      <c r="TSU20" s="16"/>
      <c r="TSV20" s="19"/>
      <c r="TSW20" s="16"/>
      <c r="TSX20" s="19"/>
      <c r="TSY20" s="16"/>
      <c r="TSZ20" s="19"/>
      <c r="TTA20" s="16"/>
      <c r="TTB20" s="19"/>
      <c r="TTC20" s="16"/>
      <c r="TTD20" s="19"/>
      <c r="TTE20" s="16"/>
      <c r="TTF20" s="19"/>
      <c r="TTG20" s="16"/>
      <c r="TTH20" s="19"/>
      <c r="TTI20" s="16"/>
      <c r="TTJ20" s="19"/>
      <c r="TTK20" s="16"/>
      <c r="TTL20" s="19"/>
      <c r="TTM20" s="16"/>
      <c r="TTN20" s="19"/>
      <c r="TTO20" s="16"/>
      <c r="TTP20" s="19"/>
      <c r="TTQ20" s="16"/>
      <c r="TTR20" s="19"/>
      <c r="TTS20" s="16"/>
      <c r="TTT20" s="19"/>
      <c r="TTU20" s="16"/>
      <c r="TTV20" s="19"/>
      <c r="TTW20" s="16"/>
      <c r="TTX20" s="19"/>
      <c r="TTY20" s="16"/>
      <c r="TTZ20" s="19"/>
      <c r="TUA20" s="16"/>
      <c r="TUB20" s="19"/>
      <c r="TUC20" s="16"/>
      <c r="TUD20" s="19"/>
      <c r="TUE20" s="16"/>
      <c r="TUF20" s="19"/>
      <c r="TUG20" s="16"/>
      <c r="TUH20" s="19"/>
      <c r="TUI20" s="16"/>
      <c r="TUJ20" s="19"/>
      <c r="TUK20" s="16"/>
      <c r="TUL20" s="19"/>
      <c r="TUM20" s="16"/>
      <c r="TUN20" s="19"/>
      <c r="TUO20" s="16"/>
      <c r="TUP20" s="19"/>
      <c r="TUQ20" s="16"/>
      <c r="TUR20" s="19"/>
      <c r="TUS20" s="16"/>
      <c r="TUT20" s="19"/>
      <c r="TUU20" s="16"/>
      <c r="TUV20" s="19"/>
      <c r="TUW20" s="16"/>
      <c r="TUX20" s="19"/>
      <c r="TUY20" s="16"/>
      <c r="TUZ20" s="19"/>
      <c r="TVA20" s="16"/>
      <c r="TVB20" s="19"/>
      <c r="TVC20" s="16"/>
      <c r="TVD20" s="19"/>
      <c r="TVE20" s="16"/>
      <c r="TVF20" s="19"/>
      <c r="TVG20" s="16"/>
      <c r="TVH20" s="19"/>
      <c r="TVI20" s="16"/>
      <c r="TVJ20" s="19"/>
      <c r="TVK20" s="16"/>
      <c r="TVL20" s="19"/>
      <c r="TVM20" s="16"/>
      <c r="TVN20" s="19"/>
      <c r="TVO20" s="16"/>
      <c r="TVP20" s="19"/>
      <c r="TVQ20" s="16"/>
      <c r="TVR20" s="19"/>
      <c r="TVS20" s="16"/>
      <c r="TVT20" s="19"/>
      <c r="TVU20" s="16"/>
      <c r="TVV20" s="19"/>
      <c r="TVW20" s="16"/>
      <c r="TVX20" s="19"/>
      <c r="TVY20" s="16"/>
      <c r="TVZ20" s="19"/>
      <c r="TWA20" s="16"/>
      <c r="TWB20" s="19"/>
      <c r="TWC20" s="16"/>
      <c r="TWD20" s="19"/>
      <c r="TWE20" s="16"/>
      <c r="TWF20" s="19"/>
      <c r="TWG20" s="16"/>
      <c r="TWH20" s="19"/>
      <c r="TWI20" s="16"/>
      <c r="TWJ20" s="19"/>
      <c r="TWK20" s="16"/>
      <c r="TWL20" s="19"/>
      <c r="TWM20" s="16"/>
      <c r="TWN20" s="19"/>
      <c r="TWO20" s="16"/>
      <c r="TWP20" s="19"/>
      <c r="TWQ20" s="16"/>
      <c r="TWR20" s="19"/>
      <c r="TWS20" s="16"/>
      <c r="TWT20" s="19"/>
      <c r="TWU20" s="16"/>
      <c r="TWV20" s="19"/>
      <c r="TWW20" s="16"/>
      <c r="TWX20" s="19"/>
      <c r="TWY20" s="16"/>
      <c r="TWZ20" s="19"/>
      <c r="TXA20" s="16"/>
      <c r="TXB20" s="19"/>
      <c r="TXC20" s="16"/>
      <c r="TXD20" s="19"/>
      <c r="TXE20" s="16"/>
      <c r="TXF20" s="19"/>
      <c r="TXG20" s="16"/>
      <c r="TXH20" s="19"/>
      <c r="TXI20" s="16"/>
      <c r="TXJ20" s="19"/>
      <c r="TXK20" s="16"/>
      <c r="TXL20" s="19"/>
      <c r="TXM20" s="16"/>
      <c r="TXN20" s="19"/>
      <c r="TXO20" s="16"/>
      <c r="TXP20" s="19"/>
      <c r="TXQ20" s="16"/>
      <c r="TXR20" s="19"/>
      <c r="TXS20" s="16"/>
      <c r="TXT20" s="19"/>
      <c r="TXU20" s="16"/>
      <c r="TXV20" s="19"/>
      <c r="TXW20" s="16"/>
      <c r="TXX20" s="19"/>
      <c r="TXY20" s="16"/>
      <c r="TXZ20" s="19"/>
      <c r="TYA20" s="16"/>
      <c r="TYB20" s="19"/>
      <c r="TYC20" s="16"/>
      <c r="TYD20" s="19"/>
      <c r="TYE20" s="16"/>
      <c r="TYF20" s="19"/>
      <c r="TYG20" s="16"/>
      <c r="TYH20" s="19"/>
      <c r="TYI20" s="16"/>
      <c r="TYJ20" s="19"/>
      <c r="TYK20" s="16"/>
      <c r="TYL20" s="19"/>
      <c r="TYM20" s="16"/>
      <c r="TYN20" s="19"/>
      <c r="TYO20" s="16"/>
      <c r="TYP20" s="19"/>
      <c r="TYQ20" s="16"/>
      <c r="TYR20" s="19"/>
      <c r="TYS20" s="16"/>
      <c r="TYT20" s="19"/>
      <c r="TYU20" s="16"/>
      <c r="TYV20" s="19"/>
      <c r="TYW20" s="16"/>
      <c r="TYX20" s="19"/>
      <c r="TYY20" s="16"/>
      <c r="TYZ20" s="19"/>
      <c r="TZA20" s="16"/>
      <c r="TZB20" s="19"/>
      <c r="TZC20" s="16"/>
      <c r="TZD20" s="19"/>
      <c r="TZE20" s="16"/>
      <c r="TZF20" s="19"/>
      <c r="TZG20" s="16"/>
      <c r="TZH20" s="19"/>
      <c r="TZI20" s="16"/>
      <c r="TZJ20" s="19"/>
      <c r="TZK20" s="16"/>
      <c r="TZL20" s="19"/>
      <c r="TZM20" s="16"/>
      <c r="TZN20" s="19"/>
      <c r="TZO20" s="16"/>
      <c r="TZP20" s="19"/>
      <c r="TZQ20" s="16"/>
      <c r="TZR20" s="19"/>
      <c r="TZS20" s="16"/>
      <c r="TZT20" s="19"/>
      <c r="TZU20" s="16"/>
      <c r="TZV20" s="19"/>
      <c r="TZW20" s="16"/>
      <c r="TZX20" s="19"/>
      <c r="TZY20" s="16"/>
      <c r="TZZ20" s="19"/>
      <c r="UAA20" s="16"/>
      <c r="UAB20" s="19"/>
      <c r="UAC20" s="16"/>
      <c r="UAD20" s="19"/>
      <c r="UAE20" s="16"/>
      <c r="UAF20" s="19"/>
      <c r="UAG20" s="16"/>
      <c r="UAH20" s="19"/>
      <c r="UAI20" s="16"/>
      <c r="UAJ20" s="19"/>
      <c r="UAK20" s="16"/>
      <c r="UAL20" s="19"/>
      <c r="UAM20" s="16"/>
      <c r="UAN20" s="19"/>
      <c r="UAO20" s="16"/>
      <c r="UAP20" s="19"/>
      <c r="UAQ20" s="16"/>
      <c r="UAR20" s="19"/>
      <c r="UAS20" s="16"/>
      <c r="UAT20" s="19"/>
      <c r="UAU20" s="16"/>
      <c r="UAV20" s="19"/>
      <c r="UAW20" s="16"/>
      <c r="UAX20" s="19"/>
      <c r="UAY20" s="16"/>
      <c r="UAZ20" s="19"/>
      <c r="UBA20" s="16"/>
      <c r="UBB20" s="19"/>
      <c r="UBC20" s="16"/>
      <c r="UBD20" s="19"/>
      <c r="UBE20" s="16"/>
      <c r="UBF20" s="19"/>
      <c r="UBG20" s="16"/>
      <c r="UBH20" s="19"/>
      <c r="UBI20" s="16"/>
      <c r="UBJ20" s="19"/>
      <c r="UBK20" s="16"/>
      <c r="UBL20" s="19"/>
      <c r="UBM20" s="16"/>
      <c r="UBN20" s="19"/>
      <c r="UBO20" s="16"/>
      <c r="UBP20" s="19"/>
      <c r="UBQ20" s="16"/>
      <c r="UBR20" s="19"/>
      <c r="UBS20" s="16"/>
      <c r="UBT20" s="19"/>
      <c r="UBU20" s="16"/>
      <c r="UBV20" s="19"/>
      <c r="UBW20" s="16"/>
      <c r="UBX20" s="19"/>
      <c r="UBY20" s="16"/>
      <c r="UBZ20" s="19"/>
      <c r="UCA20" s="16"/>
      <c r="UCB20" s="19"/>
      <c r="UCC20" s="16"/>
      <c r="UCD20" s="19"/>
      <c r="UCE20" s="16"/>
      <c r="UCF20" s="19"/>
      <c r="UCG20" s="16"/>
      <c r="UCH20" s="19"/>
      <c r="UCI20" s="16"/>
      <c r="UCJ20" s="19"/>
      <c r="UCK20" s="16"/>
      <c r="UCL20" s="19"/>
      <c r="UCM20" s="16"/>
      <c r="UCN20" s="19"/>
      <c r="UCO20" s="16"/>
      <c r="UCP20" s="19"/>
      <c r="UCQ20" s="16"/>
      <c r="UCR20" s="19"/>
      <c r="UCS20" s="16"/>
      <c r="UCT20" s="19"/>
      <c r="UCU20" s="16"/>
      <c r="UCV20" s="19"/>
      <c r="UCW20" s="16"/>
      <c r="UCX20" s="19"/>
      <c r="UCY20" s="16"/>
      <c r="UCZ20" s="19"/>
      <c r="UDA20" s="16"/>
      <c r="UDB20" s="19"/>
      <c r="UDC20" s="16"/>
      <c r="UDD20" s="19"/>
      <c r="UDE20" s="16"/>
      <c r="UDF20" s="19"/>
      <c r="UDG20" s="16"/>
      <c r="UDH20" s="19"/>
      <c r="UDI20" s="16"/>
      <c r="UDJ20" s="19"/>
      <c r="UDK20" s="16"/>
      <c r="UDL20" s="19"/>
      <c r="UDM20" s="16"/>
      <c r="UDN20" s="19"/>
      <c r="UDO20" s="16"/>
      <c r="UDP20" s="19"/>
      <c r="UDQ20" s="16"/>
      <c r="UDR20" s="19"/>
      <c r="UDS20" s="16"/>
      <c r="UDT20" s="19"/>
      <c r="UDU20" s="16"/>
      <c r="UDV20" s="19"/>
      <c r="UDW20" s="16"/>
      <c r="UDX20" s="19"/>
      <c r="UDY20" s="16"/>
      <c r="UDZ20" s="19"/>
      <c r="UEA20" s="16"/>
      <c r="UEB20" s="19"/>
      <c r="UEC20" s="16"/>
      <c r="UED20" s="19"/>
      <c r="UEE20" s="16"/>
      <c r="UEF20" s="19"/>
      <c r="UEG20" s="16"/>
      <c r="UEH20" s="19"/>
      <c r="UEI20" s="16"/>
      <c r="UEJ20" s="19"/>
      <c r="UEK20" s="16"/>
      <c r="UEL20" s="19"/>
      <c r="UEM20" s="16"/>
      <c r="UEN20" s="19"/>
      <c r="UEO20" s="16"/>
      <c r="UEP20" s="19"/>
      <c r="UEQ20" s="16"/>
      <c r="UER20" s="19"/>
      <c r="UES20" s="16"/>
      <c r="UET20" s="19"/>
      <c r="UEU20" s="16"/>
      <c r="UEV20" s="19"/>
      <c r="UEW20" s="16"/>
      <c r="UEX20" s="19"/>
      <c r="UEY20" s="16"/>
      <c r="UEZ20" s="19"/>
      <c r="UFA20" s="16"/>
      <c r="UFB20" s="19"/>
      <c r="UFC20" s="16"/>
      <c r="UFD20" s="19"/>
      <c r="UFE20" s="16"/>
      <c r="UFF20" s="19"/>
      <c r="UFG20" s="16"/>
      <c r="UFH20" s="19"/>
      <c r="UFI20" s="16"/>
      <c r="UFJ20" s="19"/>
      <c r="UFK20" s="16"/>
      <c r="UFL20" s="19"/>
      <c r="UFM20" s="16"/>
      <c r="UFN20" s="19"/>
      <c r="UFO20" s="16"/>
      <c r="UFP20" s="19"/>
      <c r="UFQ20" s="16"/>
      <c r="UFR20" s="19"/>
      <c r="UFS20" s="16"/>
      <c r="UFT20" s="19"/>
      <c r="UFU20" s="16"/>
      <c r="UFV20" s="19"/>
      <c r="UFW20" s="16"/>
      <c r="UFX20" s="19"/>
      <c r="UFY20" s="16"/>
      <c r="UFZ20" s="19"/>
      <c r="UGA20" s="16"/>
      <c r="UGB20" s="19"/>
      <c r="UGC20" s="16"/>
      <c r="UGD20" s="19"/>
      <c r="UGE20" s="16"/>
      <c r="UGF20" s="19"/>
      <c r="UGG20" s="16"/>
      <c r="UGH20" s="19"/>
      <c r="UGI20" s="16"/>
      <c r="UGJ20" s="19"/>
      <c r="UGK20" s="16"/>
      <c r="UGL20" s="19"/>
      <c r="UGM20" s="16"/>
      <c r="UGN20" s="19"/>
      <c r="UGO20" s="16"/>
      <c r="UGP20" s="19"/>
      <c r="UGQ20" s="16"/>
      <c r="UGR20" s="19"/>
      <c r="UGS20" s="16"/>
      <c r="UGT20" s="19"/>
      <c r="UGU20" s="16"/>
      <c r="UGV20" s="19"/>
      <c r="UGW20" s="16"/>
      <c r="UGX20" s="19"/>
      <c r="UGY20" s="16"/>
      <c r="UGZ20" s="19"/>
      <c r="UHA20" s="16"/>
      <c r="UHB20" s="19"/>
      <c r="UHC20" s="16"/>
      <c r="UHD20" s="19"/>
      <c r="UHE20" s="16"/>
      <c r="UHF20" s="19"/>
      <c r="UHG20" s="16"/>
      <c r="UHH20" s="19"/>
      <c r="UHI20" s="16"/>
      <c r="UHJ20" s="19"/>
      <c r="UHK20" s="16"/>
      <c r="UHL20" s="19"/>
      <c r="UHM20" s="16"/>
      <c r="UHN20" s="19"/>
      <c r="UHO20" s="16"/>
      <c r="UHP20" s="19"/>
      <c r="UHQ20" s="16"/>
      <c r="UHR20" s="19"/>
      <c r="UHS20" s="16"/>
      <c r="UHT20" s="19"/>
      <c r="UHU20" s="16"/>
      <c r="UHV20" s="19"/>
      <c r="UHW20" s="16"/>
      <c r="UHX20" s="19"/>
      <c r="UHY20" s="16"/>
      <c r="UHZ20" s="19"/>
      <c r="UIA20" s="16"/>
      <c r="UIB20" s="19"/>
      <c r="UIC20" s="16"/>
      <c r="UID20" s="19"/>
      <c r="UIE20" s="16"/>
      <c r="UIF20" s="19"/>
      <c r="UIG20" s="16"/>
      <c r="UIH20" s="19"/>
      <c r="UII20" s="16"/>
      <c r="UIJ20" s="19"/>
      <c r="UIK20" s="16"/>
      <c r="UIL20" s="19"/>
      <c r="UIM20" s="16"/>
      <c r="UIN20" s="19"/>
      <c r="UIO20" s="16"/>
      <c r="UIP20" s="19"/>
      <c r="UIQ20" s="16"/>
      <c r="UIR20" s="19"/>
      <c r="UIS20" s="16"/>
      <c r="UIT20" s="19"/>
      <c r="UIU20" s="16"/>
      <c r="UIV20" s="19"/>
      <c r="UIW20" s="16"/>
      <c r="UIX20" s="19"/>
      <c r="UIY20" s="16"/>
      <c r="UIZ20" s="19"/>
      <c r="UJA20" s="16"/>
      <c r="UJB20" s="19"/>
      <c r="UJC20" s="16"/>
      <c r="UJD20" s="19"/>
      <c r="UJE20" s="16"/>
      <c r="UJF20" s="19"/>
      <c r="UJG20" s="16"/>
      <c r="UJH20" s="19"/>
      <c r="UJI20" s="16"/>
      <c r="UJJ20" s="19"/>
      <c r="UJK20" s="16"/>
      <c r="UJL20" s="19"/>
      <c r="UJM20" s="16"/>
      <c r="UJN20" s="19"/>
      <c r="UJO20" s="16"/>
      <c r="UJP20" s="19"/>
      <c r="UJQ20" s="16"/>
      <c r="UJR20" s="19"/>
      <c r="UJS20" s="16"/>
      <c r="UJT20" s="19"/>
      <c r="UJU20" s="16"/>
      <c r="UJV20" s="19"/>
      <c r="UJW20" s="16"/>
      <c r="UJX20" s="19"/>
      <c r="UJY20" s="16"/>
      <c r="UJZ20" s="19"/>
      <c r="UKA20" s="16"/>
      <c r="UKB20" s="19"/>
      <c r="UKC20" s="16"/>
      <c r="UKD20" s="19"/>
      <c r="UKE20" s="16"/>
      <c r="UKF20" s="19"/>
      <c r="UKG20" s="16"/>
      <c r="UKH20" s="19"/>
      <c r="UKI20" s="16"/>
      <c r="UKJ20" s="19"/>
      <c r="UKK20" s="16"/>
      <c r="UKL20" s="19"/>
      <c r="UKM20" s="16"/>
      <c r="UKN20" s="19"/>
      <c r="UKO20" s="16"/>
      <c r="UKP20" s="19"/>
      <c r="UKQ20" s="16"/>
      <c r="UKR20" s="19"/>
      <c r="UKS20" s="16"/>
      <c r="UKT20" s="19"/>
      <c r="UKU20" s="16"/>
      <c r="UKV20" s="19"/>
      <c r="UKW20" s="16"/>
      <c r="UKX20" s="19"/>
      <c r="UKY20" s="16"/>
      <c r="UKZ20" s="19"/>
      <c r="ULA20" s="16"/>
      <c r="ULB20" s="19"/>
      <c r="ULC20" s="16"/>
      <c r="ULD20" s="19"/>
      <c r="ULE20" s="16"/>
      <c r="ULF20" s="19"/>
      <c r="ULG20" s="16"/>
      <c r="ULH20" s="19"/>
      <c r="ULI20" s="16"/>
      <c r="ULJ20" s="19"/>
      <c r="ULK20" s="16"/>
      <c r="ULL20" s="19"/>
      <c r="ULM20" s="16"/>
      <c r="ULN20" s="19"/>
      <c r="ULO20" s="16"/>
      <c r="ULP20" s="19"/>
      <c r="ULQ20" s="16"/>
      <c r="ULR20" s="19"/>
      <c r="ULS20" s="16"/>
      <c r="ULT20" s="19"/>
      <c r="ULU20" s="16"/>
      <c r="ULV20" s="19"/>
      <c r="ULW20" s="16"/>
      <c r="ULX20" s="19"/>
      <c r="ULY20" s="16"/>
      <c r="ULZ20" s="19"/>
      <c r="UMA20" s="16"/>
      <c r="UMB20" s="19"/>
      <c r="UMC20" s="16"/>
      <c r="UMD20" s="19"/>
      <c r="UME20" s="16"/>
      <c r="UMF20" s="19"/>
      <c r="UMG20" s="16"/>
      <c r="UMH20" s="19"/>
      <c r="UMI20" s="16"/>
      <c r="UMJ20" s="19"/>
      <c r="UMK20" s="16"/>
      <c r="UML20" s="19"/>
      <c r="UMM20" s="16"/>
      <c r="UMN20" s="19"/>
      <c r="UMO20" s="16"/>
      <c r="UMP20" s="19"/>
      <c r="UMQ20" s="16"/>
      <c r="UMR20" s="19"/>
      <c r="UMS20" s="16"/>
      <c r="UMT20" s="19"/>
      <c r="UMU20" s="16"/>
      <c r="UMV20" s="19"/>
      <c r="UMW20" s="16"/>
      <c r="UMX20" s="19"/>
      <c r="UMY20" s="16"/>
      <c r="UMZ20" s="19"/>
      <c r="UNA20" s="16"/>
      <c r="UNB20" s="19"/>
      <c r="UNC20" s="16"/>
      <c r="UND20" s="19"/>
      <c r="UNE20" s="16"/>
      <c r="UNF20" s="19"/>
      <c r="UNG20" s="16"/>
      <c r="UNH20" s="19"/>
      <c r="UNI20" s="16"/>
      <c r="UNJ20" s="19"/>
      <c r="UNK20" s="16"/>
      <c r="UNL20" s="19"/>
      <c r="UNM20" s="16"/>
      <c r="UNN20" s="19"/>
      <c r="UNO20" s="16"/>
      <c r="UNP20" s="19"/>
      <c r="UNQ20" s="16"/>
      <c r="UNR20" s="19"/>
      <c r="UNS20" s="16"/>
      <c r="UNT20" s="19"/>
      <c r="UNU20" s="16"/>
      <c r="UNV20" s="19"/>
      <c r="UNW20" s="16"/>
      <c r="UNX20" s="19"/>
      <c r="UNY20" s="16"/>
      <c r="UNZ20" s="19"/>
      <c r="UOA20" s="16"/>
      <c r="UOB20" s="19"/>
      <c r="UOC20" s="16"/>
      <c r="UOD20" s="19"/>
      <c r="UOE20" s="16"/>
      <c r="UOF20" s="19"/>
      <c r="UOG20" s="16"/>
      <c r="UOH20" s="19"/>
      <c r="UOI20" s="16"/>
      <c r="UOJ20" s="19"/>
      <c r="UOK20" s="16"/>
      <c r="UOL20" s="19"/>
      <c r="UOM20" s="16"/>
      <c r="UON20" s="19"/>
      <c r="UOO20" s="16"/>
      <c r="UOP20" s="19"/>
      <c r="UOQ20" s="16"/>
      <c r="UOR20" s="19"/>
      <c r="UOS20" s="16"/>
      <c r="UOT20" s="19"/>
      <c r="UOU20" s="16"/>
      <c r="UOV20" s="19"/>
      <c r="UOW20" s="16"/>
      <c r="UOX20" s="19"/>
      <c r="UOY20" s="16"/>
      <c r="UOZ20" s="19"/>
      <c r="UPA20" s="16"/>
      <c r="UPB20" s="19"/>
      <c r="UPC20" s="16"/>
      <c r="UPD20" s="19"/>
      <c r="UPE20" s="16"/>
      <c r="UPF20" s="19"/>
      <c r="UPG20" s="16"/>
      <c r="UPH20" s="19"/>
      <c r="UPI20" s="16"/>
      <c r="UPJ20" s="19"/>
      <c r="UPK20" s="16"/>
      <c r="UPL20" s="19"/>
      <c r="UPM20" s="16"/>
      <c r="UPN20" s="19"/>
      <c r="UPO20" s="16"/>
      <c r="UPP20" s="19"/>
      <c r="UPQ20" s="16"/>
      <c r="UPR20" s="19"/>
      <c r="UPS20" s="16"/>
      <c r="UPT20" s="19"/>
      <c r="UPU20" s="16"/>
      <c r="UPV20" s="19"/>
      <c r="UPW20" s="16"/>
      <c r="UPX20" s="19"/>
      <c r="UPY20" s="16"/>
      <c r="UPZ20" s="19"/>
      <c r="UQA20" s="16"/>
      <c r="UQB20" s="19"/>
      <c r="UQC20" s="16"/>
      <c r="UQD20" s="19"/>
      <c r="UQE20" s="16"/>
      <c r="UQF20" s="19"/>
      <c r="UQG20" s="16"/>
      <c r="UQH20" s="19"/>
      <c r="UQI20" s="16"/>
      <c r="UQJ20" s="19"/>
      <c r="UQK20" s="16"/>
      <c r="UQL20" s="19"/>
      <c r="UQM20" s="16"/>
      <c r="UQN20" s="19"/>
      <c r="UQO20" s="16"/>
      <c r="UQP20" s="19"/>
      <c r="UQQ20" s="16"/>
      <c r="UQR20" s="19"/>
      <c r="UQS20" s="16"/>
      <c r="UQT20" s="19"/>
      <c r="UQU20" s="16"/>
      <c r="UQV20" s="19"/>
      <c r="UQW20" s="16"/>
      <c r="UQX20" s="19"/>
      <c r="UQY20" s="16"/>
      <c r="UQZ20" s="19"/>
      <c r="URA20" s="16"/>
      <c r="URB20" s="19"/>
      <c r="URC20" s="16"/>
      <c r="URD20" s="19"/>
      <c r="URE20" s="16"/>
      <c r="URF20" s="19"/>
      <c r="URG20" s="16"/>
      <c r="URH20" s="19"/>
      <c r="URI20" s="16"/>
      <c r="URJ20" s="19"/>
      <c r="URK20" s="16"/>
      <c r="URL20" s="19"/>
      <c r="URM20" s="16"/>
      <c r="URN20" s="19"/>
      <c r="URO20" s="16"/>
      <c r="URP20" s="19"/>
      <c r="URQ20" s="16"/>
      <c r="URR20" s="19"/>
      <c r="URS20" s="16"/>
      <c r="URT20" s="19"/>
      <c r="URU20" s="16"/>
      <c r="URV20" s="19"/>
      <c r="URW20" s="16"/>
      <c r="URX20" s="19"/>
      <c r="URY20" s="16"/>
      <c r="URZ20" s="19"/>
      <c r="USA20" s="16"/>
      <c r="USB20" s="19"/>
      <c r="USC20" s="16"/>
      <c r="USD20" s="19"/>
      <c r="USE20" s="16"/>
      <c r="USF20" s="19"/>
      <c r="USG20" s="16"/>
      <c r="USH20" s="19"/>
      <c r="USI20" s="16"/>
      <c r="USJ20" s="19"/>
      <c r="USK20" s="16"/>
      <c r="USL20" s="19"/>
      <c r="USM20" s="16"/>
      <c r="USN20" s="19"/>
      <c r="USO20" s="16"/>
      <c r="USP20" s="19"/>
      <c r="USQ20" s="16"/>
      <c r="USR20" s="19"/>
      <c r="USS20" s="16"/>
      <c r="UST20" s="19"/>
      <c r="USU20" s="16"/>
      <c r="USV20" s="19"/>
      <c r="USW20" s="16"/>
      <c r="USX20" s="19"/>
      <c r="USY20" s="16"/>
      <c r="USZ20" s="19"/>
      <c r="UTA20" s="16"/>
      <c r="UTB20" s="19"/>
      <c r="UTC20" s="16"/>
      <c r="UTD20" s="19"/>
      <c r="UTE20" s="16"/>
      <c r="UTF20" s="19"/>
      <c r="UTG20" s="16"/>
      <c r="UTH20" s="19"/>
      <c r="UTI20" s="16"/>
      <c r="UTJ20" s="19"/>
      <c r="UTK20" s="16"/>
      <c r="UTL20" s="19"/>
      <c r="UTM20" s="16"/>
      <c r="UTN20" s="19"/>
      <c r="UTO20" s="16"/>
      <c r="UTP20" s="19"/>
      <c r="UTQ20" s="16"/>
      <c r="UTR20" s="19"/>
      <c r="UTS20" s="16"/>
      <c r="UTT20" s="19"/>
      <c r="UTU20" s="16"/>
      <c r="UTV20" s="19"/>
      <c r="UTW20" s="16"/>
      <c r="UTX20" s="19"/>
      <c r="UTY20" s="16"/>
      <c r="UTZ20" s="19"/>
      <c r="UUA20" s="16"/>
      <c r="UUB20" s="19"/>
      <c r="UUC20" s="16"/>
      <c r="UUD20" s="19"/>
      <c r="UUE20" s="16"/>
      <c r="UUF20" s="19"/>
      <c r="UUG20" s="16"/>
      <c r="UUH20" s="19"/>
      <c r="UUI20" s="16"/>
      <c r="UUJ20" s="19"/>
      <c r="UUK20" s="16"/>
      <c r="UUL20" s="19"/>
      <c r="UUM20" s="16"/>
      <c r="UUN20" s="19"/>
      <c r="UUO20" s="16"/>
      <c r="UUP20" s="19"/>
      <c r="UUQ20" s="16"/>
      <c r="UUR20" s="19"/>
      <c r="UUS20" s="16"/>
      <c r="UUT20" s="19"/>
      <c r="UUU20" s="16"/>
      <c r="UUV20" s="19"/>
      <c r="UUW20" s="16"/>
      <c r="UUX20" s="19"/>
      <c r="UUY20" s="16"/>
      <c r="UUZ20" s="19"/>
      <c r="UVA20" s="16"/>
      <c r="UVB20" s="19"/>
      <c r="UVC20" s="16"/>
      <c r="UVD20" s="19"/>
      <c r="UVE20" s="16"/>
      <c r="UVF20" s="19"/>
      <c r="UVG20" s="16"/>
      <c r="UVH20" s="19"/>
      <c r="UVI20" s="16"/>
      <c r="UVJ20" s="19"/>
      <c r="UVK20" s="16"/>
      <c r="UVL20" s="19"/>
      <c r="UVM20" s="16"/>
      <c r="UVN20" s="19"/>
      <c r="UVO20" s="16"/>
      <c r="UVP20" s="19"/>
      <c r="UVQ20" s="16"/>
      <c r="UVR20" s="19"/>
      <c r="UVS20" s="16"/>
      <c r="UVT20" s="19"/>
      <c r="UVU20" s="16"/>
      <c r="UVV20" s="19"/>
      <c r="UVW20" s="16"/>
      <c r="UVX20" s="19"/>
      <c r="UVY20" s="16"/>
      <c r="UVZ20" s="19"/>
      <c r="UWA20" s="16"/>
      <c r="UWB20" s="19"/>
      <c r="UWC20" s="16"/>
      <c r="UWD20" s="19"/>
      <c r="UWE20" s="16"/>
      <c r="UWF20" s="19"/>
      <c r="UWG20" s="16"/>
      <c r="UWH20" s="19"/>
      <c r="UWI20" s="16"/>
      <c r="UWJ20" s="19"/>
      <c r="UWK20" s="16"/>
      <c r="UWL20" s="19"/>
      <c r="UWM20" s="16"/>
      <c r="UWN20" s="19"/>
      <c r="UWO20" s="16"/>
      <c r="UWP20" s="19"/>
      <c r="UWQ20" s="16"/>
      <c r="UWR20" s="19"/>
      <c r="UWS20" s="16"/>
      <c r="UWT20" s="19"/>
      <c r="UWU20" s="16"/>
      <c r="UWV20" s="19"/>
      <c r="UWW20" s="16"/>
      <c r="UWX20" s="19"/>
      <c r="UWY20" s="16"/>
      <c r="UWZ20" s="19"/>
      <c r="UXA20" s="16"/>
      <c r="UXB20" s="19"/>
      <c r="UXC20" s="16"/>
      <c r="UXD20" s="19"/>
      <c r="UXE20" s="16"/>
      <c r="UXF20" s="19"/>
      <c r="UXG20" s="16"/>
      <c r="UXH20" s="19"/>
      <c r="UXI20" s="16"/>
      <c r="UXJ20" s="19"/>
      <c r="UXK20" s="16"/>
      <c r="UXL20" s="19"/>
      <c r="UXM20" s="16"/>
      <c r="UXN20" s="19"/>
      <c r="UXO20" s="16"/>
      <c r="UXP20" s="19"/>
      <c r="UXQ20" s="16"/>
      <c r="UXR20" s="19"/>
      <c r="UXS20" s="16"/>
      <c r="UXT20" s="19"/>
      <c r="UXU20" s="16"/>
      <c r="UXV20" s="19"/>
      <c r="UXW20" s="16"/>
      <c r="UXX20" s="19"/>
      <c r="UXY20" s="16"/>
      <c r="UXZ20" s="19"/>
      <c r="UYA20" s="16"/>
      <c r="UYB20" s="19"/>
      <c r="UYC20" s="16"/>
      <c r="UYD20" s="19"/>
      <c r="UYE20" s="16"/>
      <c r="UYF20" s="19"/>
      <c r="UYG20" s="16"/>
      <c r="UYH20" s="19"/>
      <c r="UYI20" s="16"/>
      <c r="UYJ20" s="19"/>
      <c r="UYK20" s="16"/>
      <c r="UYL20" s="19"/>
      <c r="UYM20" s="16"/>
      <c r="UYN20" s="19"/>
      <c r="UYO20" s="16"/>
      <c r="UYP20" s="19"/>
      <c r="UYQ20" s="16"/>
      <c r="UYR20" s="19"/>
      <c r="UYS20" s="16"/>
      <c r="UYT20" s="19"/>
      <c r="UYU20" s="16"/>
      <c r="UYV20" s="19"/>
      <c r="UYW20" s="16"/>
      <c r="UYX20" s="19"/>
      <c r="UYY20" s="16"/>
      <c r="UYZ20" s="19"/>
      <c r="UZA20" s="16"/>
      <c r="UZB20" s="19"/>
      <c r="UZC20" s="16"/>
      <c r="UZD20" s="19"/>
      <c r="UZE20" s="16"/>
      <c r="UZF20" s="19"/>
      <c r="UZG20" s="16"/>
      <c r="UZH20" s="19"/>
      <c r="UZI20" s="16"/>
      <c r="UZJ20" s="19"/>
      <c r="UZK20" s="16"/>
      <c r="UZL20" s="19"/>
      <c r="UZM20" s="16"/>
      <c r="UZN20" s="19"/>
      <c r="UZO20" s="16"/>
      <c r="UZP20" s="19"/>
      <c r="UZQ20" s="16"/>
      <c r="UZR20" s="19"/>
      <c r="UZS20" s="16"/>
      <c r="UZT20" s="19"/>
      <c r="UZU20" s="16"/>
      <c r="UZV20" s="19"/>
      <c r="UZW20" s="16"/>
      <c r="UZX20" s="19"/>
      <c r="UZY20" s="16"/>
      <c r="UZZ20" s="19"/>
      <c r="VAA20" s="16"/>
      <c r="VAB20" s="19"/>
      <c r="VAC20" s="16"/>
      <c r="VAD20" s="19"/>
      <c r="VAE20" s="16"/>
      <c r="VAF20" s="19"/>
      <c r="VAG20" s="16"/>
      <c r="VAH20" s="19"/>
      <c r="VAI20" s="16"/>
      <c r="VAJ20" s="19"/>
      <c r="VAK20" s="16"/>
      <c r="VAL20" s="19"/>
      <c r="VAM20" s="16"/>
      <c r="VAN20" s="19"/>
      <c r="VAO20" s="16"/>
      <c r="VAP20" s="19"/>
      <c r="VAQ20" s="16"/>
      <c r="VAR20" s="19"/>
      <c r="VAS20" s="16"/>
      <c r="VAT20" s="19"/>
      <c r="VAU20" s="16"/>
      <c r="VAV20" s="19"/>
      <c r="VAW20" s="16"/>
      <c r="VAX20" s="19"/>
      <c r="VAY20" s="16"/>
      <c r="VAZ20" s="19"/>
      <c r="VBA20" s="16"/>
      <c r="VBB20" s="19"/>
      <c r="VBC20" s="16"/>
      <c r="VBD20" s="19"/>
      <c r="VBE20" s="16"/>
      <c r="VBF20" s="19"/>
      <c r="VBG20" s="16"/>
      <c r="VBH20" s="19"/>
      <c r="VBI20" s="16"/>
      <c r="VBJ20" s="19"/>
      <c r="VBK20" s="16"/>
      <c r="VBL20" s="19"/>
      <c r="VBM20" s="16"/>
      <c r="VBN20" s="19"/>
      <c r="VBO20" s="16"/>
      <c r="VBP20" s="19"/>
      <c r="VBQ20" s="16"/>
      <c r="VBR20" s="19"/>
      <c r="VBS20" s="16"/>
      <c r="VBT20" s="19"/>
      <c r="VBU20" s="16"/>
      <c r="VBV20" s="19"/>
      <c r="VBW20" s="16"/>
      <c r="VBX20" s="19"/>
      <c r="VBY20" s="16"/>
      <c r="VBZ20" s="19"/>
      <c r="VCA20" s="16"/>
      <c r="VCB20" s="19"/>
      <c r="VCC20" s="16"/>
      <c r="VCD20" s="19"/>
      <c r="VCE20" s="16"/>
      <c r="VCF20" s="19"/>
      <c r="VCG20" s="16"/>
      <c r="VCH20" s="19"/>
      <c r="VCI20" s="16"/>
      <c r="VCJ20" s="19"/>
      <c r="VCK20" s="16"/>
      <c r="VCL20" s="19"/>
      <c r="VCM20" s="16"/>
      <c r="VCN20" s="19"/>
      <c r="VCO20" s="16"/>
      <c r="VCP20" s="19"/>
      <c r="VCQ20" s="16"/>
      <c r="VCR20" s="19"/>
      <c r="VCS20" s="16"/>
      <c r="VCT20" s="19"/>
      <c r="VCU20" s="16"/>
      <c r="VCV20" s="19"/>
      <c r="VCW20" s="16"/>
      <c r="VCX20" s="19"/>
      <c r="VCY20" s="16"/>
      <c r="VCZ20" s="19"/>
      <c r="VDA20" s="16"/>
      <c r="VDB20" s="19"/>
      <c r="VDC20" s="16"/>
      <c r="VDD20" s="19"/>
      <c r="VDE20" s="16"/>
      <c r="VDF20" s="19"/>
      <c r="VDG20" s="16"/>
      <c r="VDH20" s="19"/>
      <c r="VDI20" s="16"/>
      <c r="VDJ20" s="19"/>
      <c r="VDK20" s="16"/>
      <c r="VDL20" s="19"/>
      <c r="VDM20" s="16"/>
      <c r="VDN20" s="19"/>
      <c r="VDO20" s="16"/>
      <c r="VDP20" s="19"/>
      <c r="VDQ20" s="16"/>
      <c r="VDR20" s="19"/>
      <c r="VDS20" s="16"/>
      <c r="VDT20" s="19"/>
      <c r="VDU20" s="16"/>
      <c r="VDV20" s="19"/>
      <c r="VDW20" s="16"/>
      <c r="VDX20" s="19"/>
      <c r="VDY20" s="16"/>
      <c r="VDZ20" s="19"/>
      <c r="VEA20" s="16"/>
      <c r="VEB20" s="19"/>
      <c r="VEC20" s="16"/>
      <c r="VED20" s="19"/>
      <c r="VEE20" s="16"/>
      <c r="VEF20" s="19"/>
      <c r="VEG20" s="16"/>
      <c r="VEH20" s="19"/>
      <c r="VEI20" s="16"/>
      <c r="VEJ20" s="19"/>
      <c r="VEK20" s="16"/>
      <c r="VEL20" s="19"/>
      <c r="VEM20" s="16"/>
      <c r="VEN20" s="19"/>
      <c r="VEO20" s="16"/>
      <c r="VEP20" s="19"/>
      <c r="VEQ20" s="16"/>
      <c r="VER20" s="19"/>
      <c r="VES20" s="16"/>
      <c r="VET20" s="19"/>
      <c r="VEU20" s="16"/>
      <c r="VEV20" s="19"/>
      <c r="VEW20" s="16"/>
      <c r="VEX20" s="19"/>
      <c r="VEY20" s="16"/>
      <c r="VEZ20" s="19"/>
      <c r="VFA20" s="16"/>
      <c r="VFB20" s="19"/>
      <c r="VFC20" s="16"/>
      <c r="VFD20" s="19"/>
      <c r="VFE20" s="16"/>
      <c r="VFF20" s="19"/>
      <c r="VFG20" s="16"/>
      <c r="VFH20" s="19"/>
      <c r="VFI20" s="16"/>
      <c r="VFJ20" s="19"/>
      <c r="VFK20" s="16"/>
      <c r="VFL20" s="19"/>
      <c r="VFM20" s="16"/>
      <c r="VFN20" s="19"/>
      <c r="VFO20" s="16"/>
      <c r="VFP20" s="19"/>
      <c r="VFQ20" s="16"/>
      <c r="VFR20" s="19"/>
      <c r="VFS20" s="16"/>
      <c r="VFT20" s="19"/>
      <c r="VFU20" s="16"/>
      <c r="VFV20" s="19"/>
      <c r="VFW20" s="16"/>
      <c r="VFX20" s="19"/>
      <c r="VFY20" s="16"/>
      <c r="VFZ20" s="19"/>
      <c r="VGA20" s="16"/>
      <c r="VGB20" s="19"/>
      <c r="VGC20" s="16"/>
      <c r="VGD20" s="19"/>
      <c r="VGE20" s="16"/>
      <c r="VGF20" s="19"/>
      <c r="VGG20" s="16"/>
      <c r="VGH20" s="19"/>
      <c r="VGI20" s="16"/>
      <c r="VGJ20" s="19"/>
      <c r="VGK20" s="16"/>
      <c r="VGL20" s="19"/>
      <c r="VGM20" s="16"/>
      <c r="VGN20" s="19"/>
      <c r="VGO20" s="16"/>
      <c r="VGP20" s="19"/>
      <c r="VGQ20" s="16"/>
      <c r="VGR20" s="19"/>
      <c r="VGS20" s="16"/>
      <c r="VGT20" s="19"/>
      <c r="VGU20" s="16"/>
      <c r="VGV20" s="19"/>
      <c r="VGW20" s="16"/>
      <c r="VGX20" s="19"/>
      <c r="VGY20" s="16"/>
      <c r="VGZ20" s="19"/>
      <c r="VHA20" s="16"/>
      <c r="VHB20" s="19"/>
      <c r="VHC20" s="16"/>
      <c r="VHD20" s="19"/>
      <c r="VHE20" s="16"/>
      <c r="VHF20" s="19"/>
      <c r="VHG20" s="16"/>
      <c r="VHH20" s="19"/>
      <c r="VHI20" s="16"/>
      <c r="VHJ20" s="19"/>
      <c r="VHK20" s="16"/>
      <c r="VHL20" s="19"/>
      <c r="VHM20" s="16"/>
      <c r="VHN20" s="19"/>
      <c r="VHO20" s="16"/>
      <c r="VHP20" s="19"/>
      <c r="VHQ20" s="16"/>
      <c r="VHR20" s="19"/>
      <c r="VHS20" s="16"/>
      <c r="VHT20" s="19"/>
      <c r="VHU20" s="16"/>
      <c r="VHV20" s="19"/>
      <c r="VHW20" s="16"/>
      <c r="VHX20" s="19"/>
      <c r="VHY20" s="16"/>
      <c r="VHZ20" s="19"/>
      <c r="VIA20" s="16"/>
      <c r="VIB20" s="19"/>
      <c r="VIC20" s="16"/>
      <c r="VID20" s="19"/>
      <c r="VIE20" s="16"/>
      <c r="VIF20" s="19"/>
      <c r="VIG20" s="16"/>
      <c r="VIH20" s="19"/>
      <c r="VII20" s="16"/>
      <c r="VIJ20" s="19"/>
      <c r="VIK20" s="16"/>
      <c r="VIL20" s="19"/>
      <c r="VIM20" s="16"/>
      <c r="VIN20" s="19"/>
      <c r="VIO20" s="16"/>
      <c r="VIP20" s="19"/>
      <c r="VIQ20" s="16"/>
      <c r="VIR20" s="19"/>
      <c r="VIS20" s="16"/>
      <c r="VIT20" s="19"/>
      <c r="VIU20" s="16"/>
      <c r="VIV20" s="19"/>
      <c r="VIW20" s="16"/>
      <c r="VIX20" s="19"/>
      <c r="VIY20" s="16"/>
      <c r="VIZ20" s="19"/>
      <c r="VJA20" s="16"/>
      <c r="VJB20" s="19"/>
      <c r="VJC20" s="16"/>
      <c r="VJD20" s="19"/>
      <c r="VJE20" s="16"/>
      <c r="VJF20" s="19"/>
      <c r="VJG20" s="16"/>
      <c r="VJH20" s="19"/>
      <c r="VJI20" s="16"/>
      <c r="VJJ20" s="19"/>
      <c r="VJK20" s="16"/>
      <c r="VJL20" s="19"/>
      <c r="VJM20" s="16"/>
      <c r="VJN20" s="19"/>
      <c r="VJO20" s="16"/>
      <c r="VJP20" s="19"/>
      <c r="VJQ20" s="16"/>
      <c r="VJR20" s="19"/>
      <c r="VJS20" s="16"/>
      <c r="VJT20" s="19"/>
      <c r="VJU20" s="16"/>
      <c r="VJV20" s="19"/>
      <c r="VJW20" s="16"/>
      <c r="VJX20" s="19"/>
      <c r="VJY20" s="16"/>
      <c r="VJZ20" s="19"/>
      <c r="VKA20" s="16"/>
      <c r="VKB20" s="19"/>
      <c r="VKC20" s="16"/>
      <c r="VKD20" s="19"/>
      <c r="VKE20" s="16"/>
      <c r="VKF20" s="19"/>
      <c r="VKG20" s="16"/>
      <c r="VKH20" s="19"/>
      <c r="VKI20" s="16"/>
      <c r="VKJ20" s="19"/>
      <c r="VKK20" s="16"/>
      <c r="VKL20" s="19"/>
      <c r="VKM20" s="16"/>
      <c r="VKN20" s="19"/>
      <c r="VKO20" s="16"/>
      <c r="VKP20" s="19"/>
      <c r="VKQ20" s="16"/>
      <c r="VKR20" s="19"/>
      <c r="VKS20" s="16"/>
      <c r="VKT20" s="19"/>
      <c r="VKU20" s="16"/>
      <c r="VKV20" s="19"/>
      <c r="VKW20" s="16"/>
      <c r="VKX20" s="19"/>
      <c r="VKY20" s="16"/>
      <c r="VKZ20" s="19"/>
      <c r="VLA20" s="16"/>
      <c r="VLB20" s="19"/>
      <c r="VLC20" s="16"/>
      <c r="VLD20" s="19"/>
      <c r="VLE20" s="16"/>
      <c r="VLF20" s="19"/>
      <c r="VLG20" s="16"/>
      <c r="VLH20" s="19"/>
      <c r="VLI20" s="16"/>
      <c r="VLJ20" s="19"/>
      <c r="VLK20" s="16"/>
      <c r="VLL20" s="19"/>
      <c r="VLM20" s="16"/>
      <c r="VLN20" s="19"/>
      <c r="VLO20" s="16"/>
      <c r="VLP20" s="19"/>
      <c r="VLQ20" s="16"/>
      <c r="VLR20" s="19"/>
      <c r="VLS20" s="16"/>
      <c r="VLT20" s="19"/>
      <c r="VLU20" s="16"/>
      <c r="VLV20" s="19"/>
      <c r="VLW20" s="16"/>
      <c r="VLX20" s="19"/>
      <c r="VLY20" s="16"/>
      <c r="VLZ20" s="19"/>
      <c r="VMA20" s="16"/>
      <c r="VMB20" s="19"/>
      <c r="VMC20" s="16"/>
      <c r="VMD20" s="19"/>
      <c r="VME20" s="16"/>
      <c r="VMF20" s="19"/>
      <c r="VMG20" s="16"/>
      <c r="VMH20" s="19"/>
      <c r="VMI20" s="16"/>
      <c r="VMJ20" s="19"/>
      <c r="VMK20" s="16"/>
      <c r="VML20" s="19"/>
      <c r="VMM20" s="16"/>
      <c r="VMN20" s="19"/>
      <c r="VMO20" s="16"/>
      <c r="VMP20" s="19"/>
      <c r="VMQ20" s="16"/>
      <c r="VMR20" s="19"/>
      <c r="VMS20" s="16"/>
      <c r="VMT20" s="19"/>
      <c r="VMU20" s="16"/>
      <c r="VMV20" s="19"/>
      <c r="VMW20" s="16"/>
      <c r="VMX20" s="19"/>
      <c r="VMY20" s="16"/>
      <c r="VMZ20" s="19"/>
      <c r="VNA20" s="16"/>
      <c r="VNB20" s="19"/>
      <c r="VNC20" s="16"/>
      <c r="VND20" s="19"/>
      <c r="VNE20" s="16"/>
      <c r="VNF20" s="19"/>
      <c r="VNG20" s="16"/>
      <c r="VNH20" s="19"/>
      <c r="VNI20" s="16"/>
      <c r="VNJ20" s="19"/>
      <c r="VNK20" s="16"/>
      <c r="VNL20" s="19"/>
      <c r="VNM20" s="16"/>
      <c r="VNN20" s="19"/>
      <c r="VNO20" s="16"/>
      <c r="VNP20" s="19"/>
      <c r="VNQ20" s="16"/>
      <c r="VNR20" s="19"/>
      <c r="VNS20" s="16"/>
      <c r="VNT20" s="19"/>
      <c r="VNU20" s="16"/>
      <c r="VNV20" s="19"/>
      <c r="VNW20" s="16"/>
      <c r="VNX20" s="19"/>
      <c r="VNY20" s="16"/>
      <c r="VNZ20" s="19"/>
      <c r="VOA20" s="16"/>
      <c r="VOB20" s="19"/>
      <c r="VOC20" s="16"/>
      <c r="VOD20" s="19"/>
      <c r="VOE20" s="16"/>
      <c r="VOF20" s="19"/>
      <c r="VOG20" s="16"/>
      <c r="VOH20" s="19"/>
      <c r="VOI20" s="16"/>
      <c r="VOJ20" s="19"/>
      <c r="VOK20" s="16"/>
      <c r="VOL20" s="19"/>
      <c r="VOM20" s="16"/>
      <c r="VON20" s="19"/>
      <c r="VOO20" s="16"/>
      <c r="VOP20" s="19"/>
      <c r="VOQ20" s="16"/>
      <c r="VOR20" s="19"/>
      <c r="VOS20" s="16"/>
      <c r="VOT20" s="19"/>
      <c r="VOU20" s="16"/>
      <c r="VOV20" s="19"/>
      <c r="VOW20" s="16"/>
      <c r="VOX20" s="19"/>
      <c r="VOY20" s="16"/>
      <c r="VOZ20" s="19"/>
      <c r="VPA20" s="16"/>
      <c r="VPB20" s="19"/>
      <c r="VPC20" s="16"/>
      <c r="VPD20" s="19"/>
      <c r="VPE20" s="16"/>
      <c r="VPF20" s="19"/>
      <c r="VPG20" s="16"/>
      <c r="VPH20" s="19"/>
      <c r="VPI20" s="16"/>
      <c r="VPJ20" s="19"/>
      <c r="VPK20" s="16"/>
      <c r="VPL20" s="19"/>
      <c r="VPM20" s="16"/>
      <c r="VPN20" s="19"/>
      <c r="VPO20" s="16"/>
      <c r="VPP20" s="19"/>
      <c r="VPQ20" s="16"/>
      <c r="VPR20" s="19"/>
      <c r="VPS20" s="16"/>
      <c r="VPT20" s="19"/>
      <c r="VPU20" s="16"/>
      <c r="VPV20" s="19"/>
      <c r="VPW20" s="16"/>
      <c r="VPX20" s="19"/>
      <c r="VPY20" s="16"/>
      <c r="VPZ20" s="19"/>
      <c r="VQA20" s="16"/>
      <c r="VQB20" s="19"/>
      <c r="VQC20" s="16"/>
      <c r="VQD20" s="19"/>
      <c r="VQE20" s="16"/>
      <c r="VQF20" s="19"/>
      <c r="VQG20" s="16"/>
      <c r="VQH20" s="19"/>
      <c r="VQI20" s="16"/>
      <c r="VQJ20" s="19"/>
      <c r="VQK20" s="16"/>
      <c r="VQL20" s="19"/>
      <c r="VQM20" s="16"/>
      <c r="VQN20" s="19"/>
      <c r="VQO20" s="16"/>
      <c r="VQP20" s="19"/>
      <c r="VQQ20" s="16"/>
      <c r="VQR20" s="19"/>
      <c r="VQS20" s="16"/>
      <c r="VQT20" s="19"/>
      <c r="VQU20" s="16"/>
      <c r="VQV20" s="19"/>
      <c r="VQW20" s="16"/>
      <c r="VQX20" s="19"/>
      <c r="VQY20" s="16"/>
      <c r="VQZ20" s="19"/>
      <c r="VRA20" s="16"/>
      <c r="VRB20" s="19"/>
      <c r="VRC20" s="16"/>
      <c r="VRD20" s="19"/>
      <c r="VRE20" s="16"/>
      <c r="VRF20" s="19"/>
      <c r="VRG20" s="16"/>
      <c r="VRH20" s="19"/>
      <c r="VRI20" s="16"/>
      <c r="VRJ20" s="19"/>
      <c r="VRK20" s="16"/>
      <c r="VRL20" s="19"/>
      <c r="VRM20" s="16"/>
      <c r="VRN20" s="19"/>
      <c r="VRO20" s="16"/>
      <c r="VRP20" s="19"/>
      <c r="VRQ20" s="16"/>
      <c r="VRR20" s="19"/>
      <c r="VRS20" s="16"/>
      <c r="VRT20" s="19"/>
      <c r="VRU20" s="16"/>
      <c r="VRV20" s="19"/>
      <c r="VRW20" s="16"/>
      <c r="VRX20" s="19"/>
      <c r="VRY20" s="16"/>
      <c r="VRZ20" s="19"/>
      <c r="VSA20" s="16"/>
      <c r="VSB20" s="19"/>
      <c r="VSC20" s="16"/>
      <c r="VSD20" s="19"/>
      <c r="VSE20" s="16"/>
      <c r="VSF20" s="19"/>
      <c r="VSG20" s="16"/>
      <c r="VSH20" s="19"/>
      <c r="VSI20" s="16"/>
      <c r="VSJ20" s="19"/>
      <c r="VSK20" s="16"/>
      <c r="VSL20" s="19"/>
      <c r="VSM20" s="16"/>
      <c r="VSN20" s="19"/>
      <c r="VSO20" s="16"/>
      <c r="VSP20" s="19"/>
      <c r="VSQ20" s="16"/>
      <c r="VSR20" s="19"/>
      <c r="VSS20" s="16"/>
      <c r="VST20" s="19"/>
      <c r="VSU20" s="16"/>
      <c r="VSV20" s="19"/>
      <c r="VSW20" s="16"/>
      <c r="VSX20" s="19"/>
      <c r="VSY20" s="16"/>
      <c r="VSZ20" s="19"/>
      <c r="VTA20" s="16"/>
      <c r="VTB20" s="19"/>
      <c r="VTC20" s="16"/>
      <c r="VTD20" s="19"/>
      <c r="VTE20" s="16"/>
      <c r="VTF20" s="19"/>
      <c r="VTG20" s="16"/>
      <c r="VTH20" s="19"/>
      <c r="VTI20" s="16"/>
      <c r="VTJ20" s="19"/>
      <c r="VTK20" s="16"/>
      <c r="VTL20" s="19"/>
      <c r="VTM20" s="16"/>
      <c r="VTN20" s="19"/>
      <c r="VTO20" s="16"/>
      <c r="VTP20" s="19"/>
      <c r="VTQ20" s="16"/>
      <c r="VTR20" s="19"/>
      <c r="VTS20" s="16"/>
      <c r="VTT20" s="19"/>
      <c r="VTU20" s="16"/>
      <c r="VTV20" s="19"/>
      <c r="VTW20" s="16"/>
      <c r="VTX20" s="19"/>
      <c r="VTY20" s="16"/>
      <c r="VTZ20" s="19"/>
      <c r="VUA20" s="16"/>
      <c r="VUB20" s="19"/>
      <c r="VUC20" s="16"/>
      <c r="VUD20" s="19"/>
      <c r="VUE20" s="16"/>
      <c r="VUF20" s="19"/>
      <c r="VUG20" s="16"/>
      <c r="VUH20" s="19"/>
      <c r="VUI20" s="16"/>
      <c r="VUJ20" s="19"/>
      <c r="VUK20" s="16"/>
      <c r="VUL20" s="19"/>
      <c r="VUM20" s="16"/>
      <c r="VUN20" s="19"/>
      <c r="VUO20" s="16"/>
      <c r="VUP20" s="19"/>
      <c r="VUQ20" s="16"/>
      <c r="VUR20" s="19"/>
      <c r="VUS20" s="16"/>
      <c r="VUT20" s="19"/>
      <c r="VUU20" s="16"/>
      <c r="VUV20" s="19"/>
      <c r="VUW20" s="16"/>
      <c r="VUX20" s="19"/>
      <c r="VUY20" s="16"/>
      <c r="VUZ20" s="19"/>
      <c r="VVA20" s="16"/>
      <c r="VVB20" s="19"/>
      <c r="VVC20" s="16"/>
      <c r="VVD20" s="19"/>
      <c r="VVE20" s="16"/>
      <c r="VVF20" s="19"/>
      <c r="VVG20" s="16"/>
      <c r="VVH20" s="19"/>
      <c r="VVI20" s="16"/>
      <c r="VVJ20" s="19"/>
      <c r="VVK20" s="16"/>
      <c r="VVL20" s="19"/>
      <c r="VVM20" s="16"/>
      <c r="VVN20" s="19"/>
      <c r="VVO20" s="16"/>
      <c r="VVP20" s="19"/>
      <c r="VVQ20" s="16"/>
      <c r="VVR20" s="19"/>
      <c r="VVS20" s="16"/>
      <c r="VVT20" s="19"/>
      <c r="VVU20" s="16"/>
      <c r="VVV20" s="19"/>
      <c r="VVW20" s="16"/>
      <c r="VVX20" s="19"/>
      <c r="VVY20" s="16"/>
      <c r="VVZ20" s="19"/>
      <c r="VWA20" s="16"/>
      <c r="VWB20" s="19"/>
      <c r="VWC20" s="16"/>
      <c r="VWD20" s="19"/>
      <c r="VWE20" s="16"/>
      <c r="VWF20" s="19"/>
      <c r="VWG20" s="16"/>
      <c r="VWH20" s="19"/>
      <c r="VWI20" s="16"/>
      <c r="VWJ20" s="19"/>
      <c r="VWK20" s="16"/>
      <c r="VWL20" s="19"/>
      <c r="VWM20" s="16"/>
      <c r="VWN20" s="19"/>
      <c r="VWO20" s="16"/>
      <c r="VWP20" s="19"/>
      <c r="VWQ20" s="16"/>
      <c r="VWR20" s="19"/>
      <c r="VWS20" s="16"/>
      <c r="VWT20" s="19"/>
      <c r="VWU20" s="16"/>
      <c r="VWV20" s="19"/>
      <c r="VWW20" s="16"/>
      <c r="VWX20" s="19"/>
      <c r="VWY20" s="16"/>
      <c r="VWZ20" s="19"/>
      <c r="VXA20" s="16"/>
      <c r="VXB20" s="19"/>
      <c r="VXC20" s="16"/>
      <c r="VXD20" s="19"/>
      <c r="VXE20" s="16"/>
      <c r="VXF20" s="19"/>
      <c r="VXG20" s="16"/>
      <c r="VXH20" s="19"/>
      <c r="VXI20" s="16"/>
      <c r="VXJ20" s="19"/>
      <c r="VXK20" s="16"/>
      <c r="VXL20" s="19"/>
      <c r="VXM20" s="16"/>
      <c r="VXN20" s="19"/>
      <c r="VXO20" s="16"/>
      <c r="VXP20" s="19"/>
      <c r="VXQ20" s="16"/>
      <c r="VXR20" s="19"/>
      <c r="VXS20" s="16"/>
      <c r="VXT20" s="19"/>
      <c r="VXU20" s="16"/>
      <c r="VXV20" s="19"/>
      <c r="VXW20" s="16"/>
      <c r="VXX20" s="19"/>
      <c r="VXY20" s="16"/>
      <c r="VXZ20" s="19"/>
      <c r="VYA20" s="16"/>
      <c r="VYB20" s="19"/>
      <c r="VYC20" s="16"/>
      <c r="VYD20" s="19"/>
      <c r="VYE20" s="16"/>
      <c r="VYF20" s="19"/>
      <c r="VYG20" s="16"/>
      <c r="VYH20" s="19"/>
      <c r="VYI20" s="16"/>
      <c r="VYJ20" s="19"/>
      <c r="VYK20" s="16"/>
      <c r="VYL20" s="19"/>
      <c r="VYM20" s="16"/>
      <c r="VYN20" s="19"/>
      <c r="VYO20" s="16"/>
      <c r="VYP20" s="19"/>
      <c r="VYQ20" s="16"/>
      <c r="VYR20" s="19"/>
      <c r="VYS20" s="16"/>
      <c r="VYT20" s="19"/>
      <c r="VYU20" s="16"/>
      <c r="VYV20" s="19"/>
      <c r="VYW20" s="16"/>
      <c r="VYX20" s="19"/>
      <c r="VYY20" s="16"/>
      <c r="VYZ20" s="19"/>
      <c r="VZA20" s="16"/>
      <c r="VZB20" s="19"/>
      <c r="VZC20" s="16"/>
      <c r="VZD20" s="19"/>
      <c r="VZE20" s="16"/>
      <c r="VZF20" s="19"/>
      <c r="VZG20" s="16"/>
      <c r="VZH20" s="19"/>
      <c r="VZI20" s="16"/>
      <c r="VZJ20" s="19"/>
      <c r="VZK20" s="16"/>
      <c r="VZL20" s="19"/>
      <c r="VZM20" s="16"/>
      <c r="VZN20" s="19"/>
      <c r="VZO20" s="16"/>
      <c r="VZP20" s="19"/>
      <c r="VZQ20" s="16"/>
      <c r="VZR20" s="19"/>
      <c r="VZS20" s="16"/>
      <c r="VZT20" s="19"/>
      <c r="VZU20" s="16"/>
      <c r="VZV20" s="19"/>
      <c r="VZW20" s="16"/>
      <c r="VZX20" s="19"/>
      <c r="VZY20" s="16"/>
      <c r="VZZ20" s="19"/>
      <c r="WAA20" s="16"/>
      <c r="WAB20" s="19"/>
      <c r="WAC20" s="16"/>
      <c r="WAD20" s="19"/>
      <c r="WAE20" s="16"/>
      <c r="WAF20" s="19"/>
      <c r="WAG20" s="16"/>
      <c r="WAH20" s="19"/>
      <c r="WAI20" s="16"/>
      <c r="WAJ20" s="19"/>
      <c r="WAK20" s="16"/>
      <c r="WAL20" s="19"/>
      <c r="WAM20" s="16"/>
      <c r="WAN20" s="19"/>
      <c r="WAO20" s="16"/>
      <c r="WAP20" s="19"/>
      <c r="WAQ20" s="16"/>
      <c r="WAR20" s="19"/>
      <c r="WAS20" s="16"/>
      <c r="WAT20" s="19"/>
      <c r="WAU20" s="16"/>
      <c r="WAV20" s="19"/>
      <c r="WAW20" s="16"/>
      <c r="WAX20" s="19"/>
      <c r="WAY20" s="16"/>
      <c r="WAZ20" s="19"/>
      <c r="WBA20" s="16"/>
      <c r="WBB20" s="19"/>
      <c r="WBC20" s="16"/>
      <c r="WBD20" s="19"/>
      <c r="WBE20" s="16"/>
      <c r="WBF20" s="19"/>
      <c r="WBG20" s="16"/>
      <c r="WBH20" s="19"/>
      <c r="WBI20" s="16"/>
      <c r="WBJ20" s="19"/>
      <c r="WBK20" s="16"/>
      <c r="WBL20" s="19"/>
      <c r="WBM20" s="16"/>
      <c r="WBN20" s="19"/>
      <c r="WBO20" s="16"/>
      <c r="WBP20" s="19"/>
      <c r="WBQ20" s="16"/>
      <c r="WBR20" s="19"/>
      <c r="WBS20" s="16"/>
      <c r="WBT20" s="19"/>
      <c r="WBU20" s="16"/>
      <c r="WBV20" s="19"/>
      <c r="WBW20" s="16"/>
      <c r="WBX20" s="19"/>
      <c r="WBY20" s="16"/>
      <c r="WBZ20" s="19"/>
      <c r="WCA20" s="16"/>
      <c r="WCB20" s="19"/>
      <c r="WCC20" s="16"/>
      <c r="WCD20" s="19"/>
      <c r="WCE20" s="16"/>
      <c r="WCF20" s="19"/>
      <c r="WCG20" s="16"/>
      <c r="WCH20" s="19"/>
      <c r="WCI20" s="16"/>
      <c r="WCJ20" s="19"/>
      <c r="WCK20" s="16"/>
      <c r="WCL20" s="19"/>
      <c r="WCM20" s="16"/>
      <c r="WCN20" s="19"/>
      <c r="WCO20" s="16"/>
      <c r="WCP20" s="19"/>
      <c r="WCQ20" s="16"/>
      <c r="WCR20" s="19"/>
      <c r="WCS20" s="16"/>
      <c r="WCT20" s="19"/>
      <c r="WCU20" s="16"/>
      <c r="WCV20" s="19"/>
      <c r="WCW20" s="16"/>
      <c r="WCX20" s="19"/>
      <c r="WCY20" s="16"/>
      <c r="WCZ20" s="19"/>
      <c r="WDA20" s="16"/>
      <c r="WDB20" s="19"/>
      <c r="WDC20" s="16"/>
      <c r="WDD20" s="19"/>
      <c r="WDE20" s="16"/>
      <c r="WDF20" s="19"/>
      <c r="WDG20" s="16"/>
      <c r="WDH20" s="19"/>
      <c r="WDI20" s="16"/>
      <c r="WDJ20" s="19"/>
      <c r="WDK20" s="16"/>
      <c r="WDL20" s="19"/>
      <c r="WDM20" s="16"/>
      <c r="WDN20" s="19"/>
      <c r="WDO20" s="16"/>
      <c r="WDP20" s="19"/>
      <c r="WDQ20" s="16"/>
      <c r="WDR20" s="19"/>
      <c r="WDS20" s="16"/>
      <c r="WDT20" s="19"/>
      <c r="WDU20" s="16"/>
      <c r="WDV20" s="19"/>
      <c r="WDW20" s="16"/>
      <c r="WDX20" s="19"/>
      <c r="WDY20" s="16"/>
      <c r="WDZ20" s="19"/>
      <c r="WEA20" s="16"/>
      <c r="WEB20" s="19"/>
      <c r="WEC20" s="16"/>
      <c r="WED20" s="19"/>
      <c r="WEE20" s="16"/>
      <c r="WEF20" s="19"/>
      <c r="WEG20" s="16"/>
      <c r="WEH20" s="19"/>
      <c r="WEI20" s="16"/>
      <c r="WEJ20" s="19"/>
      <c r="WEK20" s="16"/>
      <c r="WEL20" s="19"/>
      <c r="WEM20" s="16"/>
      <c r="WEN20" s="19"/>
      <c r="WEO20" s="16"/>
      <c r="WEP20" s="19"/>
      <c r="WEQ20" s="16"/>
      <c r="WER20" s="19"/>
      <c r="WES20" s="16"/>
      <c r="WET20" s="19"/>
      <c r="WEU20" s="16"/>
      <c r="WEV20" s="19"/>
      <c r="WEW20" s="16"/>
      <c r="WEX20" s="19"/>
      <c r="WEY20" s="16"/>
      <c r="WEZ20" s="19"/>
      <c r="WFA20" s="16"/>
      <c r="WFB20" s="19"/>
      <c r="WFC20" s="16"/>
      <c r="WFD20" s="19"/>
      <c r="WFE20" s="16"/>
      <c r="WFF20" s="19"/>
      <c r="WFG20" s="16"/>
      <c r="WFH20" s="19"/>
      <c r="WFI20" s="16"/>
      <c r="WFJ20" s="19"/>
      <c r="WFK20" s="16"/>
      <c r="WFL20" s="19"/>
      <c r="WFM20" s="16"/>
      <c r="WFN20" s="19"/>
      <c r="WFO20" s="16"/>
      <c r="WFP20" s="19"/>
      <c r="WFQ20" s="16"/>
      <c r="WFR20" s="19"/>
      <c r="WFS20" s="16"/>
      <c r="WFT20" s="19"/>
      <c r="WFU20" s="16"/>
      <c r="WFV20" s="19"/>
      <c r="WFW20" s="16"/>
      <c r="WFX20" s="19"/>
      <c r="WFY20" s="16"/>
      <c r="WFZ20" s="19"/>
      <c r="WGA20" s="16"/>
      <c r="WGB20" s="19"/>
      <c r="WGC20" s="16"/>
      <c r="WGD20" s="19"/>
      <c r="WGE20" s="16"/>
      <c r="WGF20" s="19"/>
      <c r="WGG20" s="16"/>
      <c r="WGH20" s="19"/>
      <c r="WGI20" s="16"/>
      <c r="WGJ20" s="19"/>
      <c r="WGK20" s="16"/>
      <c r="WGL20" s="19"/>
      <c r="WGM20" s="16"/>
      <c r="WGN20" s="19"/>
      <c r="WGO20" s="16"/>
      <c r="WGP20" s="19"/>
      <c r="WGQ20" s="16"/>
      <c r="WGR20" s="19"/>
      <c r="WGS20" s="16"/>
      <c r="WGT20" s="19"/>
      <c r="WGU20" s="16"/>
      <c r="WGV20" s="19"/>
      <c r="WGW20" s="16"/>
      <c r="WGX20" s="19"/>
      <c r="WGY20" s="16"/>
      <c r="WGZ20" s="19"/>
      <c r="WHA20" s="16"/>
      <c r="WHB20" s="19"/>
      <c r="WHC20" s="16"/>
      <c r="WHD20" s="19"/>
      <c r="WHE20" s="16"/>
      <c r="WHF20" s="19"/>
      <c r="WHG20" s="16"/>
      <c r="WHH20" s="19"/>
      <c r="WHI20" s="16"/>
      <c r="WHJ20" s="19"/>
      <c r="WHK20" s="16"/>
      <c r="WHL20" s="19"/>
      <c r="WHM20" s="16"/>
      <c r="WHN20" s="19"/>
      <c r="WHO20" s="16"/>
      <c r="WHP20" s="19"/>
      <c r="WHQ20" s="16"/>
      <c r="WHR20" s="19"/>
      <c r="WHS20" s="16"/>
      <c r="WHT20" s="19"/>
      <c r="WHU20" s="16"/>
      <c r="WHV20" s="19"/>
      <c r="WHW20" s="16"/>
      <c r="WHX20" s="19"/>
      <c r="WHY20" s="16"/>
      <c r="WHZ20" s="19"/>
      <c r="WIA20" s="16"/>
      <c r="WIB20" s="19"/>
      <c r="WIC20" s="16"/>
      <c r="WID20" s="19"/>
      <c r="WIE20" s="16"/>
      <c r="WIF20" s="19"/>
      <c r="WIG20" s="16"/>
      <c r="WIH20" s="19"/>
      <c r="WII20" s="16"/>
      <c r="WIJ20" s="19"/>
      <c r="WIK20" s="16"/>
      <c r="WIL20" s="19"/>
      <c r="WIM20" s="16"/>
      <c r="WIN20" s="19"/>
      <c r="WIO20" s="16"/>
      <c r="WIP20" s="19"/>
      <c r="WIQ20" s="16"/>
      <c r="WIR20" s="19"/>
      <c r="WIS20" s="16"/>
      <c r="WIT20" s="19"/>
      <c r="WIU20" s="16"/>
      <c r="WIV20" s="19"/>
      <c r="WIW20" s="16"/>
      <c r="WIX20" s="19"/>
      <c r="WIY20" s="16"/>
      <c r="WIZ20" s="19"/>
      <c r="WJA20" s="16"/>
      <c r="WJB20" s="19"/>
      <c r="WJC20" s="16"/>
      <c r="WJD20" s="19"/>
      <c r="WJE20" s="16"/>
      <c r="WJF20" s="19"/>
      <c r="WJG20" s="16"/>
      <c r="WJH20" s="19"/>
      <c r="WJI20" s="16"/>
      <c r="WJJ20" s="19"/>
      <c r="WJK20" s="16"/>
      <c r="WJL20" s="19"/>
      <c r="WJM20" s="16"/>
      <c r="WJN20" s="19"/>
      <c r="WJO20" s="16"/>
      <c r="WJP20" s="19"/>
      <c r="WJQ20" s="16"/>
      <c r="WJR20" s="19"/>
      <c r="WJS20" s="16"/>
      <c r="WJT20" s="19"/>
      <c r="WJU20" s="16"/>
      <c r="WJV20" s="19"/>
      <c r="WJW20" s="16"/>
      <c r="WJX20" s="19"/>
      <c r="WJY20" s="16"/>
      <c r="WJZ20" s="19"/>
      <c r="WKA20" s="16"/>
      <c r="WKB20" s="19"/>
      <c r="WKC20" s="16"/>
      <c r="WKD20" s="19"/>
      <c r="WKE20" s="16"/>
      <c r="WKF20" s="19"/>
      <c r="WKG20" s="16"/>
      <c r="WKH20" s="19"/>
      <c r="WKI20" s="16"/>
      <c r="WKJ20" s="19"/>
      <c r="WKK20" s="16"/>
      <c r="WKL20" s="19"/>
      <c r="WKM20" s="16"/>
      <c r="WKN20" s="19"/>
      <c r="WKO20" s="16"/>
      <c r="WKP20" s="19"/>
      <c r="WKQ20" s="16"/>
      <c r="WKR20" s="19"/>
      <c r="WKS20" s="16"/>
      <c r="WKT20" s="19"/>
      <c r="WKU20" s="16"/>
      <c r="WKV20" s="19"/>
      <c r="WKW20" s="16"/>
      <c r="WKX20" s="19"/>
      <c r="WKY20" s="16"/>
      <c r="WKZ20" s="19"/>
      <c r="WLA20" s="16"/>
      <c r="WLB20" s="19"/>
      <c r="WLC20" s="16"/>
      <c r="WLD20" s="19"/>
      <c r="WLE20" s="16"/>
      <c r="WLF20" s="19"/>
      <c r="WLG20" s="16"/>
      <c r="WLH20" s="19"/>
      <c r="WLI20" s="16"/>
      <c r="WLJ20" s="19"/>
      <c r="WLK20" s="16"/>
      <c r="WLL20" s="19"/>
      <c r="WLM20" s="16"/>
      <c r="WLN20" s="19"/>
      <c r="WLO20" s="16"/>
      <c r="WLP20" s="19"/>
      <c r="WLQ20" s="16"/>
      <c r="WLR20" s="19"/>
      <c r="WLS20" s="16"/>
      <c r="WLT20" s="19"/>
      <c r="WLU20" s="16"/>
      <c r="WLV20" s="19"/>
      <c r="WLW20" s="16"/>
      <c r="WLX20" s="19"/>
      <c r="WLY20" s="16"/>
      <c r="WLZ20" s="19"/>
      <c r="WMA20" s="16"/>
      <c r="WMB20" s="19"/>
      <c r="WMC20" s="16"/>
      <c r="WMD20" s="19"/>
      <c r="WME20" s="16"/>
      <c r="WMF20" s="19"/>
      <c r="WMG20" s="16"/>
      <c r="WMH20" s="19"/>
      <c r="WMI20" s="16"/>
      <c r="WMJ20" s="19"/>
      <c r="WMK20" s="16"/>
      <c r="WML20" s="19"/>
      <c r="WMM20" s="16"/>
      <c r="WMN20" s="19"/>
      <c r="WMO20" s="16"/>
      <c r="WMP20" s="19"/>
      <c r="WMQ20" s="16"/>
      <c r="WMR20" s="19"/>
      <c r="WMS20" s="16"/>
      <c r="WMT20" s="19"/>
      <c r="WMU20" s="16"/>
      <c r="WMV20" s="19"/>
      <c r="WMW20" s="16"/>
      <c r="WMX20" s="19"/>
      <c r="WMY20" s="16"/>
      <c r="WMZ20" s="19"/>
      <c r="WNA20" s="16"/>
      <c r="WNB20" s="19"/>
      <c r="WNC20" s="16"/>
      <c r="WND20" s="19"/>
      <c r="WNE20" s="16"/>
      <c r="WNF20" s="19"/>
      <c r="WNG20" s="16"/>
      <c r="WNH20" s="19"/>
      <c r="WNI20" s="16"/>
      <c r="WNJ20" s="19"/>
      <c r="WNK20" s="16"/>
      <c r="WNL20" s="19"/>
      <c r="WNM20" s="16"/>
      <c r="WNN20" s="19"/>
      <c r="WNO20" s="16"/>
      <c r="WNP20" s="19"/>
      <c r="WNQ20" s="16"/>
      <c r="WNR20" s="19"/>
      <c r="WNS20" s="16"/>
      <c r="WNT20" s="19"/>
      <c r="WNU20" s="16"/>
      <c r="WNV20" s="19"/>
      <c r="WNW20" s="16"/>
      <c r="WNX20" s="19"/>
      <c r="WNY20" s="16"/>
      <c r="WNZ20" s="19"/>
      <c r="WOA20" s="16"/>
      <c r="WOB20" s="19"/>
      <c r="WOC20" s="16"/>
      <c r="WOD20" s="19"/>
      <c r="WOE20" s="16"/>
      <c r="WOF20" s="19"/>
      <c r="WOG20" s="16"/>
      <c r="WOH20" s="19"/>
      <c r="WOI20" s="16"/>
      <c r="WOJ20" s="19"/>
      <c r="WOK20" s="16"/>
      <c r="WOL20" s="19"/>
      <c r="WOM20" s="16"/>
      <c r="WON20" s="19"/>
      <c r="WOO20" s="16"/>
      <c r="WOP20" s="19"/>
      <c r="WOQ20" s="16"/>
      <c r="WOR20" s="19"/>
      <c r="WOS20" s="16"/>
      <c r="WOT20" s="19"/>
      <c r="WOU20" s="16"/>
      <c r="WOV20" s="19"/>
      <c r="WOW20" s="16"/>
      <c r="WOX20" s="19"/>
      <c r="WOY20" s="16"/>
      <c r="WOZ20" s="19"/>
      <c r="WPA20" s="16"/>
      <c r="WPB20" s="19"/>
      <c r="WPC20" s="16"/>
      <c r="WPD20" s="19"/>
      <c r="WPE20" s="16"/>
      <c r="WPF20" s="19"/>
      <c r="WPG20" s="16"/>
      <c r="WPH20" s="19"/>
      <c r="WPI20" s="16"/>
      <c r="WPJ20" s="19"/>
      <c r="WPK20" s="16"/>
      <c r="WPL20" s="19"/>
      <c r="WPM20" s="16"/>
      <c r="WPN20" s="19"/>
      <c r="WPO20" s="16"/>
      <c r="WPP20" s="19"/>
      <c r="WPQ20" s="16"/>
      <c r="WPR20" s="19"/>
      <c r="WPS20" s="16"/>
      <c r="WPT20" s="19"/>
      <c r="WPU20" s="16"/>
      <c r="WPV20" s="19"/>
      <c r="WPW20" s="16"/>
      <c r="WPX20" s="19"/>
      <c r="WPY20" s="16"/>
      <c r="WPZ20" s="19"/>
      <c r="WQA20" s="16"/>
      <c r="WQB20" s="19"/>
      <c r="WQC20" s="16"/>
      <c r="WQD20" s="19"/>
      <c r="WQE20" s="16"/>
      <c r="WQF20" s="19"/>
      <c r="WQG20" s="16"/>
      <c r="WQH20" s="19"/>
      <c r="WQI20" s="16"/>
      <c r="WQJ20" s="19"/>
      <c r="WQK20" s="16"/>
      <c r="WQL20" s="19"/>
      <c r="WQM20" s="16"/>
      <c r="WQN20" s="19"/>
      <c r="WQO20" s="16"/>
      <c r="WQP20" s="19"/>
      <c r="WQQ20" s="16"/>
      <c r="WQR20" s="19"/>
      <c r="WQS20" s="16"/>
      <c r="WQT20" s="19"/>
      <c r="WQU20" s="16"/>
      <c r="WQV20" s="19"/>
      <c r="WQW20" s="16"/>
      <c r="WQX20" s="19"/>
      <c r="WQY20" s="16"/>
      <c r="WQZ20" s="19"/>
      <c r="WRA20" s="16"/>
      <c r="WRB20" s="19"/>
      <c r="WRC20" s="16"/>
      <c r="WRD20" s="19"/>
      <c r="WRE20" s="16"/>
      <c r="WRF20" s="19"/>
      <c r="WRG20" s="16"/>
      <c r="WRH20" s="19"/>
      <c r="WRI20" s="16"/>
      <c r="WRJ20" s="19"/>
      <c r="WRK20" s="16"/>
      <c r="WRL20" s="19"/>
      <c r="WRM20" s="16"/>
      <c r="WRN20" s="19"/>
      <c r="WRO20" s="16"/>
      <c r="WRP20" s="19"/>
      <c r="WRQ20" s="16"/>
      <c r="WRR20" s="19"/>
      <c r="WRS20" s="16"/>
      <c r="WRT20" s="19"/>
      <c r="WRU20" s="16"/>
      <c r="WRV20" s="19"/>
      <c r="WRW20" s="16"/>
      <c r="WRX20" s="19"/>
      <c r="WRY20" s="16"/>
      <c r="WRZ20" s="19"/>
      <c r="WSA20" s="16"/>
      <c r="WSB20" s="19"/>
      <c r="WSC20" s="16"/>
      <c r="WSD20" s="19"/>
      <c r="WSE20" s="16"/>
      <c r="WSF20" s="19"/>
      <c r="WSG20" s="16"/>
      <c r="WSH20" s="19"/>
      <c r="WSI20" s="16"/>
      <c r="WSJ20" s="19"/>
      <c r="WSK20" s="16"/>
      <c r="WSL20" s="19"/>
      <c r="WSM20" s="16"/>
      <c r="WSN20" s="19"/>
      <c r="WSO20" s="16"/>
      <c r="WSP20" s="19"/>
      <c r="WSQ20" s="16"/>
      <c r="WSR20" s="19"/>
      <c r="WSS20" s="16"/>
      <c r="WST20" s="19"/>
      <c r="WSU20" s="16"/>
      <c r="WSV20" s="19"/>
      <c r="WSW20" s="16"/>
      <c r="WSX20" s="19"/>
      <c r="WSY20" s="16"/>
      <c r="WSZ20" s="19"/>
      <c r="WTA20" s="16"/>
      <c r="WTB20" s="19"/>
      <c r="WTC20" s="16"/>
      <c r="WTD20" s="19"/>
      <c r="WTE20" s="16"/>
      <c r="WTF20" s="19"/>
      <c r="WTG20" s="16"/>
      <c r="WTH20" s="19"/>
      <c r="WTI20" s="16"/>
      <c r="WTJ20" s="19"/>
      <c r="WTK20" s="16"/>
      <c r="WTL20" s="19"/>
      <c r="WTM20" s="16"/>
      <c r="WTN20" s="19"/>
      <c r="WTO20" s="16"/>
      <c r="WTP20" s="19"/>
      <c r="WTQ20" s="16"/>
      <c r="WTR20" s="19"/>
      <c r="WTS20" s="16"/>
      <c r="WTT20" s="19"/>
      <c r="WTU20" s="16"/>
      <c r="WTV20" s="19"/>
      <c r="WTW20" s="16"/>
      <c r="WTX20" s="19"/>
      <c r="WTY20" s="16"/>
      <c r="WTZ20" s="19"/>
      <c r="WUA20" s="16"/>
      <c r="WUB20" s="19"/>
      <c r="WUC20" s="16"/>
      <c r="WUD20" s="19"/>
      <c r="WUE20" s="16"/>
      <c r="WUF20" s="19"/>
      <c r="WUG20" s="16"/>
      <c r="WUH20" s="19"/>
      <c r="WUI20" s="16"/>
      <c r="WUJ20" s="19"/>
      <c r="WUK20" s="16"/>
      <c r="WUL20" s="19"/>
      <c r="WUM20" s="16"/>
      <c r="WUN20" s="19"/>
      <c r="WUO20" s="16"/>
      <c r="WUP20" s="19"/>
      <c r="WUQ20" s="16"/>
      <c r="WUR20" s="19"/>
      <c r="WUS20" s="16"/>
      <c r="WUT20" s="19"/>
      <c r="WUU20" s="16"/>
      <c r="WUV20" s="19"/>
      <c r="WUW20" s="16"/>
      <c r="WUX20" s="19"/>
      <c r="WUY20" s="16"/>
      <c r="WUZ20" s="19"/>
      <c r="WVA20" s="16"/>
      <c r="WVB20" s="19"/>
      <c r="WVC20" s="16"/>
      <c r="WVD20" s="19"/>
      <c r="WVE20" s="16"/>
      <c r="WVF20" s="19"/>
      <c r="WVG20" s="16"/>
      <c r="WVH20" s="19"/>
      <c r="WVI20" s="16"/>
      <c r="WVJ20" s="19"/>
      <c r="WVK20" s="16"/>
      <c r="WVL20" s="19"/>
      <c r="WVM20" s="16"/>
      <c r="WVN20" s="19"/>
      <c r="WVO20" s="16"/>
      <c r="WVP20" s="19"/>
      <c r="WVQ20" s="16"/>
      <c r="WVR20" s="19"/>
      <c r="WVS20" s="16"/>
      <c r="WVT20" s="19"/>
      <c r="WVU20" s="16"/>
      <c r="WVV20" s="19"/>
      <c r="WVW20" s="16"/>
      <c r="WVX20" s="19"/>
      <c r="WVY20" s="16"/>
      <c r="WVZ20" s="19"/>
      <c r="WWA20" s="16"/>
      <c r="WWB20" s="19"/>
      <c r="WWC20" s="16"/>
      <c r="WWD20" s="19"/>
      <c r="WWE20" s="16"/>
      <c r="WWF20" s="19"/>
      <c r="WWG20" s="16"/>
      <c r="WWH20" s="19"/>
      <c r="WWI20" s="16"/>
      <c r="WWJ20" s="19"/>
      <c r="WWK20" s="16"/>
      <c r="WWL20" s="19"/>
      <c r="WWM20" s="16"/>
      <c r="WWN20" s="19"/>
      <c r="WWO20" s="16"/>
      <c r="WWP20" s="19"/>
      <c r="WWQ20" s="16"/>
      <c r="WWR20" s="19"/>
      <c r="WWS20" s="16"/>
      <c r="WWT20" s="19"/>
      <c r="WWU20" s="16"/>
      <c r="WWV20" s="19"/>
      <c r="WWW20" s="16"/>
      <c r="WWX20" s="19"/>
      <c r="WWY20" s="16"/>
      <c r="WWZ20" s="19"/>
      <c r="WXA20" s="16"/>
      <c r="WXB20" s="19"/>
      <c r="WXC20" s="16"/>
      <c r="WXD20" s="19"/>
      <c r="WXE20" s="16"/>
      <c r="WXF20" s="19"/>
      <c r="WXG20" s="16"/>
      <c r="WXH20" s="19"/>
      <c r="WXI20" s="16"/>
      <c r="WXJ20" s="19"/>
      <c r="WXK20" s="16"/>
      <c r="WXL20" s="19"/>
      <c r="WXM20" s="16"/>
      <c r="WXN20" s="19"/>
      <c r="WXO20" s="16"/>
      <c r="WXP20" s="19"/>
      <c r="WXQ20" s="16"/>
      <c r="WXR20" s="19"/>
      <c r="WXS20" s="16"/>
      <c r="WXT20" s="19"/>
      <c r="WXU20" s="16"/>
      <c r="WXV20" s="19"/>
      <c r="WXW20" s="16"/>
      <c r="WXX20" s="19"/>
      <c r="WXY20" s="16"/>
      <c r="WXZ20" s="19"/>
      <c r="WYA20" s="16"/>
      <c r="WYB20" s="19"/>
      <c r="WYC20" s="16"/>
      <c r="WYD20" s="19"/>
      <c r="WYE20" s="16"/>
      <c r="WYF20" s="19"/>
      <c r="WYG20" s="16"/>
      <c r="WYH20" s="19"/>
      <c r="WYI20" s="16"/>
      <c r="WYJ20" s="19"/>
      <c r="WYK20" s="16"/>
      <c r="WYL20" s="19"/>
      <c r="WYM20" s="16"/>
      <c r="WYN20" s="19"/>
      <c r="WYO20" s="16"/>
      <c r="WYP20" s="19"/>
      <c r="WYQ20" s="16"/>
      <c r="WYR20" s="19"/>
      <c r="WYS20" s="16"/>
      <c r="WYT20" s="19"/>
      <c r="WYU20" s="16"/>
      <c r="WYV20" s="19"/>
      <c r="WYW20" s="16"/>
      <c r="WYX20" s="19"/>
      <c r="WYY20" s="16"/>
      <c r="WYZ20" s="19"/>
      <c r="WZA20" s="16"/>
      <c r="WZB20" s="19"/>
      <c r="WZC20" s="16"/>
      <c r="WZD20" s="19"/>
      <c r="WZE20" s="16"/>
      <c r="WZF20" s="19"/>
      <c r="WZG20" s="16"/>
      <c r="WZH20" s="19"/>
      <c r="WZI20" s="16"/>
      <c r="WZJ20" s="19"/>
      <c r="WZK20" s="16"/>
      <c r="WZL20" s="19"/>
      <c r="WZM20" s="16"/>
      <c r="WZN20" s="19"/>
      <c r="WZO20" s="16"/>
      <c r="WZP20" s="19"/>
      <c r="WZQ20" s="16"/>
      <c r="WZR20" s="19"/>
      <c r="WZS20" s="16"/>
      <c r="WZT20" s="19"/>
      <c r="WZU20" s="16"/>
      <c r="WZV20" s="19"/>
      <c r="WZW20" s="16"/>
      <c r="WZX20" s="19"/>
      <c r="WZY20" s="16"/>
      <c r="WZZ20" s="19"/>
      <c r="XAA20" s="16"/>
      <c r="XAB20" s="19"/>
      <c r="XAC20" s="16"/>
      <c r="XAD20" s="19"/>
      <c r="XAE20" s="16"/>
      <c r="XAF20" s="19"/>
      <c r="XAG20" s="16"/>
      <c r="XAH20" s="19"/>
      <c r="XAI20" s="16"/>
      <c r="XAJ20" s="19"/>
      <c r="XAK20" s="16"/>
      <c r="XAL20" s="19"/>
      <c r="XAM20" s="16"/>
      <c r="XAN20" s="19"/>
      <c r="XAO20" s="16"/>
      <c r="XAP20" s="19"/>
      <c r="XAQ20" s="16"/>
      <c r="XAR20" s="19"/>
      <c r="XAS20" s="16"/>
      <c r="XAT20" s="19"/>
      <c r="XAU20" s="16"/>
      <c r="XAV20" s="19"/>
      <c r="XAW20" s="16"/>
      <c r="XAX20" s="19"/>
      <c r="XAY20" s="16"/>
      <c r="XAZ20" s="19"/>
      <c r="XBA20" s="16"/>
      <c r="XBB20" s="19"/>
      <c r="XBC20" s="16"/>
      <c r="XBD20" s="19"/>
      <c r="XBE20" s="16"/>
      <c r="XBF20" s="19"/>
      <c r="XBG20" s="16"/>
      <c r="XBH20" s="19"/>
      <c r="XBI20" s="16"/>
      <c r="XBJ20" s="19"/>
      <c r="XBK20" s="16"/>
      <c r="XBL20" s="19"/>
      <c r="XBM20" s="16"/>
      <c r="XBN20" s="19"/>
      <c r="XBO20" s="16"/>
      <c r="XBP20" s="19"/>
      <c r="XBQ20" s="16"/>
      <c r="XBR20" s="19"/>
      <c r="XBS20" s="16"/>
      <c r="XBT20" s="19"/>
      <c r="XBU20" s="16"/>
      <c r="XBV20" s="19"/>
      <c r="XBW20" s="16"/>
      <c r="XBX20" s="19"/>
      <c r="XBY20" s="16"/>
      <c r="XBZ20" s="19"/>
      <c r="XCA20" s="16"/>
      <c r="XCB20" s="19"/>
      <c r="XCC20" s="16"/>
      <c r="XCD20" s="19"/>
      <c r="XCE20" s="16"/>
      <c r="XCF20" s="19"/>
      <c r="XCG20" s="16"/>
      <c r="XCH20" s="19"/>
      <c r="XCI20" s="16"/>
      <c r="XCJ20" s="19"/>
      <c r="XCK20" s="16"/>
      <c r="XCL20" s="19"/>
      <c r="XCM20" s="16"/>
      <c r="XCN20" s="19"/>
      <c r="XCO20" s="16"/>
      <c r="XCP20" s="19"/>
      <c r="XCQ20" s="16"/>
      <c r="XCR20" s="19"/>
      <c r="XCS20" s="16"/>
      <c r="XCT20" s="19"/>
      <c r="XCU20" s="16"/>
      <c r="XCV20" s="19"/>
      <c r="XCW20" s="16"/>
      <c r="XCX20" s="19"/>
      <c r="XCY20" s="16"/>
      <c r="XCZ20" s="19"/>
      <c r="XDA20" s="16"/>
      <c r="XDB20" s="19"/>
      <c r="XDC20" s="16"/>
      <c r="XDD20" s="19"/>
      <c r="XDE20" s="16"/>
      <c r="XDF20" s="19"/>
      <c r="XDG20" s="16"/>
      <c r="XDH20" s="19"/>
      <c r="XDI20" s="16"/>
      <c r="XDJ20" s="19"/>
      <c r="XDK20" s="16"/>
      <c r="XDL20" s="19"/>
      <c r="XDM20" s="16"/>
      <c r="XDN20" s="19"/>
      <c r="XDO20" s="16"/>
      <c r="XDP20" s="19"/>
      <c r="XDQ20" s="16"/>
      <c r="XDR20" s="19"/>
      <c r="XDS20" s="16"/>
      <c r="XDT20" s="19"/>
      <c r="XDU20" s="16"/>
      <c r="XDV20" s="19"/>
      <c r="XDW20" s="16"/>
      <c r="XDX20" s="19"/>
      <c r="XDY20" s="16"/>
      <c r="XDZ20" s="19"/>
      <c r="XEA20" s="16"/>
      <c r="XEB20" s="19"/>
      <c r="XEC20" s="16"/>
      <c r="XED20" s="19"/>
      <c r="XEE20" s="16"/>
      <c r="XEF20" s="19"/>
      <c r="XEG20" s="16"/>
      <c r="XEH20" s="19"/>
      <c r="XEI20" s="16"/>
      <c r="XEJ20" s="19"/>
      <c r="XEK20" s="16"/>
      <c r="XEL20" s="19"/>
      <c r="XEM20" s="16"/>
      <c r="XEN20" s="19"/>
      <c r="XEO20" s="16"/>
      <c r="XEP20" s="19"/>
      <c r="XEQ20" s="16"/>
      <c r="XER20" s="19"/>
      <c r="XES20" s="16"/>
      <c r="XET20" s="19"/>
      <c r="XEU20" s="16"/>
      <c r="XEV20" s="19"/>
      <c r="XEW20" s="16"/>
      <c r="XEX20" s="19"/>
      <c r="XEY20" s="16"/>
      <c r="XEZ20" s="19"/>
      <c r="XFA20" s="16"/>
      <c r="XFB20" s="19"/>
      <c r="XFC20" s="16"/>
      <c r="XFD20" s="19"/>
    </row>
    <row r="21" spans="1:16384" s="19" customFormat="1" ht="33.75" customHeight="1">
      <c r="A21" s="2183" t="s">
        <v>23</v>
      </c>
      <c r="B21" s="2140"/>
      <c r="C21" s="140" t="s">
        <v>69</v>
      </c>
      <c r="D21" s="137" t="s">
        <v>267</v>
      </c>
      <c r="E21" s="138"/>
      <c r="F21" s="1828"/>
      <c r="G21" s="2140"/>
      <c r="H21" s="2137"/>
      <c r="I21" s="795" t="s">
        <v>267</v>
      </c>
      <c r="J21" s="822"/>
      <c r="K21" s="813"/>
      <c r="L21" s="813"/>
      <c r="M21" s="813"/>
      <c r="N21" s="813"/>
      <c r="O21" s="813"/>
      <c r="P21" s="813"/>
      <c r="Q21" s="822"/>
      <c r="R21" s="813"/>
      <c r="S21" s="813"/>
      <c r="T21" s="813"/>
      <c r="U21" s="813"/>
      <c r="V21" s="813"/>
      <c r="W21" s="813"/>
      <c r="X21" s="822"/>
      <c r="Y21" s="813"/>
      <c r="Z21" s="813"/>
      <c r="AA21" s="813"/>
      <c r="AB21" s="813"/>
      <c r="AC21" s="813"/>
      <c r="AD21" s="814"/>
    </row>
    <row r="22" spans="1:16384" ht="30.75" customHeight="1" thickBot="1">
      <c r="A22" s="2141"/>
      <c r="B22" s="2141"/>
      <c r="C22" s="141" t="s">
        <v>24</v>
      </c>
      <c r="D22" s="142" t="s">
        <v>236</v>
      </c>
      <c r="E22" s="138"/>
      <c r="F22" s="2141"/>
      <c r="G22" s="2141"/>
      <c r="H22" s="2142"/>
      <c r="I22" s="796" t="s">
        <v>236</v>
      </c>
      <c r="J22" s="822"/>
      <c r="K22" s="813"/>
      <c r="L22" s="813"/>
      <c r="M22" s="813"/>
      <c r="N22" s="813"/>
      <c r="O22" s="813"/>
      <c r="P22" s="813"/>
      <c r="Q22" s="822"/>
      <c r="R22" s="813"/>
      <c r="S22" s="813"/>
      <c r="T22" s="813"/>
      <c r="U22" s="813"/>
      <c r="V22" s="813"/>
      <c r="W22" s="813"/>
      <c r="X22" s="822"/>
      <c r="Y22" s="813"/>
      <c r="Z22" s="813"/>
      <c r="AA22" s="813"/>
      <c r="AB22" s="813"/>
      <c r="AC22" s="813"/>
      <c r="AD22" s="814"/>
    </row>
    <row r="23" spans="1:16384" ht="42.75" customHeight="1">
      <c r="A23" s="2136" t="s">
        <v>478</v>
      </c>
      <c r="B23" s="2137"/>
      <c r="C23" s="143" t="s">
        <v>360</v>
      </c>
      <c r="D23" s="142" t="s">
        <v>265</v>
      </c>
      <c r="E23" s="138"/>
      <c r="F23" s="1828"/>
      <c r="G23" s="2140"/>
      <c r="H23" s="2137"/>
      <c r="I23" s="796" t="s">
        <v>265</v>
      </c>
      <c r="J23" s="822"/>
      <c r="K23" s="813"/>
      <c r="L23" s="813"/>
      <c r="M23" s="813"/>
      <c r="N23" s="813"/>
      <c r="O23" s="813"/>
      <c r="P23" s="813"/>
      <c r="Q23" s="822"/>
      <c r="R23" s="813"/>
      <c r="S23" s="813"/>
      <c r="T23" s="813"/>
      <c r="U23" s="813"/>
      <c r="V23" s="813"/>
      <c r="W23" s="813"/>
      <c r="X23" s="822"/>
      <c r="Y23" s="813"/>
      <c r="Z23" s="813"/>
      <c r="AA23" s="813"/>
      <c r="AB23" s="813"/>
      <c r="AC23" s="813"/>
      <c r="AD23" s="814"/>
    </row>
    <row r="24" spans="1:16384" ht="15.75">
      <c r="A24" s="2138"/>
      <c r="B24" s="2139"/>
      <c r="C24" s="144" t="s">
        <v>361</v>
      </c>
      <c r="D24" s="142" t="s">
        <v>362</v>
      </c>
      <c r="E24" s="138"/>
      <c r="F24" s="1845"/>
      <c r="G24" s="1845"/>
      <c r="H24" s="2139"/>
      <c r="I24" s="796" t="s">
        <v>362</v>
      </c>
      <c r="J24" s="822"/>
      <c r="K24" s="813"/>
      <c r="L24" s="813"/>
      <c r="M24" s="813"/>
      <c r="N24" s="813"/>
      <c r="O24" s="813"/>
      <c r="P24" s="813"/>
      <c r="Q24" s="822"/>
      <c r="R24" s="813"/>
      <c r="S24" s="813"/>
      <c r="T24" s="813"/>
      <c r="U24" s="813"/>
      <c r="V24" s="813"/>
      <c r="W24" s="813"/>
      <c r="X24" s="822"/>
      <c r="Y24" s="813"/>
      <c r="Z24" s="813"/>
      <c r="AA24" s="813"/>
      <c r="AB24" s="813"/>
      <c r="AC24" s="813"/>
      <c r="AD24" s="814"/>
    </row>
    <row r="25" spans="1:16384" ht="16.5" thickBot="1">
      <c r="A25" s="2138"/>
      <c r="B25" s="2139"/>
      <c r="C25" s="145" t="s">
        <v>479</v>
      </c>
      <c r="D25" s="142" t="s">
        <v>480</v>
      </c>
      <c r="E25" s="138"/>
      <c r="F25" s="2141"/>
      <c r="G25" s="2141"/>
      <c r="H25" s="2142"/>
      <c r="I25" s="796" t="s">
        <v>480</v>
      </c>
      <c r="J25" s="822"/>
      <c r="K25" s="813"/>
      <c r="L25" s="813"/>
      <c r="M25" s="813"/>
      <c r="N25" s="813"/>
      <c r="O25" s="813"/>
      <c r="P25" s="813"/>
      <c r="Q25" s="822"/>
      <c r="R25" s="813"/>
      <c r="S25" s="813"/>
      <c r="T25" s="813"/>
      <c r="U25" s="813"/>
      <c r="V25" s="813"/>
      <c r="W25" s="813"/>
      <c r="X25" s="822"/>
      <c r="Y25" s="813"/>
      <c r="Z25" s="813"/>
      <c r="AA25" s="813"/>
      <c r="AB25" s="813"/>
      <c r="AC25" s="813"/>
      <c r="AD25" s="814"/>
    </row>
    <row r="26" spans="1:16384" ht="15.75" thickBot="1">
      <c r="A26" s="2143" t="s">
        <v>25</v>
      </c>
      <c r="B26" s="2144"/>
      <c r="C26" s="2145"/>
      <c r="D26" s="146" t="s">
        <v>270</v>
      </c>
      <c r="E26" s="138"/>
      <c r="F26" s="1818"/>
      <c r="G26" s="2097"/>
      <c r="H26" s="2098"/>
      <c r="I26" s="797" t="s">
        <v>270</v>
      </c>
      <c r="J26" s="822"/>
      <c r="K26" s="813"/>
      <c r="L26" s="813"/>
      <c r="M26" s="813"/>
      <c r="N26" s="813"/>
      <c r="O26" s="813"/>
      <c r="P26" s="813"/>
      <c r="Q26" s="822"/>
      <c r="R26" s="813"/>
      <c r="S26" s="813"/>
      <c r="T26" s="813"/>
      <c r="U26" s="813"/>
      <c r="V26" s="813"/>
      <c r="W26" s="813"/>
      <c r="X26" s="822"/>
      <c r="Y26" s="813"/>
      <c r="Z26" s="813"/>
      <c r="AA26" s="813"/>
      <c r="AB26" s="813"/>
      <c r="AC26" s="813"/>
      <c r="AD26" s="814"/>
    </row>
    <row r="27" spans="1:16384" ht="15.75">
      <c r="A27" s="2157" t="s">
        <v>153</v>
      </c>
      <c r="B27" s="2158"/>
      <c r="C27" s="147" t="s">
        <v>152</v>
      </c>
      <c r="D27" s="148" t="s">
        <v>268</v>
      </c>
      <c r="E27" s="138"/>
      <c r="F27" s="1828"/>
      <c r="G27" s="2140"/>
      <c r="H27" s="2137"/>
      <c r="I27" s="798" t="s">
        <v>268</v>
      </c>
      <c r="J27" s="822"/>
      <c r="K27" s="813"/>
      <c r="L27" s="813"/>
      <c r="M27" s="813"/>
      <c r="N27" s="813"/>
      <c r="O27" s="813"/>
      <c r="P27" s="813"/>
      <c r="Q27" s="822"/>
      <c r="R27" s="813"/>
      <c r="S27" s="813"/>
      <c r="T27" s="813"/>
      <c r="U27" s="813"/>
      <c r="V27" s="813"/>
      <c r="W27" s="813"/>
      <c r="X27" s="822"/>
      <c r="Y27" s="813"/>
      <c r="Z27" s="813"/>
      <c r="AA27" s="813"/>
      <c r="AB27" s="813"/>
      <c r="AC27" s="813"/>
      <c r="AD27" s="814"/>
    </row>
    <row r="28" spans="1:16384" ht="15.75">
      <c r="A28" s="2138"/>
      <c r="B28" s="2158"/>
      <c r="C28" s="149" t="s">
        <v>154</v>
      </c>
      <c r="D28" s="148" t="s">
        <v>392</v>
      </c>
      <c r="E28" s="138"/>
      <c r="F28" s="1845"/>
      <c r="G28" s="1845"/>
      <c r="H28" s="2139"/>
      <c r="I28" s="798" t="s">
        <v>392</v>
      </c>
      <c r="J28" s="822"/>
      <c r="K28" s="813"/>
      <c r="L28" s="813"/>
      <c r="M28" s="813"/>
      <c r="N28" s="813"/>
      <c r="O28" s="813"/>
      <c r="P28" s="813"/>
      <c r="Q28" s="822"/>
      <c r="R28" s="813"/>
      <c r="S28" s="813"/>
      <c r="T28" s="813"/>
      <c r="U28" s="813"/>
      <c r="V28" s="813"/>
      <c r="W28" s="813"/>
      <c r="X28" s="822"/>
      <c r="Y28" s="813"/>
      <c r="Z28" s="813"/>
      <c r="AA28" s="813"/>
      <c r="AB28" s="813"/>
      <c r="AC28" s="813"/>
      <c r="AD28" s="814"/>
    </row>
    <row r="29" spans="1:16384" ht="16.5" thickBot="1">
      <c r="A29" s="2149"/>
      <c r="B29" s="2152"/>
      <c r="C29" s="150" t="s">
        <v>400</v>
      </c>
      <c r="D29" s="148" t="s">
        <v>393</v>
      </c>
      <c r="E29" s="138"/>
      <c r="F29" s="2141"/>
      <c r="G29" s="2141"/>
      <c r="H29" s="2142"/>
      <c r="I29" s="798" t="s">
        <v>393</v>
      </c>
      <c r="J29" s="822"/>
      <c r="K29" s="813"/>
      <c r="L29" s="813"/>
      <c r="M29" s="813"/>
      <c r="N29" s="813"/>
      <c r="O29" s="813"/>
      <c r="P29" s="813"/>
      <c r="Q29" s="822"/>
      <c r="R29" s="813"/>
      <c r="S29" s="813"/>
      <c r="T29" s="813"/>
      <c r="U29" s="813"/>
      <c r="V29" s="813"/>
      <c r="W29" s="813"/>
      <c r="X29" s="822"/>
      <c r="Y29" s="813"/>
      <c r="Z29" s="813"/>
      <c r="AA29" s="813"/>
      <c r="AB29" s="813"/>
      <c r="AC29" s="813"/>
      <c r="AD29" s="814"/>
    </row>
    <row r="30" spans="1:16384" ht="15.75">
      <c r="A30" s="2159" t="s">
        <v>153</v>
      </c>
      <c r="B30" s="2151"/>
      <c r="C30" s="151" t="s">
        <v>155</v>
      </c>
      <c r="D30" s="148" t="s">
        <v>266</v>
      </c>
      <c r="E30" s="138"/>
      <c r="F30" s="1828"/>
      <c r="G30" s="2140"/>
      <c r="H30" s="2137"/>
      <c r="I30" s="798" t="s">
        <v>266</v>
      </c>
      <c r="J30" s="822"/>
      <c r="K30" s="813"/>
      <c r="L30" s="813"/>
      <c r="M30" s="813"/>
      <c r="N30" s="813"/>
      <c r="O30" s="813"/>
      <c r="P30" s="813"/>
      <c r="Q30" s="822"/>
      <c r="R30" s="813"/>
      <c r="S30" s="813"/>
      <c r="T30" s="813"/>
      <c r="U30" s="813"/>
      <c r="V30" s="813"/>
      <c r="W30" s="813"/>
      <c r="X30" s="822"/>
      <c r="Y30" s="813"/>
      <c r="Z30" s="813"/>
      <c r="AA30" s="813"/>
      <c r="AB30" s="813"/>
      <c r="AC30" s="813"/>
      <c r="AD30" s="814"/>
    </row>
    <row r="31" spans="1:16384" ht="15.75">
      <c r="A31" s="2138"/>
      <c r="B31" s="2158"/>
      <c r="C31" s="149" t="s">
        <v>156</v>
      </c>
      <c r="D31" s="148" t="s">
        <v>394</v>
      </c>
      <c r="E31" s="138"/>
      <c r="F31" s="1845"/>
      <c r="G31" s="1845"/>
      <c r="H31" s="2139"/>
      <c r="I31" s="798" t="s">
        <v>394</v>
      </c>
      <c r="J31" s="822"/>
      <c r="K31" s="813"/>
      <c r="L31" s="813"/>
      <c r="M31" s="813"/>
      <c r="N31" s="813"/>
      <c r="O31" s="813"/>
      <c r="P31" s="813"/>
      <c r="Q31" s="822"/>
      <c r="R31" s="813"/>
      <c r="S31" s="813"/>
      <c r="T31" s="813"/>
      <c r="U31" s="813"/>
      <c r="V31" s="813"/>
      <c r="W31" s="813"/>
      <c r="X31" s="822"/>
      <c r="Y31" s="813"/>
      <c r="Z31" s="813"/>
      <c r="AA31" s="813"/>
      <c r="AB31" s="813"/>
      <c r="AC31" s="813"/>
      <c r="AD31" s="814"/>
    </row>
    <row r="32" spans="1:16384" ht="16.5" thickBot="1">
      <c r="A32" s="2149"/>
      <c r="B32" s="2152"/>
      <c r="C32" s="150" t="s">
        <v>399</v>
      </c>
      <c r="D32" s="148" t="s">
        <v>395</v>
      </c>
      <c r="E32" s="138"/>
      <c r="F32" s="2141"/>
      <c r="G32" s="2141"/>
      <c r="H32" s="2142"/>
      <c r="I32" s="798" t="s">
        <v>395</v>
      </c>
      <c r="J32" s="822"/>
      <c r="K32" s="813"/>
      <c r="L32" s="813"/>
      <c r="M32" s="813"/>
      <c r="N32" s="813"/>
      <c r="O32" s="813"/>
      <c r="P32" s="813"/>
      <c r="Q32" s="822"/>
      <c r="R32" s="813"/>
      <c r="S32" s="813"/>
      <c r="T32" s="813"/>
      <c r="U32" s="813"/>
      <c r="V32" s="813"/>
      <c r="W32" s="813"/>
      <c r="X32" s="822"/>
      <c r="Y32" s="813"/>
      <c r="Z32" s="813"/>
      <c r="AA32" s="813"/>
      <c r="AB32" s="813"/>
      <c r="AC32" s="813"/>
      <c r="AD32" s="814"/>
    </row>
    <row r="33" spans="1:30" ht="16.5" thickBot="1">
      <c r="A33" s="2159" t="s">
        <v>482</v>
      </c>
      <c r="B33" s="2151"/>
      <c r="C33" s="151" t="s">
        <v>365</v>
      </c>
      <c r="D33" s="148" t="s">
        <v>252</v>
      </c>
      <c r="E33" s="138"/>
      <c r="F33" s="1828"/>
      <c r="G33" s="2140"/>
      <c r="H33" s="2137"/>
      <c r="I33" s="798" t="s">
        <v>252</v>
      </c>
      <c r="J33" s="822"/>
      <c r="K33" s="813"/>
      <c r="L33" s="813"/>
      <c r="M33" s="813"/>
      <c r="N33" s="813"/>
      <c r="O33" s="813"/>
      <c r="P33" s="813"/>
      <c r="Q33" s="822"/>
      <c r="R33" s="813"/>
      <c r="S33" s="813"/>
      <c r="T33" s="813"/>
      <c r="U33" s="813"/>
      <c r="V33" s="813"/>
      <c r="W33" s="813"/>
      <c r="X33" s="822"/>
      <c r="Y33" s="813"/>
      <c r="Z33" s="813"/>
      <c r="AA33" s="813"/>
      <c r="AB33" s="813"/>
      <c r="AC33" s="813"/>
      <c r="AD33" s="814"/>
    </row>
    <row r="34" spans="1:30" ht="16.5" thickBot="1">
      <c r="A34" s="2159" t="s">
        <v>484</v>
      </c>
      <c r="B34" s="2151"/>
      <c r="C34" s="151" t="s">
        <v>485</v>
      </c>
      <c r="D34" s="148" t="s">
        <v>264</v>
      </c>
      <c r="E34" s="138"/>
      <c r="F34" s="2160"/>
      <c r="G34" s="2140"/>
      <c r="H34" s="2137"/>
      <c r="I34" s="798" t="s">
        <v>264</v>
      </c>
      <c r="J34" s="822"/>
      <c r="K34" s="813"/>
      <c r="L34" s="813"/>
      <c r="M34" s="813"/>
      <c r="N34" s="813"/>
      <c r="O34" s="813"/>
      <c r="P34" s="813"/>
      <c r="Q34" s="822"/>
      <c r="R34" s="813"/>
      <c r="S34" s="813"/>
      <c r="T34" s="813"/>
      <c r="U34" s="813"/>
      <c r="V34" s="813"/>
      <c r="W34" s="813"/>
      <c r="X34" s="822"/>
      <c r="Y34" s="813"/>
      <c r="Z34" s="813"/>
      <c r="AA34" s="813"/>
      <c r="AB34" s="813"/>
      <c r="AC34" s="813"/>
      <c r="AD34" s="814"/>
    </row>
    <row r="35" spans="1:30" ht="15.75">
      <c r="A35" s="2161" t="s">
        <v>486</v>
      </c>
      <c r="B35" s="2151"/>
      <c r="C35" s="152" t="s">
        <v>43</v>
      </c>
      <c r="D35" s="153" t="s">
        <v>256</v>
      </c>
      <c r="E35" s="138"/>
      <c r="F35" s="2162"/>
      <c r="G35" s="2167"/>
      <c r="H35" s="2168"/>
      <c r="I35" s="799" t="s">
        <v>256</v>
      </c>
      <c r="J35" s="822"/>
      <c r="K35" s="813"/>
      <c r="L35" s="813" t="s">
        <v>554</v>
      </c>
      <c r="M35" s="813">
        <v>1</v>
      </c>
      <c r="N35" s="813"/>
      <c r="O35" s="813">
        <v>80</v>
      </c>
      <c r="P35" s="813">
        <v>41600</v>
      </c>
      <c r="Q35" s="822"/>
      <c r="R35" s="813"/>
      <c r="S35" s="813" t="s">
        <v>554</v>
      </c>
      <c r="T35" s="813">
        <v>1</v>
      </c>
      <c r="U35" s="813"/>
      <c r="V35" s="813">
        <v>80</v>
      </c>
      <c r="W35" s="813">
        <v>41600</v>
      </c>
      <c r="X35" s="822"/>
      <c r="Y35" s="813"/>
      <c r="Z35" s="813" t="s">
        <v>554</v>
      </c>
      <c r="AA35" s="813">
        <v>1</v>
      </c>
      <c r="AB35" s="813"/>
      <c r="AC35" s="813">
        <v>80</v>
      </c>
      <c r="AD35" s="813">
        <v>41600</v>
      </c>
    </row>
    <row r="36" spans="1:30" ht="16.5" thickBot="1">
      <c r="A36" s="2149"/>
      <c r="B36" s="2152"/>
      <c r="C36" s="154" t="s">
        <v>60</v>
      </c>
      <c r="D36" s="153" t="s">
        <v>257</v>
      </c>
      <c r="E36" s="138"/>
      <c r="F36" s="2162"/>
      <c r="G36" s="2167"/>
      <c r="H36" s="2168"/>
      <c r="I36" s="799" t="s">
        <v>257</v>
      </c>
      <c r="J36" s="822"/>
      <c r="K36" s="813"/>
      <c r="L36" s="813" t="s">
        <v>554</v>
      </c>
      <c r="M36" s="813"/>
      <c r="N36" s="813"/>
      <c r="O36" s="813"/>
      <c r="P36" s="813"/>
      <c r="Q36" s="822"/>
      <c r="R36" s="813"/>
      <c r="S36" s="813" t="s">
        <v>554</v>
      </c>
      <c r="T36" s="813"/>
      <c r="U36" s="813"/>
      <c r="V36" s="813"/>
      <c r="W36" s="813"/>
      <c r="X36" s="822"/>
      <c r="Y36" s="813"/>
      <c r="Z36" s="813" t="s">
        <v>554</v>
      </c>
      <c r="AA36" s="813"/>
      <c r="AB36" s="813"/>
      <c r="AC36" s="813"/>
      <c r="AD36" s="813"/>
    </row>
    <row r="37" spans="1:30" ht="30">
      <c r="A37" s="2165" t="s">
        <v>33</v>
      </c>
      <c r="B37" s="2140"/>
      <c r="C37" s="155" t="s">
        <v>30</v>
      </c>
      <c r="D37" s="156" t="s">
        <v>170</v>
      </c>
      <c r="E37" s="138"/>
      <c r="F37" s="1820"/>
      <c r="G37" s="2140"/>
      <c r="H37" s="2137"/>
      <c r="I37" s="800" t="s">
        <v>170</v>
      </c>
      <c r="J37" s="822"/>
      <c r="K37" s="813"/>
      <c r="L37" s="813"/>
      <c r="M37" s="813"/>
      <c r="N37" s="813"/>
      <c r="O37" s="813"/>
      <c r="P37" s="813"/>
      <c r="Q37" s="822"/>
      <c r="R37" s="813"/>
      <c r="S37" s="813"/>
      <c r="T37" s="813"/>
      <c r="U37" s="813"/>
      <c r="V37" s="813"/>
      <c r="W37" s="813"/>
      <c r="X37" s="822"/>
      <c r="Y37" s="813"/>
      <c r="Z37" s="813"/>
      <c r="AA37" s="813"/>
      <c r="AB37" s="813"/>
      <c r="AC37" s="813"/>
      <c r="AD37" s="813"/>
    </row>
    <row r="38" spans="1:30" ht="30">
      <c r="A38" s="2138"/>
      <c r="B38" s="2148"/>
      <c r="C38" s="157" t="s">
        <v>31</v>
      </c>
      <c r="D38" s="156" t="s">
        <v>169</v>
      </c>
      <c r="E38" s="138" t="s">
        <v>554</v>
      </c>
      <c r="F38" s="2166" t="s">
        <v>741</v>
      </c>
      <c r="G38" s="2167"/>
      <c r="H38" s="2168"/>
      <c r="I38" s="800" t="s">
        <v>169</v>
      </c>
      <c r="J38" s="822" t="s">
        <v>554</v>
      </c>
      <c r="K38" s="813" t="s">
        <v>554</v>
      </c>
      <c r="L38" s="813" t="s">
        <v>554</v>
      </c>
      <c r="M38" s="813">
        <v>1</v>
      </c>
      <c r="N38" s="813"/>
      <c r="O38" s="813">
        <v>70</v>
      </c>
      <c r="P38" s="813">
        <v>61950</v>
      </c>
      <c r="Q38" s="822" t="s">
        <v>554</v>
      </c>
      <c r="R38" s="813" t="s">
        <v>554</v>
      </c>
      <c r="S38" s="813" t="s">
        <v>554</v>
      </c>
      <c r="T38" s="813">
        <v>1</v>
      </c>
      <c r="U38" s="813"/>
      <c r="V38" s="813">
        <v>70</v>
      </c>
      <c r="W38" s="813">
        <v>61950</v>
      </c>
      <c r="X38" s="822" t="s">
        <v>554</v>
      </c>
      <c r="Y38" s="813" t="s">
        <v>554</v>
      </c>
      <c r="Z38" s="813" t="s">
        <v>554</v>
      </c>
      <c r="AA38" s="813">
        <v>1</v>
      </c>
      <c r="AB38" s="813"/>
      <c r="AC38" s="813">
        <v>70</v>
      </c>
      <c r="AD38" s="813">
        <v>61950</v>
      </c>
    </row>
    <row r="39" spans="1:30" ht="30.75" thickBot="1">
      <c r="A39" s="2138"/>
      <c r="B39" s="2148"/>
      <c r="C39" s="158" t="s">
        <v>32</v>
      </c>
      <c r="D39" s="156" t="s">
        <v>250</v>
      </c>
      <c r="E39" s="138" t="s">
        <v>554</v>
      </c>
      <c r="F39" s="2166" t="s">
        <v>742</v>
      </c>
      <c r="G39" s="2167"/>
      <c r="H39" s="2168"/>
      <c r="I39" s="800" t="s">
        <v>250</v>
      </c>
      <c r="J39" s="822" t="s">
        <v>554</v>
      </c>
      <c r="K39" s="813" t="s">
        <v>554</v>
      </c>
      <c r="L39" s="813" t="s">
        <v>554</v>
      </c>
      <c r="M39" s="813">
        <v>3</v>
      </c>
      <c r="N39" s="813">
        <v>2</v>
      </c>
      <c r="O39" s="813">
        <v>210</v>
      </c>
      <c r="P39" s="813">
        <v>244650</v>
      </c>
      <c r="Q39" s="822" t="s">
        <v>554</v>
      </c>
      <c r="R39" s="813" t="s">
        <v>554</v>
      </c>
      <c r="S39" s="813" t="s">
        <v>554</v>
      </c>
      <c r="T39" s="813">
        <v>3</v>
      </c>
      <c r="U39" s="813">
        <v>2</v>
      </c>
      <c r="V39" s="813">
        <v>210</v>
      </c>
      <c r="W39" s="813">
        <v>244650</v>
      </c>
      <c r="X39" s="822" t="s">
        <v>554</v>
      </c>
      <c r="Y39" s="813" t="s">
        <v>554</v>
      </c>
      <c r="Z39" s="813" t="s">
        <v>554</v>
      </c>
      <c r="AA39" s="813">
        <v>3</v>
      </c>
      <c r="AB39" s="813">
        <v>2</v>
      </c>
      <c r="AC39" s="813">
        <v>210</v>
      </c>
      <c r="AD39" s="813">
        <v>244650</v>
      </c>
    </row>
    <row r="40" spans="1:30" ht="15.75">
      <c r="A40" s="2169" t="s">
        <v>491</v>
      </c>
      <c r="B40" s="2170"/>
      <c r="C40" s="159" t="s">
        <v>144</v>
      </c>
      <c r="D40" s="160" t="s">
        <v>253</v>
      </c>
      <c r="E40" s="138" t="s">
        <v>554</v>
      </c>
      <c r="F40" s="2162" t="s">
        <v>743</v>
      </c>
      <c r="G40" s="2167"/>
      <c r="H40" s="2168"/>
      <c r="I40" s="801" t="s">
        <v>253</v>
      </c>
      <c r="J40" s="822" t="s">
        <v>554</v>
      </c>
      <c r="K40" s="813" t="s">
        <v>554</v>
      </c>
      <c r="L40" s="813"/>
      <c r="M40" s="813">
        <v>1</v>
      </c>
      <c r="N40" s="813"/>
      <c r="O40" s="813">
        <v>15</v>
      </c>
      <c r="P40" s="813">
        <v>11250</v>
      </c>
      <c r="Q40" s="822" t="s">
        <v>554</v>
      </c>
      <c r="R40" s="813" t="s">
        <v>554</v>
      </c>
      <c r="S40" s="813"/>
      <c r="T40" s="813">
        <v>1</v>
      </c>
      <c r="U40" s="813"/>
      <c r="V40" s="813">
        <v>15</v>
      </c>
      <c r="W40" s="813">
        <v>11250</v>
      </c>
      <c r="X40" s="822" t="s">
        <v>554</v>
      </c>
      <c r="Y40" s="813" t="s">
        <v>554</v>
      </c>
      <c r="Z40" s="813"/>
      <c r="AA40" s="813">
        <v>1</v>
      </c>
      <c r="AB40" s="813"/>
      <c r="AC40" s="813">
        <v>15</v>
      </c>
      <c r="AD40" s="813">
        <v>11250</v>
      </c>
    </row>
    <row r="41" spans="1:30" ht="16.5" thickBot="1">
      <c r="A41" s="2148"/>
      <c r="B41" s="2158"/>
      <c r="C41" s="161" t="s">
        <v>145</v>
      </c>
      <c r="D41" s="160" t="s">
        <v>254</v>
      </c>
      <c r="E41" s="138" t="s">
        <v>554</v>
      </c>
      <c r="F41" s="2162" t="s">
        <v>744</v>
      </c>
      <c r="G41" s="2167"/>
      <c r="H41" s="2168"/>
      <c r="I41" s="801" t="s">
        <v>254</v>
      </c>
      <c r="J41" s="822" t="s">
        <v>554</v>
      </c>
      <c r="K41" s="813" t="s">
        <v>554</v>
      </c>
      <c r="L41" s="813"/>
      <c r="M41" s="813">
        <v>1</v>
      </c>
      <c r="N41" s="813"/>
      <c r="O41" s="813">
        <v>15</v>
      </c>
      <c r="P41" s="813">
        <v>15075</v>
      </c>
      <c r="Q41" s="822" t="s">
        <v>554</v>
      </c>
      <c r="R41" s="813" t="s">
        <v>554</v>
      </c>
      <c r="S41" s="813"/>
      <c r="T41" s="813">
        <v>1</v>
      </c>
      <c r="U41" s="813"/>
      <c r="V41" s="813">
        <v>15</v>
      </c>
      <c r="W41" s="813">
        <v>15075</v>
      </c>
      <c r="X41" s="822" t="s">
        <v>554</v>
      </c>
      <c r="Y41" s="813" t="s">
        <v>554</v>
      </c>
      <c r="Z41" s="813"/>
      <c r="AA41" s="813">
        <v>1</v>
      </c>
      <c r="AB41" s="813"/>
      <c r="AC41" s="813">
        <v>15</v>
      </c>
      <c r="AD41" s="813">
        <v>15075</v>
      </c>
    </row>
    <row r="42" spans="1:30" ht="32.25" thickBot="1">
      <c r="A42" s="2171"/>
      <c r="B42" s="2172"/>
      <c r="C42" s="162" t="s">
        <v>128</v>
      </c>
      <c r="D42" s="160" t="s">
        <v>262</v>
      </c>
      <c r="E42" s="138"/>
      <c r="F42" s="2173"/>
      <c r="G42" s="2097"/>
      <c r="H42" s="2098"/>
      <c r="I42" s="801" t="s">
        <v>262</v>
      </c>
      <c r="J42" s="822"/>
      <c r="K42" s="813"/>
      <c r="L42" s="813"/>
      <c r="M42" s="813"/>
      <c r="N42" s="813"/>
      <c r="O42" s="813"/>
      <c r="P42" s="813"/>
      <c r="Q42" s="822"/>
      <c r="R42" s="813"/>
      <c r="S42" s="813"/>
      <c r="T42" s="813"/>
      <c r="U42" s="813"/>
      <c r="V42" s="813"/>
      <c r="W42" s="813"/>
      <c r="X42" s="822"/>
      <c r="Y42" s="813"/>
      <c r="Z42" s="813"/>
      <c r="AA42" s="813"/>
      <c r="AB42" s="813"/>
      <c r="AC42" s="813"/>
      <c r="AD42" s="813"/>
    </row>
    <row r="43" spans="1:30" ht="15.75" thickBot="1">
      <c r="A43" s="2146" t="s">
        <v>493</v>
      </c>
      <c r="B43" s="2144"/>
      <c r="C43" s="2145"/>
      <c r="D43" s="163" t="s">
        <v>237</v>
      </c>
      <c r="E43" s="138"/>
      <c r="F43" s="1818"/>
      <c r="G43" s="2097"/>
      <c r="H43" s="2098"/>
      <c r="I43" s="802" t="s">
        <v>237</v>
      </c>
      <c r="J43" s="822"/>
      <c r="K43" s="813"/>
      <c r="L43" s="813"/>
      <c r="M43" s="813"/>
      <c r="N43" s="813"/>
      <c r="O43" s="813"/>
      <c r="P43" s="813"/>
      <c r="Q43" s="822"/>
      <c r="R43" s="813"/>
      <c r="S43" s="813"/>
      <c r="T43" s="813"/>
      <c r="U43" s="813"/>
      <c r="V43" s="813"/>
      <c r="W43" s="813"/>
      <c r="X43" s="822"/>
      <c r="Y43" s="813"/>
      <c r="Z43" s="813"/>
      <c r="AA43" s="813"/>
      <c r="AB43" s="813"/>
      <c r="AC43" s="813"/>
      <c r="AD43" s="813"/>
    </row>
    <row r="44" spans="1:30" ht="15.75" thickBot="1">
      <c r="A44" s="2146" t="s">
        <v>133</v>
      </c>
      <c r="B44" s="2144"/>
      <c r="C44" s="2145"/>
      <c r="D44" s="163" t="s">
        <v>238</v>
      </c>
      <c r="E44" s="138" t="s">
        <v>554</v>
      </c>
      <c r="F44" s="1818" t="s">
        <v>745</v>
      </c>
      <c r="G44" s="2097"/>
      <c r="H44" s="2098"/>
      <c r="I44" s="802" t="s">
        <v>238</v>
      </c>
      <c r="J44" s="822" t="s">
        <v>554</v>
      </c>
      <c r="K44" s="813" t="s">
        <v>554</v>
      </c>
      <c r="L44" s="813" t="s">
        <v>554</v>
      </c>
      <c r="M44" s="813">
        <v>1</v>
      </c>
      <c r="N44" s="813"/>
      <c r="O44" s="813">
        <v>5</v>
      </c>
      <c r="P44" s="813">
        <v>8950</v>
      </c>
      <c r="Q44" s="822" t="s">
        <v>554</v>
      </c>
      <c r="R44" s="813" t="s">
        <v>554</v>
      </c>
      <c r="S44" s="813" t="s">
        <v>554</v>
      </c>
      <c r="T44" s="813">
        <v>1</v>
      </c>
      <c r="U44" s="813"/>
      <c r="V44" s="813">
        <v>5</v>
      </c>
      <c r="W44" s="813">
        <v>8950</v>
      </c>
      <c r="X44" s="822" t="s">
        <v>554</v>
      </c>
      <c r="Y44" s="813" t="s">
        <v>554</v>
      </c>
      <c r="Z44" s="813" t="s">
        <v>554</v>
      </c>
      <c r="AA44" s="813">
        <v>1</v>
      </c>
      <c r="AB44" s="813"/>
      <c r="AC44" s="813">
        <v>5</v>
      </c>
      <c r="AD44" s="813">
        <v>8950</v>
      </c>
    </row>
    <row r="45" spans="1:30">
      <c r="A45" s="2147" t="s">
        <v>41</v>
      </c>
      <c r="B45" s="2148"/>
      <c r="C45" s="164" t="s">
        <v>50</v>
      </c>
      <c r="D45" s="165" t="s">
        <v>246</v>
      </c>
      <c r="E45" s="138"/>
      <c r="F45" s="1785" t="s">
        <v>560</v>
      </c>
      <c r="G45" s="2097"/>
      <c r="H45" s="2098"/>
      <c r="I45" s="803" t="s">
        <v>246</v>
      </c>
      <c r="J45" s="822"/>
      <c r="K45" s="813"/>
      <c r="L45" s="813"/>
      <c r="M45" s="813"/>
      <c r="N45" s="813"/>
      <c r="O45" s="813"/>
      <c r="P45" s="813"/>
      <c r="Q45" s="822"/>
      <c r="R45" s="813"/>
      <c r="S45" s="813"/>
      <c r="T45" s="813"/>
      <c r="U45" s="813"/>
      <c r="V45" s="813"/>
      <c r="W45" s="813"/>
      <c r="X45" s="822"/>
      <c r="Y45" s="813"/>
      <c r="Z45" s="813"/>
      <c r="AA45" s="813"/>
      <c r="AB45" s="813"/>
      <c r="AC45" s="813"/>
      <c r="AD45" s="813"/>
    </row>
    <row r="46" spans="1:30">
      <c r="A46" s="2138"/>
      <c r="B46" s="2148"/>
      <c r="C46" s="166" t="s">
        <v>51</v>
      </c>
      <c r="D46" s="165" t="s">
        <v>247</v>
      </c>
      <c r="E46" s="138" t="s">
        <v>554</v>
      </c>
      <c r="F46" s="1785" t="s">
        <v>746</v>
      </c>
      <c r="G46" s="2097"/>
      <c r="H46" s="2098"/>
      <c r="I46" s="803" t="s">
        <v>247</v>
      </c>
      <c r="J46" s="822" t="s">
        <v>554</v>
      </c>
      <c r="K46" s="813" t="s">
        <v>554</v>
      </c>
      <c r="L46" s="813"/>
      <c r="M46" s="813">
        <v>1</v>
      </c>
      <c r="N46" s="813"/>
      <c r="O46" s="813">
        <v>10</v>
      </c>
      <c r="P46" s="813">
        <v>7250</v>
      </c>
      <c r="Q46" s="822" t="s">
        <v>554</v>
      </c>
      <c r="R46" s="813" t="s">
        <v>554</v>
      </c>
      <c r="S46" s="813"/>
      <c r="T46" s="813">
        <v>1</v>
      </c>
      <c r="U46" s="813"/>
      <c r="V46" s="813">
        <v>10</v>
      </c>
      <c r="W46" s="813">
        <v>7250</v>
      </c>
      <c r="X46" s="822" t="s">
        <v>554</v>
      </c>
      <c r="Y46" s="813" t="s">
        <v>554</v>
      </c>
      <c r="Z46" s="813"/>
      <c r="AA46" s="813">
        <v>1</v>
      </c>
      <c r="AB46" s="813"/>
      <c r="AC46" s="813">
        <v>10</v>
      </c>
      <c r="AD46" s="813">
        <v>7250</v>
      </c>
    </row>
    <row r="47" spans="1:30">
      <c r="A47" s="2138"/>
      <c r="B47" s="2148"/>
      <c r="C47" s="166" t="s">
        <v>39</v>
      </c>
      <c r="D47" s="165" t="s">
        <v>248</v>
      </c>
      <c r="E47" s="138" t="s">
        <v>554</v>
      </c>
      <c r="F47" s="1785" t="s">
        <v>747</v>
      </c>
      <c r="G47" s="2097"/>
      <c r="H47" s="2098"/>
      <c r="I47" s="803" t="s">
        <v>248</v>
      </c>
      <c r="J47" s="822" t="s">
        <v>554</v>
      </c>
      <c r="K47" s="813" t="s">
        <v>554</v>
      </c>
      <c r="L47" s="813"/>
      <c r="M47" s="813">
        <v>2</v>
      </c>
      <c r="N47" s="813"/>
      <c r="O47" s="813">
        <v>20</v>
      </c>
      <c r="P47" s="813">
        <v>20000</v>
      </c>
      <c r="Q47" s="822" t="s">
        <v>554</v>
      </c>
      <c r="R47" s="813" t="s">
        <v>554</v>
      </c>
      <c r="S47" s="813"/>
      <c r="T47" s="813">
        <v>2</v>
      </c>
      <c r="U47" s="813"/>
      <c r="V47" s="813">
        <v>20</v>
      </c>
      <c r="W47" s="813">
        <v>20000</v>
      </c>
      <c r="X47" s="822" t="s">
        <v>554</v>
      </c>
      <c r="Y47" s="813" t="s">
        <v>554</v>
      </c>
      <c r="Z47" s="813"/>
      <c r="AA47" s="813">
        <v>2</v>
      </c>
      <c r="AB47" s="813"/>
      <c r="AC47" s="813">
        <v>20</v>
      </c>
      <c r="AD47" s="813">
        <v>20000</v>
      </c>
    </row>
    <row r="48" spans="1:30" ht="15.75" thickBot="1">
      <c r="A48" s="2149"/>
      <c r="B48" s="2141"/>
      <c r="C48" s="167" t="s">
        <v>40</v>
      </c>
      <c r="D48" s="165" t="s">
        <v>249</v>
      </c>
      <c r="E48" s="138"/>
      <c r="F48" s="1785"/>
      <c r="G48" s="2097"/>
      <c r="H48" s="2098"/>
      <c r="I48" s="803" t="s">
        <v>249</v>
      </c>
      <c r="J48" s="822"/>
      <c r="K48" s="813"/>
      <c r="L48" s="813"/>
      <c r="M48" s="813"/>
      <c r="N48" s="813"/>
      <c r="O48" s="813"/>
      <c r="P48" s="813"/>
      <c r="Q48" s="822"/>
      <c r="R48" s="813"/>
      <c r="S48" s="813"/>
      <c r="T48" s="813"/>
      <c r="U48" s="813"/>
      <c r="V48" s="813"/>
      <c r="W48" s="813"/>
      <c r="X48" s="822"/>
      <c r="Y48" s="813"/>
      <c r="Z48" s="813"/>
      <c r="AA48" s="813"/>
      <c r="AB48" s="813"/>
      <c r="AC48" s="813"/>
      <c r="AD48" s="813"/>
    </row>
    <row r="49" spans="1:30" ht="15.75">
      <c r="A49" s="2150" t="s">
        <v>130</v>
      </c>
      <c r="B49" s="2151"/>
      <c r="C49" s="159" t="s">
        <v>131</v>
      </c>
      <c r="D49" s="160" t="s">
        <v>255</v>
      </c>
      <c r="E49" s="138"/>
      <c r="F49" s="2153"/>
      <c r="G49" s="2097"/>
      <c r="H49" s="2098"/>
      <c r="I49" s="801" t="s">
        <v>255</v>
      </c>
      <c r="J49" s="822"/>
      <c r="K49" s="813"/>
      <c r="L49" s="813"/>
      <c r="M49" s="813"/>
      <c r="N49" s="813"/>
      <c r="O49" s="813"/>
      <c r="P49" s="813"/>
      <c r="Q49" s="822"/>
      <c r="R49" s="813"/>
      <c r="S49" s="813"/>
      <c r="T49" s="813"/>
      <c r="U49" s="813"/>
      <c r="V49" s="813"/>
      <c r="W49" s="813"/>
      <c r="X49" s="822"/>
      <c r="Y49" s="813"/>
      <c r="Z49" s="813"/>
      <c r="AA49" s="813"/>
      <c r="AB49" s="813"/>
      <c r="AC49" s="813"/>
      <c r="AD49" s="813"/>
    </row>
    <row r="50" spans="1:30" ht="32.25" thickBot="1">
      <c r="A50" s="2149"/>
      <c r="B50" s="2152"/>
      <c r="C50" s="168" t="s">
        <v>132</v>
      </c>
      <c r="D50" s="160" t="s">
        <v>263</v>
      </c>
      <c r="E50" s="138" t="s">
        <v>554</v>
      </c>
      <c r="F50" s="2153"/>
      <c r="G50" s="2097"/>
      <c r="H50" s="2098"/>
      <c r="I50" s="801" t="s">
        <v>263</v>
      </c>
      <c r="J50" s="822" t="s">
        <v>554</v>
      </c>
      <c r="K50" s="813"/>
      <c r="L50" s="813" t="s">
        <v>554</v>
      </c>
      <c r="M50" s="813">
        <v>1</v>
      </c>
      <c r="N50" s="813"/>
      <c r="O50" s="813">
        <v>5</v>
      </c>
      <c r="P50" s="813">
        <v>5100</v>
      </c>
      <c r="Q50" s="822" t="s">
        <v>554</v>
      </c>
      <c r="R50" s="813"/>
      <c r="S50" s="813" t="s">
        <v>554</v>
      </c>
      <c r="T50" s="813">
        <v>1</v>
      </c>
      <c r="U50" s="813"/>
      <c r="V50" s="813">
        <v>5</v>
      </c>
      <c r="W50" s="813">
        <v>5100</v>
      </c>
      <c r="X50" s="822" t="s">
        <v>554</v>
      </c>
      <c r="Y50" s="813"/>
      <c r="Z50" s="813" t="s">
        <v>554</v>
      </c>
      <c r="AA50" s="813">
        <v>1</v>
      </c>
      <c r="AB50" s="813"/>
      <c r="AC50" s="813">
        <v>5</v>
      </c>
      <c r="AD50" s="813">
        <v>5100</v>
      </c>
    </row>
    <row r="51" spans="1:30">
      <c r="A51" s="2154" t="s">
        <v>42</v>
      </c>
      <c r="B51" s="2140"/>
      <c r="C51" s="169" t="s">
        <v>38</v>
      </c>
      <c r="D51" s="170" t="s">
        <v>239</v>
      </c>
      <c r="E51" s="138" t="s">
        <v>554</v>
      </c>
      <c r="F51" s="1818" t="s">
        <v>748</v>
      </c>
      <c r="G51" s="2097"/>
      <c r="H51" s="2098"/>
      <c r="I51" s="804" t="s">
        <v>239</v>
      </c>
      <c r="J51" s="822" t="s">
        <v>554</v>
      </c>
      <c r="K51" s="813" t="s">
        <v>554</v>
      </c>
      <c r="L51" s="813" t="s">
        <v>554</v>
      </c>
      <c r="M51" s="813">
        <v>13</v>
      </c>
      <c r="N51" s="813">
        <v>5</v>
      </c>
      <c r="O51" s="813" t="s">
        <v>1118</v>
      </c>
      <c r="P51" s="813">
        <v>1040000</v>
      </c>
      <c r="Q51" s="822" t="s">
        <v>554</v>
      </c>
      <c r="R51" s="813" t="s">
        <v>554</v>
      </c>
      <c r="S51" s="813" t="s">
        <v>554</v>
      </c>
      <c r="T51" s="813">
        <v>13</v>
      </c>
      <c r="U51" s="813">
        <v>5</v>
      </c>
      <c r="V51" s="813" t="s">
        <v>1118</v>
      </c>
      <c r="W51" s="813">
        <v>1040000</v>
      </c>
      <c r="X51" s="822" t="s">
        <v>554</v>
      </c>
      <c r="Y51" s="813" t="s">
        <v>554</v>
      </c>
      <c r="Z51" s="813" t="s">
        <v>554</v>
      </c>
      <c r="AA51" s="813">
        <v>13</v>
      </c>
      <c r="AB51" s="813">
        <v>5</v>
      </c>
      <c r="AC51" s="813" t="s">
        <v>1118</v>
      </c>
      <c r="AD51" s="813">
        <v>1040000</v>
      </c>
    </row>
    <row r="52" spans="1:30">
      <c r="A52" s="2148"/>
      <c r="B52" s="2148"/>
      <c r="C52" s="171" t="s">
        <v>55</v>
      </c>
      <c r="D52" s="170" t="s">
        <v>240</v>
      </c>
      <c r="E52" s="138"/>
      <c r="F52" s="2155"/>
      <c r="G52" s="2097"/>
      <c r="H52" s="2098"/>
      <c r="I52" s="804" t="s">
        <v>240</v>
      </c>
      <c r="J52" s="822"/>
      <c r="K52" s="813"/>
      <c r="L52" s="813"/>
      <c r="M52" s="813"/>
      <c r="N52" s="813"/>
      <c r="O52" s="813"/>
      <c r="P52" s="813"/>
      <c r="Q52" s="822"/>
      <c r="R52" s="813"/>
      <c r="S52" s="813"/>
      <c r="T52" s="813"/>
      <c r="U52" s="813"/>
      <c r="V52" s="813"/>
      <c r="W52" s="813"/>
      <c r="X52" s="822"/>
      <c r="Y52" s="813"/>
      <c r="Z52" s="813"/>
      <c r="AA52" s="813"/>
      <c r="AB52" s="813"/>
      <c r="AC52" s="813"/>
      <c r="AD52" s="813"/>
    </row>
    <row r="53" spans="1:30" ht="16.5" thickBot="1">
      <c r="A53" s="2148"/>
      <c r="B53" s="2148"/>
      <c r="C53" s="161" t="s">
        <v>48</v>
      </c>
      <c r="D53" s="172" t="s">
        <v>241</v>
      </c>
      <c r="E53" s="138" t="s">
        <v>554</v>
      </c>
      <c r="F53" s="2156"/>
      <c r="G53" s="2097"/>
      <c r="H53" s="2098"/>
      <c r="I53" s="805" t="s">
        <v>241</v>
      </c>
      <c r="J53" s="822" t="s">
        <v>554</v>
      </c>
      <c r="K53" s="813" t="s">
        <v>554</v>
      </c>
      <c r="L53" s="813"/>
      <c r="M53" s="813">
        <v>3</v>
      </c>
      <c r="N53" s="813"/>
      <c r="O53" s="813" t="s">
        <v>1119</v>
      </c>
      <c r="P53" s="813">
        <v>168000</v>
      </c>
      <c r="Q53" s="822" t="s">
        <v>554</v>
      </c>
      <c r="R53" s="813" t="s">
        <v>554</v>
      </c>
      <c r="S53" s="813"/>
      <c r="T53" s="813">
        <v>3</v>
      </c>
      <c r="U53" s="813"/>
      <c r="V53" s="813" t="s">
        <v>1119</v>
      </c>
      <c r="W53" s="813">
        <v>168000</v>
      </c>
      <c r="X53" s="822" t="s">
        <v>554</v>
      </c>
      <c r="Y53" s="813" t="s">
        <v>554</v>
      </c>
      <c r="Z53" s="813"/>
      <c r="AA53" s="813">
        <v>3</v>
      </c>
      <c r="AB53" s="813"/>
      <c r="AC53" s="813" t="s">
        <v>1119</v>
      </c>
      <c r="AD53" s="813">
        <v>168000</v>
      </c>
    </row>
    <row r="54" spans="1:30" ht="16.5" thickBot="1">
      <c r="A54" s="2135" t="s">
        <v>500</v>
      </c>
      <c r="B54" s="2097"/>
      <c r="C54" s="173" t="s">
        <v>134</v>
      </c>
      <c r="D54" s="174" t="s">
        <v>269</v>
      </c>
      <c r="E54" s="175"/>
      <c r="F54" s="1818"/>
      <c r="G54" s="2097"/>
      <c r="H54" s="2098"/>
      <c r="I54" s="806" t="s">
        <v>269</v>
      </c>
      <c r="J54" s="822"/>
      <c r="K54" s="813"/>
      <c r="L54" s="816"/>
      <c r="M54" s="816"/>
      <c r="N54" s="816"/>
      <c r="O54" s="816"/>
      <c r="P54" s="816"/>
      <c r="Q54" s="815"/>
      <c r="R54" s="821"/>
      <c r="S54" s="821"/>
      <c r="T54" s="816"/>
      <c r="U54" s="816"/>
      <c r="V54" s="816"/>
      <c r="W54" s="816"/>
      <c r="X54" s="815"/>
      <c r="Y54" s="821"/>
      <c r="Z54" s="821"/>
      <c r="AA54" s="816"/>
      <c r="AB54" s="816"/>
      <c r="AC54" s="816"/>
      <c r="AD54" s="817"/>
    </row>
    <row r="55" spans="1:30">
      <c r="I55" s="818" t="s">
        <v>1120</v>
      </c>
      <c r="J55" s="818"/>
      <c r="K55" s="818"/>
      <c r="L55" s="790"/>
      <c r="M55" s="790">
        <v>28</v>
      </c>
      <c r="N55" s="790"/>
      <c r="O55" s="790" t="s">
        <v>1091</v>
      </c>
      <c r="P55" s="790"/>
      <c r="Q55" s="790"/>
      <c r="R55" s="790"/>
      <c r="S55" s="790"/>
      <c r="T55" s="790"/>
      <c r="U55" s="790"/>
      <c r="V55" s="790"/>
      <c r="W55" s="790"/>
      <c r="X55" s="790"/>
      <c r="Y55" s="790"/>
      <c r="Z55" s="790"/>
      <c r="AA55" s="790"/>
      <c r="AB55" s="790"/>
      <c r="AC55" s="790"/>
      <c r="AD55" s="790"/>
    </row>
    <row r="56" spans="1:30">
      <c r="I56" s="818" t="s">
        <v>1121</v>
      </c>
      <c r="J56" s="818"/>
      <c r="K56" s="818"/>
      <c r="L56" s="790"/>
      <c r="M56" s="790">
        <v>28</v>
      </c>
      <c r="N56" s="790"/>
      <c r="O56" s="790"/>
      <c r="P56" s="790">
        <f>SUM(P16:P54)</f>
        <v>1623825</v>
      </c>
      <c r="Q56" s="790"/>
      <c r="R56" s="790"/>
      <c r="S56" s="790"/>
      <c r="T56" s="790"/>
      <c r="U56" s="790"/>
      <c r="V56" s="790"/>
      <c r="W56" s="790"/>
      <c r="X56" s="790"/>
      <c r="Y56" s="790"/>
      <c r="Z56" s="790"/>
      <c r="AA56" s="790"/>
      <c r="AB56" s="790"/>
      <c r="AC56" s="790"/>
      <c r="AD56" s="790"/>
    </row>
    <row r="57" spans="1:30">
      <c r="I57" s="818" t="s">
        <v>1122</v>
      </c>
      <c r="J57" s="818"/>
      <c r="K57" s="818"/>
      <c r="L57" s="790"/>
      <c r="M57" s="790">
        <v>5</v>
      </c>
      <c r="N57" s="790"/>
      <c r="O57" s="790"/>
      <c r="P57" s="790"/>
      <c r="Q57" s="790"/>
      <c r="R57" s="790"/>
      <c r="S57" s="790"/>
      <c r="T57" s="790"/>
      <c r="U57" s="790"/>
      <c r="V57" s="790"/>
      <c r="W57" s="790"/>
      <c r="X57" s="790"/>
      <c r="Y57" s="790"/>
      <c r="Z57" s="790"/>
      <c r="AA57" s="790"/>
      <c r="AB57" s="790"/>
      <c r="AC57" s="790"/>
      <c r="AD57" s="790"/>
    </row>
    <row r="58" spans="1:30">
      <c r="A58" s="611"/>
      <c r="B58" s="611"/>
      <c r="C58" s="611"/>
      <c r="D58" s="611"/>
      <c r="E58" s="611"/>
      <c r="I58" s="819" t="s">
        <v>1123</v>
      </c>
      <c r="J58" s="819"/>
      <c r="K58" s="819"/>
      <c r="L58" s="790"/>
      <c r="M58" s="790">
        <v>23</v>
      </c>
      <c r="N58" s="790"/>
      <c r="O58" s="790"/>
      <c r="P58" s="790"/>
      <c r="Q58" s="790"/>
      <c r="R58" s="790"/>
      <c r="S58" s="790"/>
      <c r="T58" s="790"/>
      <c r="U58" s="790"/>
      <c r="V58" s="790"/>
      <c r="W58" s="790"/>
      <c r="X58" s="790"/>
      <c r="Y58" s="790"/>
      <c r="Z58" s="790"/>
      <c r="AA58" s="790"/>
      <c r="AB58" s="790"/>
      <c r="AC58" s="790"/>
      <c r="AD58" s="790"/>
    </row>
    <row r="59" spans="1:30">
      <c r="A59" s="611"/>
      <c r="B59" s="611"/>
      <c r="C59" s="611"/>
      <c r="D59" s="611"/>
      <c r="E59" s="611"/>
      <c r="I59" s="818" t="s">
        <v>1124</v>
      </c>
      <c r="J59" s="818"/>
      <c r="K59" s="818"/>
      <c r="L59" s="790"/>
      <c r="M59" s="790">
        <v>22</v>
      </c>
      <c r="N59" s="610"/>
      <c r="O59" s="610"/>
      <c r="P59" s="610"/>
      <c r="Q59" s="610"/>
      <c r="R59" s="610"/>
      <c r="S59" s="610"/>
      <c r="T59" s="610"/>
      <c r="U59" s="610"/>
      <c r="V59" s="610"/>
      <c r="W59" s="610"/>
      <c r="X59" s="610"/>
      <c r="Y59" s="610"/>
      <c r="Z59" s="610"/>
      <c r="AA59" s="610"/>
      <c r="AB59" s="610"/>
      <c r="AC59" s="610"/>
      <c r="AD59" s="610"/>
    </row>
    <row r="61" spans="1:30" ht="90">
      <c r="A61" s="828" t="s">
        <v>948</v>
      </c>
      <c r="B61" s="828" t="s">
        <v>949</v>
      </c>
      <c r="C61" s="828" t="s">
        <v>950</v>
      </c>
      <c r="D61" s="833" t="s">
        <v>1092</v>
      </c>
      <c r="E61" s="828" t="s">
        <v>952</v>
      </c>
    </row>
    <row r="62" spans="1:30">
      <c r="A62" s="829" t="s">
        <v>1093</v>
      </c>
      <c r="B62" s="827" t="s">
        <v>887</v>
      </c>
      <c r="C62" s="832">
        <v>2</v>
      </c>
      <c r="D62" s="2195">
        <v>7</v>
      </c>
      <c r="E62" s="830" t="s">
        <v>1095</v>
      </c>
    </row>
    <row r="63" spans="1:30">
      <c r="A63" s="829" t="s">
        <v>956</v>
      </c>
      <c r="B63" s="827" t="s">
        <v>887</v>
      </c>
      <c r="C63" s="832">
        <v>3</v>
      </c>
      <c r="D63" s="2196"/>
      <c r="E63" s="830" t="s">
        <v>1097</v>
      </c>
    </row>
    <row r="64" spans="1:30">
      <c r="A64" s="829" t="s">
        <v>1098</v>
      </c>
      <c r="B64" s="827" t="s">
        <v>887</v>
      </c>
      <c r="C64" s="832"/>
      <c r="D64" s="2197"/>
      <c r="E64" s="830" t="s">
        <v>1099</v>
      </c>
    </row>
    <row r="65" spans="1:5">
      <c r="A65" s="829" t="s">
        <v>1100</v>
      </c>
      <c r="B65" s="827" t="s">
        <v>991</v>
      </c>
      <c r="C65" s="832"/>
      <c r="D65" s="832"/>
      <c r="E65" s="830"/>
    </row>
    <row r="66" spans="1:5">
      <c r="A66" s="829" t="s">
        <v>959</v>
      </c>
      <c r="B66" s="827" t="s">
        <v>1101</v>
      </c>
      <c r="C66" s="832"/>
      <c r="D66" s="832"/>
      <c r="E66" s="830"/>
    </row>
    <row r="67" spans="1:5">
      <c r="A67" s="829" t="s">
        <v>961</v>
      </c>
      <c r="B67" s="827" t="s">
        <v>887</v>
      </c>
      <c r="C67" s="832">
        <v>27</v>
      </c>
      <c r="D67" s="832">
        <v>44</v>
      </c>
      <c r="E67" s="830" t="s">
        <v>1102</v>
      </c>
    </row>
    <row r="68" spans="1:5">
      <c r="A68" s="829" t="s">
        <v>963</v>
      </c>
      <c r="B68" s="827" t="s">
        <v>887</v>
      </c>
      <c r="C68" s="832">
        <v>22</v>
      </c>
      <c r="D68" s="832">
        <v>44</v>
      </c>
      <c r="E68" s="830" t="s">
        <v>1103</v>
      </c>
    </row>
    <row r="69" spans="1:5">
      <c r="A69" s="829" t="s">
        <v>965</v>
      </c>
      <c r="B69" s="827" t="s">
        <v>887</v>
      </c>
      <c r="C69" s="832">
        <v>27</v>
      </c>
      <c r="D69" s="832">
        <v>15</v>
      </c>
      <c r="E69" s="830" t="s">
        <v>1104</v>
      </c>
    </row>
    <row r="70" spans="1:5">
      <c r="A70" s="829" t="s">
        <v>1105</v>
      </c>
      <c r="B70" s="827" t="s">
        <v>887</v>
      </c>
      <c r="C70" s="832"/>
      <c r="D70" s="2195">
        <v>46</v>
      </c>
      <c r="E70" s="830" t="s">
        <v>1099</v>
      </c>
    </row>
    <row r="71" spans="1:5">
      <c r="A71" s="829" t="s">
        <v>1106</v>
      </c>
      <c r="B71" s="827" t="s">
        <v>887</v>
      </c>
      <c r="C71" s="832">
        <v>96</v>
      </c>
      <c r="D71" s="2200"/>
      <c r="E71" s="830" t="s">
        <v>1099</v>
      </c>
    </row>
    <row r="72" spans="1:5">
      <c r="A72" s="829" t="s">
        <v>1107</v>
      </c>
      <c r="B72" s="827" t="s">
        <v>887</v>
      </c>
      <c r="C72" s="832">
        <v>27</v>
      </c>
      <c r="D72" s="2197"/>
      <c r="E72" s="830" t="s">
        <v>1108</v>
      </c>
    </row>
    <row r="73" spans="1:5">
      <c r="A73" s="829" t="s">
        <v>969</v>
      </c>
      <c r="B73" s="827" t="s">
        <v>887</v>
      </c>
      <c r="C73" s="832"/>
      <c r="D73" s="2195">
        <v>13</v>
      </c>
      <c r="E73" s="830" t="s">
        <v>1099</v>
      </c>
    </row>
    <row r="74" spans="1:5">
      <c r="A74" s="829" t="s">
        <v>1109</v>
      </c>
      <c r="B74" s="827" t="s">
        <v>887</v>
      </c>
      <c r="C74" s="832">
        <v>40</v>
      </c>
      <c r="D74" s="2196"/>
      <c r="E74" s="830" t="s">
        <v>1110</v>
      </c>
    </row>
    <row r="75" spans="1:5">
      <c r="A75" s="829" t="s">
        <v>1111</v>
      </c>
      <c r="B75" s="827" t="s">
        <v>887</v>
      </c>
      <c r="C75" s="832"/>
      <c r="D75" s="2197"/>
      <c r="E75" s="830" t="s">
        <v>1099</v>
      </c>
    </row>
    <row r="76" spans="1:5">
      <c r="A76" s="834" t="s">
        <v>1112</v>
      </c>
      <c r="B76" s="835" t="s">
        <v>887</v>
      </c>
      <c r="C76" s="832"/>
      <c r="D76" s="832">
        <v>5</v>
      </c>
      <c r="E76" s="830"/>
    </row>
    <row r="77" spans="1:5">
      <c r="A77" s="829" t="s">
        <v>986</v>
      </c>
      <c r="B77" s="827"/>
      <c r="C77" s="832"/>
      <c r="D77" s="832"/>
      <c r="E77" s="830"/>
    </row>
    <row r="78" spans="1:5">
      <c r="A78" s="829"/>
      <c r="B78" s="827"/>
      <c r="C78" s="832"/>
      <c r="D78" s="832"/>
      <c r="E78" s="830"/>
    </row>
    <row r="79" spans="1:5">
      <c r="A79" s="829"/>
      <c r="B79" s="827"/>
      <c r="C79" s="832"/>
      <c r="D79" s="832"/>
      <c r="E79" s="830"/>
    </row>
    <row r="80" spans="1:5">
      <c r="A80" s="831" t="s">
        <v>1113</v>
      </c>
      <c r="B80" s="826"/>
      <c r="C80" s="826"/>
      <c r="D80" s="836"/>
      <c r="E80" s="826"/>
    </row>
    <row r="81" spans="1:7">
      <c r="D81" s="46">
        <f>SUM(D62:D79)</f>
        <v>174</v>
      </c>
    </row>
    <row r="84" spans="1:7">
      <c r="A84" s="2198" t="s">
        <v>1270</v>
      </c>
      <c r="B84" s="2199"/>
      <c r="C84" s="2199"/>
      <c r="D84" s="2199"/>
      <c r="E84" s="2199"/>
      <c r="F84" s="2199"/>
      <c r="G84" s="1433"/>
    </row>
    <row r="85" spans="1:7" ht="90">
      <c r="A85" s="1435" t="s">
        <v>1271</v>
      </c>
      <c r="B85" s="1435" t="s">
        <v>1272</v>
      </c>
      <c r="C85" s="1435" t="s">
        <v>1273</v>
      </c>
      <c r="D85" s="1435" t="s">
        <v>1274</v>
      </c>
      <c r="E85" s="1435" t="s">
        <v>1275</v>
      </c>
      <c r="F85" s="1435" t="s">
        <v>1276</v>
      </c>
      <c r="G85" s="1437" t="s">
        <v>1472</v>
      </c>
    </row>
    <row r="86" spans="1:7" ht="180">
      <c r="A86" s="1436" t="s">
        <v>1473</v>
      </c>
      <c r="B86" s="1434" t="s">
        <v>1474</v>
      </c>
      <c r="C86" s="1434" t="s">
        <v>1475</v>
      </c>
      <c r="D86" s="1434" t="s">
        <v>991</v>
      </c>
      <c r="E86" s="1434" t="s">
        <v>1476</v>
      </c>
      <c r="F86" s="1434"/>
      <c r="G86" s="1436" t="s">
        <v>1477</v>
      </c>
    </row>
    <row r="87" spans="1:7" ht="60">
      <c r="A87" s="1438" t="s">
        <v>1478</v>
      </c>
      <c r="B87" s="1434" t="s">
        <v>1474</v>
      </c>
      <c r="C87" s="1434" t="s">
        <v>1475</v>
      </c>
      <c r="D87" s="1434" t="s">
        <v>991</v>
      </c>
      <c r="E87" s="1434" t="s">
        <v>1479</v>
      </c>
      <c r="F87" s="1434"/>
      <c r="G87" s="1436" t="s">
        <v>1480</v>
      </c>
    </row>
    <row r="88" spans="1:7" ht="60">
      <c r="A88" s="1438" t="s">
        <v>1481</v>
      </c>
      <c r="B88" s="1434" t="s">
        <v>1474</v>
      </c>
      <c r="C88" s="1434" t="s">
        <v>1475</v>
      </c>
      <c r="D88" s="1434" t="s">
        <v>991</v>
      </c>
      <c r="E88" s="1434" t="s">
        <v>1482</v>
      </c>
      <c r="F88" s="1434"/>
      <c r="G88" s="1436" t="s">
        <v>1483</v>
      </c>
    </row>
    <row r="89" spans="1:7" ht="45">
      <c r="A89" s="1438" t="s">
        <v>1484</v>
      </c>
      <c r="B89" s="1434" t="s">
        <v>1474</v>
      </c>
      <c r="C89" s="1434" t="s">
        <v>1475</v>
      </c>
      <c r="D89" s="1434" t="s">
        <v>991</v>
      </c>
      <c r="E89" s="1434" t="s">
        <v>239</v>
      </c>
      <c r="F89" s="1434"/>
      <c r="G89" s="1436" t="s">
        <v>1485</v>
      </c>
    </row>
    <row r="90" spans="1:7" ht="30">
      <c r="A90" s="1438" t="s">
        <v>1486</v>
      </c>
      <c r="B90" s="1434" t="s">
        <v>1474</v>
      </c>
      <c r="C90" s="1434" t="s">
        <v>1475</v>
      </c>
      <c r="D90" s="1434" t="s">
        <v>991</v>
      </c>
      <c r="E90" s="1434" t="s">
        <v>1487</v>
      </c>
      <c r="F90" s="1434"/>
      <c r="G90" s="1436" t="s">
        <v>1488</v>
      </c>
    </row>
    <row r="91" spans="1:7" ht="45">
      <c r="A91" s="1438" t="s">
        <v>1489</v>
      </c>
      <c r="B91" s="1434" t="s">
        <v>1490</v>
      </c>
      <c r="C91" s="1434" t="s">
        <v>1475</v>
      </c>
      <c r="D91" s="1434" t="s">
        <v>991</v>
      </c>
      <c r="E91" s="1434" t="s">
        <v>1280</v>
      </c>
      <c r="F91" s="1434"/>
      <c r="G91" s="1436" t="s">
        <v>1491</v>
      </c>
    </row>
    <row r="92" spans="1:7" ht="45">
      <c r="A92" s="1438" t="s">
        <v>1492</v>
      </c>
      <c r="B92" s="1434" t="s">
        <v>1474</v>
      </c>
      <c r="C92" s="1434" t="s">
        <v>1475</v>
      </c>
      <c r="D92" s="1434" t="s">
        <v>991</v>
      </c>
      <c r="E92" s="1434" t="s">
        <v>1493</v>
      </c>
      <c r="F92" s="1434"/>
      <c r="G92" s="1436" t="s">
        <v>1494</v>
      </c>
    </row>
  </sheetData>
  <mergeCells count="65">
    <mergeCell ref="A84:F84"/>
    <mergeCell ref="D73:D75"/>
    <mergeCell ref="D70:D72"/>
    <mergeCell ref="L13:P13"/>
    <mergeCell ref="Q13:W13"/>
    <mergeCell ref="F26:H26"/>
    <mergeCell ref="A27:B29"/>
    <mergeCell ref="F27:H29"/>
    <mergeCell ref="A30:B32"/>
    <mergeCell ref="F30:H32"/>
    <mergeCell ref="A33:B33"/>
    <mergeCell ref="F33:H33"/>
    <mergeCell ref="A34:B34"/>
    <mergeCell ref="F34:H34"/>
    <mergeCell ref="A35:B36"/>
    <mergeCell ref="F35:H35"/>
    <mergeCell ref="X13:AD13"/>
    <mergeCell ref="D62:D64"/>
    <mergeCell ref="E12:H13"/>
    <mergeCell ref="J10:J11"/>
    <mergeCell ref="A10:B10"/>
    <mergeCell ref="A14:B14"/>
    <mergeCell ref="F14:H14"/>
    <mergeCell ref="A15:B17"/>
    <mergeCell ref="F15:H17"/>
    <mergeCell ref="A18:B20"/>
    <mergeCell ref="F18:H20"/>
    <mergeCell ref="A21:B22"/>
    <mergeCell ref="F21:H22"/>
    <mergeCell ref="A23:B25"/>
    <mergeCell ref="F23:H25"/>
    <mergeCell ref="A26:C26"/>
    <mergeCell ref="B2:D2"/>
    <mergeCell ref="B3:D3"/>
    <mergeCell ref="B4:D4"/>
    <mergeCell ref="B6:D6"/>
    <mergeCell ref="C10:H10"/>
    <mergeCell ref="B8:D8"/>
    <mergeCell ref="F36:H36"/>
    <mergeCell ref="A37:B39"/>
    <mergeCell ref="F37:H37"/>
    <mergeCell ref="F38:H38"/>
    <mergeCell ref="F39:H39"/>
    <mergeCell ref="A40:B42"/>
    <mergeCell ref="F40:H40"/>
    <mergeCell ref="F41:H41"/>
    <mergeCell ref="F42:H42"/>
    <mergeCell ref="A43:C43"/>
    <mergeCell ref="F43:H43"/>
    <mergeCell ref="A44:C44"/>
    <mergeCell ref="F44:H44"/>
    <mergeCell ref="A45:B48"/>
    <mergeCell ref="F45:H45"/>
    <mergeCell ref="F46:H46"/>
    <mergeCell ref="F47:H47"/>
    <mergeCell ref="F48:H48"/>
    <mergeCell ref="A54:B54"/>
    <mergeCell ref="F54:H54"/>
    <mergeCell ref="A49:B50"/>
    <mergeCell ref="F49:H49"/>
    <mergeCell ref="F50:H50"/>
    <mergeCell ref="A51:B53"/>
    <mergeCell ref="F51:H51"/>
    <mergeCell ref="F52:H52"/>
    <mergeCell ref="F53:H53"/>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3" location="SOMMAIRE!A1" display="Retour sommaire"/>
    <hyperlink ref="J5" location="SYNTHESE!A1" display="Retour synthèse"/>
  </hyperlinks>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H66"/>
  <sheetViews>
    <sheetView topLeftCell="A40" workbookViewId="0">
      <selection activeCell="I13" sqref="I13"/>
    </sheetView>
  </sheetViews>
  <sheetFormatPr baseColWidth="10" defaultRowHeight="15"/>
  <cols>
    <col min="1" max="1" width="18.28515625" customWidth="1"/>
    <col min="3" max="3" width="35.42578125" customWidth="1"/>
    <col min="7" max="7" width="15.42578125" customWidth="1"/>
    <col min="8" max="8" width="28.140625" customWidth="1"/>
  </cols>
  <sheetData>
    <row r="1" spans="1:8" ht="15.75" thickBot="1">
      <c r="A1" s="1539"/>
      <c r="B1" s="1539"/>
      <c r="C1" s="1539"/>
      <c r="D1" s="1539"/>
      <c r="E1" s="1539"/>
      <c r="F1" s="1539"/>
      <c r="G1" s="1539"/>
      <c r="H1" s="1539"/>
    </row>
    <row r="2" spans="1:8" ht="15.75" thickBot="1">
      <c r="A2" s="1540" t="s">
        <v>0</v>
      </c>
      <c r="B2" s="2210" t="s">
        <v>734</v>
      </c>
      <c r="C2" s="2211"/>
      <c r="D2" s="2212"/>
      <c r="E2" s="1541"/>
      <c r="F2" s="1541"/>
      <c r="G2" s="1542" t="s">
        <v>462</v>
      </c>
      <c r="H2" s="1602" t="s">
        <v>14</v>
      </c>
    </row>
    <row r="3" spans="1:8" ht="15.75" thickBot="1">
      <c r="A3" s="1543" t="s">
        <v>344</v>
      </c>
      <c r="B3" s="2210" t="s">
        <v>734</v>
      </c>
      <c r="C3" s="2213"/>
      <c r="D3" s="2214"/>
      <c r="E3" s="1541"/>
      <c r="F3" s="1541"/>
      <c r="G3" s="1544" t="s">
        <v>10</v>
      </c>
      <c r="H3" s="1602" t="s">
        <v>16</v>
      </c>
    </row>
    <row r="4" spans="1:8" ht="15.75" customHeight="1" thickBot="1">
      <c r="A4" s="1544" t="s">
        <v>3</v>
      </c>
      <c r="B4" s="2215" t="s">
        <v>1561</v>
      </c>
      <c r="C4" s="2211"/>
      <c r="D4" s="2212"/>
      <c r="E4" s="1545"/>
      <c r="F4" s="1541"/>
      <c r="G4" s="1546" t="s">
        <v>26</v>
      </c>
      <c r="H4" s="1603">
        <v>7</v>
      </c>
    </row>
    <row r="5" spans="1:8" ht="15.75" thickBot="1">
      <c r="A5" s="1541"/>
      <c r="B5" s="1541"/>
      <c r="C5" s="1541"/>
      <c r="D5" s="1541"/>
      <c r="E5" s="1541"/>
      <c r="F5" s="1541"/>
      <c r="G5" s="1541"/>
      <c r="H5" s="1541"/>
    </row>
    <row r="6" spans="1:8" ht="225.75" customHeight="1" thickBot="1">
      <c r="A6" s="1540" t="s">
        <v>465</v>
      </c>
      <c r="B6" s="2215" t="s">
        <v>1660</v>
      </c>
      <c r="C6" s="2216"/>
      <c r="D6" s="2217"/>
      <c r="E6" s="1541"/>
      <c r="F6" s="1541"/>
      <c r="G6" s="1547" t="s">
        <v>466</v>
      </c>
      <c r="H6" s="1604" t="s">
        <v>736</v>
      </c>
    </row>
    <row r="7" spans="1:8" ht="15.75" thickBot="1">
      <c r="A7" s="1539"/>
      <c r="B7" s="1541"/>
      <c r="C7" s="1541"/>
      <c r="D7" s="1541"/>
      <c r="E7" s="1541"/>
      <c r="F7" s="1541"/>
      <c r="G7" s="1548"/>
      <c r="H7" s="1541"/>
    </row>
    <row r="8" spans="1:8" ht="30.75" thickBot="1">
      <c r="A8" s="1549" t="s">
        <v>7</v>
      </c>
      <c r="B8" s="2215" t="s">
        <v>750</v>
      </c>
      <c r="C8" s="2211"/>
      <c r="D8" s="2212"/>
      <c r="E8" s="1545"/>
      <c r="F8" s="1550"/>
      <c r="G8" s="1549" t="s">
        <v>469</v>
      </c>
      <c r="H8" s="1601" t="s">
        <v>551</v>
      </c>
    </row>
    <row r="9" spans="1:8" ht="15.75" thickBot="1">
      <c r="A9" s="1539"/>
      <c r="B9" s="1541"/>
      <c r="C9" s="1541"/>
      <c r="D9" s="1541"/>
      <c r="E9" s="1541"/>
      <c r="F9" s="1541"/>
      <c r="G9" s="1548"/>
      <c r="H9" s="1541"/>
    </row>
    <row r="10" spans="1:8" ht="194.25" customHeight="1" thickBot="1">
      <c r="A10" s="2218" t="s">
        <v>471</v>
      </c>
      <c r="B10" s="2203"/>
      <c r="C10" s="2223" t="s">
        <v>1661</v>
      </c>
      <c r="D10" s="2224"/>
      <c r="E10" s="1545"/>
      <c r="F10" s="1550"/>
      <c r="G10" s="1605" t="s">
        <v>1562</v>
      </c>
      <c r="H10" s="1539"/>
    </row>
    <row r="11" spans="1:8">
      <c r="A11" s="1552"/>
      <c r="B11" s="1545"/>
      <c r="C11" s="1545"/>
      <c r="D11" s="1545"/>
      <c r="E11" s="1545"/>
      <c r="F11" s="1550"/>
      <c r="G11" s="1551"/>
      <c r="H11" s="1551"/>
    </row>
    <row r="12" spans="1:8" ht="15" customHeight="1">
      <c r="A12" s="1552"/>
      <c r="B12" s="1545"/>
      <c r="C12" s="1545"/>
      <c r="D12" s="1545"/>
      <c r="E12" s="2219" t="s">
        <v>473</v>
      </c>
      <c r="F12" s="2203"/>
      <c r="G12" s="2203"/>
      <c r="H12" s="2203"/>
    </row>
    <row r="13" spans="1:8">
      <c r="A13" s="1541"/>
      <c r="B13" s="1541"/>
      <c r="C13" s="1541"/>
      <c r="D13" s="1541"/>
      <c r="E13" s="2208"/>
      <c r="F13" s="2208"/>
      <c r="G13" s="2208"/>
      <c r="H13" s="2208"/>
    </row>
    <row r="14" spans="1:8" ht="15.75" thickBot="1">
      <c r="A14" s="2220" t="s">
        <v>5</v>
      </c>
      <c r="B14" s="2205"/>
      <c r="C14" s="1553" t="s">
        <v>1</v>
      </c>
      <c r="D14" s="1553" t="s">
        <v>260</v>
      </c>
      <c r="E14" s="1554" t="s">
        <v>474</v>
      </c>
      <c r="F14" s="2221" t="s">
        <v>6</v>
      </c>
      <c r="G14" s="2199"/>
      <c r="H14" s="2222"/>
    </row>
    <row r="15" spans="1:8" ht="15" customHeight="1">
      <c r="A15" s="2201" t="s">
        <v>17</v>
      </c>
      <c r="B15" s="2202"/>
      <c r="C15" s="1555" t="s">
        <v>59</v>
      </c>
      <c r="D15" s="1556" t="s">
        <v>251</v>
      </c>
      <c r="E15" s="1557"/>
      <c r="F15" s="2204"/>
      <c r="G15" s="2202"/>
      <c r="H15" s="2205"/>
    </row>
    <row r="16" spans="1:8">
      <c r="A16" s="2203"/>
      <c r="B16" s="2203"/>
      <c r="C16" s="1558" t="s">
        <v>18</v>
      </c>
      <c r="D16" s="1559" t="s">
        <v>168</v>
      </c>
      <c r="E16" s="1560"/>
      <c r="F16" s="2206"/>
      <c r="G16" s="2206"/>
      <c r="H16" s="2207"/>
    </row>
    <row r="17" spans="1:8" ht="15.75" thickBot="1">
      <c r="A17" s="2208"/>
      <c r="B17" s="2208"/>
      <c r="C17" s="1561" t="s">
        <v>19</v>
      </c>
      <c r="D17" s="1562" t="s">
        <v>233</v>
      </c>
      <c r="E17" s="1563"/>
      <c r="F17" s="2208"/>
      <c r="G17" s="2208"/>
      <c r="H17" s="2209"/>
    </row>
    <row r="18" spans="1:8" ht="15" customHeight="1">
      <c r="A18" s="2201" t="s">
        <v>20</v>
      </c>
      <c r="B18" s="2202"/>
      <c r="C18" s="1555" t="s">
        <v>54</v>
      </c>
      <c r="D18" s="1562" t="s">
        <v>261</v>
      </c>
      <c r="E18" s="1563"/>
      <c r="F18" s="2204"/>
      <c r="G18" s="2202"/>
      <c r="H18" s="2205"/>
    </row>
    <row r="19" spans="1:8">
      <c r="A19" s="2203"/>
      <c r="B19" s="2203"/>
      <c r="C19" s="1564" t="s">
        <v>21</v>
      </c>
      <c r="D19" s="1562" t="s">
        <v>234</v>
      </c>
      <c r="E19" s="1563"/>
      <c r="F19" s="2206"/>
      <c r="G19" s="2206"/>
      <c r="H19" s="2207"/>
    </row>
    <row r="20" spans="1:8" ht="15.75" thickBot="1">
      <c r="A20" s="2203"/>
      <c r="B20" s="2203"/>
      <c r="C20" s="1561" t="s">
        <v>22</v>
      </c>
      <c r="D20" s="1562" t="s">
        <v>235</v>
      </c>
      <c r="E20" s="1563"/>
      <c r="F20" s="2208"/>
      <c r="G20" s="2208"/>
      <c r="H20" s="2209"/>
    </row>
    <row r="21" spans="1:8" ht="60" customHeight="1">
      <c r="A21" s="2201" t="s">
        <v>23</v>
      </c>
      <c r="B21" s="2202"/>
      <c r="C21" s="1565" t="s">
        <v>69</v>
      </c>
      <c r="D21" s="1562" t="s">
        <v>267</v>
      </c>
      <c r="E21" s="1563"/>
      <c r="F21" s="2204"/>
      <c r="G21" s="2202"/>
      <c r="H21" s="2205"/>
    </row>
    <row r="22" spans="1:8" ht="30.75" thickBot="1">
      <c r="A22" s="2208"/>
      <c r="B22" s="2208"/>
      <c r="C22" s="1566" t="s">
        <v>24</v>
      </c>
      <c r="D22" s="1567" t="s">
        <v>236</v>
      </c>
      <c r="E22" s="1563"/>
      <c r="F22" s="2208"/>
      <c r="G22" s="2208"/>
      <c r="H22" s="2209"/>
    </row>
    <row r="23" spans="1:8" ht="15.75" customHeight="1">
      <c r="A23" s="2248" t="s">
        <v>478</v>
      </c>
      <c r="B23" s="2205"/>
      <c r="C23" s="1568" t="s">
        <v>360</v>
      </c>
      <c r="D23" s="1567" t="s">
        <v>265</v>
      </c>
      <c r="E23" s="1563"/>
      <c r="F23" s="2204"/>
      <c r="G23" s="2202"/>
      <c r="H23" s="2205"/>
    </row>
    <row r="24" spans="1:8" ht="15.75">
      <c r="A24" s="2227"/>
      <c r="B24" s="2207"/>
      <c r="C24" s="1569" t="s">
        <v>361</v>
      </c>
      <c r="D24" s="1567" t="s">
        <v>362</v>
      </c>
      <c r="E24" s="1563"/>
      <c r="F24" s="2206"/>
      <c r="G24" s="2206"/>
      <c r="H24" s="2207"/>
    </row>
    <row r="25" spans="1:8" ht="16.5" thickBot="1">
      <c r="A25" s="2227"/>
      <c r="B25" s="2207"/>
      <c r="C25" s="1570" t="s">
        <v>479</v>
      </c>
      <c r="D25" s="1567" t="s">
        <v>480</v>
      </c>
      <c r="E25" s="1563"/>
      <c r="F25" s="2208"/>
      <c r="G25" s="2208"/>
      <c r="H25" s="2209"/>
    </row>
    <row r="26" spans="1:8" ht="15.75" customHeight="1" thickBot="1">
      <c r="A26" s="2249" t="s">
        <v>25</v>
      </c>
      <c r="B26" s="2211"/>
      <c r="C26" s="2212"/>
      <c r="D26" s="1571" t="s">
        <v>270</v>
      </c>
      <c r="E26" s="1563"/>
      <c r="F26" s="2247"/>
      <c r="G26" s="2199"/>
      <c r="H26" s="2222"/>
    </row>
    <row r="27" spans="1:8" ht="15.75" customHeight="1">
      <c r="A27" s="2225" t="s">
        <v>153</v>
      </c>
      <c r="B27" s="2226"/>
      <c r="C27" s="1572" t="s">
        <v>152</v>
      </c>
      <c r="D27" s="1573" t="s">
        <v>268</v>
      </c>
      <c r="E27" s="1563"/>
      <c r="F27" s="2204"/>
      <c r="G27" s="2202"/>
      <c r="H27" s="2205"/>
    </row>
    <row r="28" spans="1:8" ht="15.75">
      <c r="A28" s="2227"/>
      <c r="B28" s="2226"/>
      <c r="C28" s="1574" t="s">
        <v>154</v>
      </c>
      <c r="D28" s="1573" t="s">
        <v>392</v>
      </c>
      <c r="E28" s="1563"/>
      <c r="F28" s="2206"/>
      <c r="G28" s="2206"/>
      <c r="H28" s="2207"/>
    </row>
    <row r="29" spans="1:8" ht="16.5" thickBot="1">
      <c r="A29" s="2228"/>
      <c r="B29" s="2229"/>
      <c r="C29" s="1575" t="s">
        <v>400</v>
      </c>
      <c r="D29" s="1573" t="s">
        <v>393</v>
      </c>
      <c r="E29" s="1563"/>
      <c r="F29" s="2208"/>
      <c r="G29" s="2208"/>
      <c r="H29" s="2209"/>
    </row>
    <row r="30" spans="1:8" ht="15.75" customHeight="1">
      <c r="A30" s="2230" t="s">
        <v>153</v>
      </c>
      <c r="B30" s="2231"/>
      <c r="C30" s="1576" t="s">
        <v>155</v>
      </c>
      <c r="D30" s="1573" t="s">
        <v>266</v>
      </c>
      <c r="E30" s="1563"/>
      <c r="F30" s="2204"/>
      <c r="G30" s="2202"/>
      <c r="H30" s="2205"/>
    </row>
    <row r="31" spans="1:8" ht="15.75">
      <c r="A31" s="2227"/>
      <c r="B31" s="2226"/>
      <c r="C31" s="1574" t="s">
        <v>156</v>
      </c>
      <c r="D31" s="1573" t="s">
        <v>394</v>
      </c>
      <c r="E31" s="1563"/>
      <c r="F31" s="2206"/>
      <c r="G31" s="2206"/>
      <c r="H31" s="2207"/>
    </row>
    <row r="32" spans="1:8" ht="16.5" thickBot="1">
      <c r="A32" s="2228"/>
      <c r="B32" s="2229"/>
      <c r="C32" s="1575" t="s">
        <v>399</v>
      </c>
      <c r="D32" s="1573" t="s">
        <v>395</v>
      </c>
      <c r="E32" s="1563"/>
      <c r="F32" s="2208"/>
      <c r="G32" s="2208"/>
      <c r="H32" s="2209"/>
    </row>
    <row r="33" spans="1:8" ht="16.5" customHeight="1" thickBot="1">
      <c r="A33" s="2230" t="s">
        <v>482</v>
      </c>
      <c r="B33" s="2231"/>
      <c r="C33" s="1576" t="s">
        <v>365</v>
      </c>
      <c r="D33" s="1573" t="s">
        <v>252</v>
      </c>
      <c r="E33" s="1563"/>
      <c r="F33" s="2204"/>
      <c r="G33" s="2202"/>
      <c r="H33" s="2205"/>
    </row>
    <row r="34" spans="1:8" ht="16.5" customHeight="1" thickBot="1">
      <c r="A34" s="2230" t="s">
        <v>484</v>
      </c>
      <c r="B34" s="2231"/>
      <c r="C34" s="1576" t="s">
        <v>485</v>
      </c>
      <c r="D34" s="1573" t="s">
        <v>264</v>
      </c>
      <c r="E34" s="1563"/>
      <c r="F34" s="2233"/>
      <c r="G34" s="2202"/>
      <c r="H34" s="2205"/>
    </row>
    <row r="35" spans="1:8" ht="15.75">
      <c r="A35" s="2234" t="s">
        <v>486</v>
      </c>
      <c r="B35" s="2231"/>
      <c r="C35" s="1577" t="s">
        <v>43</v>
      </c>
      <c r="D35" s="1578" t="s">
        <v>256</v>
      </c>
      <c r="E35" s="1563" t="s">
        <v>554</v>
      </c>
      <c r="F35" s="2240" t="s">
        <v>740</v>
      </c>
      <c r="G35" s="2241"/>
      <c r="H35" s="2242"/>
    </row>
    <row r="36" spans="1:8" ht="16.5" thickBot="1">
      <c r="A36" s="2228"/>
      <c r="B36" s="2229"/>
      <c r="C36" s="1579" t="s">
        <v>60</v>
      </c>
      <c r="D36" s="1578" t="s">
        <v>257</v>
      </c>
      <c r="E36" s="1563" t="s">
        <v>554</v>
      </c>
      <c r="F36" s="2240" t="s">
        <v>740</v>
      </c>
      <c r="G36" s="2241"/>
      <c r="H36" s="2242"/>
    </row>
    <row r="37" spans="1:8" ht="45">
      <c r="A37" s="2235" t="s">
        <v>33</v>
      </c>
      <c r="B37" s="2202"/>
      <c r="C37" s="1580" t="s">
        <v>30</v>
      </c>
      <c r="D37" s="1581" t="s">
        <v>170</v>
      </c>
      <c r="E37" s="1563"/>
      <c r="F37" s="2236"/>
      <c r="G37" s="2202"/>
      <c r="H37" s="2205"/>
    </row>
    <row r="38" spans="1:8" ht="45">
      <c r="A38" s="2227"/>
      <c r="B38" s="2203"/>
      <c r="C38" s="1582" t="s">
        <v>31</v>
      </c>
      <c r="D38" s="1581" t="s">
        <v>169</v>
      </c>
      <c r="E38" s="1563" t="s">
        <v>554</v>
      </c>
      <c r="F38" s="2237" t="s">
        <v>741</v>
      </c>
      <c r="G38" s="2238"/>
      <c r="H38" s="2239"/>
    </row>
    <row r="39" spans="1:8" ht="45.75" thickBot="1">
      <c r="A39" s="2227"/>
      <c r="B39" s="2203"/>
      <c r="C39" s="1583" t="s">
        <v>32</v>
      </c>
      <c r="D39" s="1581" t="s">
        <v>250</v>
      </c>
      <c r="E39" s="1563" t="s">
        <v>554</v>
      </c>
      <c r="F39" s="2237" t="s">
        <v>742</v>
      </c>
      <c r="G39" s="2238"/>
      <c r="H39" s="2239"/>
    </row>
    <row r="40" spans="1:8" ht="15.75" customHeight="1">
      <c r="A40" s="2255" t="s">
        <v>491</v>
      </c>
      <c r="B40" s="2256"/>
      <c r="C40" s="1584" t="s">
        <v>144</v>
      </c>
      <c r="D40" s="1585" t="s">
        <v>253</v>
      </c>
      <c r="E40" s="1563"/>
      <c r="F40" s="2204"/>
      <c r="G40" s="2202"/>
      <c r="H40" s="2205"/>
    </row>
    <row r="41" spans="1:8" ht="16.5" customHeight="1" thickBot="1">
      <c r="A41" s="2203"/>
      <c r="B41" s="2226"/>
      <c r="C41" s="1586" t="s">
        <v>145</v>
      </c>
      <c r="D41" s="1585" t="s">
        <v>254</v>
      </c>
      <c r="E41" s="1563"/>
      <c r="F41" s="2208"/>
      <c r="G41" s="2208"/>
      <c r="H41" s="2209"/>
    </row>
    <row r="42" spans="1:8" ht="48" thickBot="1">
      <c r="A42" s="2257"/>
      <c r="B42" s="2258"/>
      <c r="C42" s="1587" t="s">
        <v>128</v>
      </c>
      <c r="D42" s="1585" t="s">
        <v>262</v>
      </c>
      <c r="E42" s="1563"/>
      <c r="F42" s="2245"/>
      <c r="G42" s="2199"/>
      <c r="H42" s="2222"/>
    </row>
    <row r="43" spans="1:8" ht="15.75" customHeight="1" thickBot="1">
      <c r="A43" s="2246" t="s">
        <v>493</v>
      </c>
      <c r="B43" s="2211"/>
      <c r="C43" s="2212"/>
      <c r="D43" s="1588" t="s">
        <v>237</v>
      </c>
      <c r="E43" s="1563"/>
      <c r="F43" s="2247"/>
      <c r="G43" s="2199"/>
      <c r="H43" s="2222"/>
    </row>
    <row r="44" spans="1:8" ht="15.75" customHeight="1" thickBot="1">
      <c r="A44" s="2246" t="s">
        <v>133</v>
      </c>
      <c r="B44" s="2211"/>
      <c r="C44" s="2212"/>
      <c r="D44" s="1588" t="s">
        <v>238</v>
      </c>
      <c r="E44" s="1563" t="s">
        <v>554</v>
      </c>
      <c r="F44" s="2247" t="s">
        <v>745</v>
      </c>
      <c r="G44" s="2199"/>
      <c r="H44" s="2222"/>
    </row>
    <row r="45" spans="1:8" ht="15" customHeight="1">
      <c r="A45" s="2243" t="s">
        <v>41</v>
      </c>
      <c r="B45" s="2203"/>
      <c r="C45" s="1589" t="s">
        <v>50</v>
      </c>
      <c r="D45" s="1590" t="s">
        <v>246</v>
      </c>
      <c r="E45" s="1563"/>
      <c r="F45" s="2244"/>
      <c r="G45" s="2199"/>
      <c r="H45" s="2222"/>
    </row>
    <row r="46" spans="1:8" ht="15" customHeight="1">
      <c r="A46" s="2227"/>
      <c r="B46" s="2203"/>
      <c r="C46" s="1591" t="s">
        <v>51</v>
      </c>
      <c r="D46" s="1590" t="s">
        <v>247</v>
      </c>
      <c r="E46" s="1563"/>
      <c r="F46" s="2244"/>
      <c r="G46" s="2199"/>
      <c r="H46" s="2222"/>
    </row>
    <row r="47" spans="1:8" ht="15" customHeight="1">
      <c r="A47" s="2227"/>
      <c r="B47" s="2203"/>
      <c r="C47" s="1591" t="s">
        <v>39</v>
      </c>
      <c r="D47" s="1590" t="s">
        <v>248</v>
      </c>
      <c r="E47" s="1563"/>
      <c r="F47" s="2244"/>
      <c r="G47" s="2199"/>
      <c r="H47" s="2222"/>
    </row>
    <row r="48" spans="1:8" ht="15.75" thickBot="1">
      <c r="A48" s="2228"/>
      <c r="B48" s="2208"/>
      <c r="C48" s="1592" t="s">
        <v>40</v>
      </c>
      <c r="D48" s="1590" t="s">
        <v>249</v>
      </c>
      <c r="E48" s="1563"/>
      <c r="F48" s="2244"/>
      <c r="G48" s="2199"/>
      <c r="H48" s="2222"/>
    </row>
    <row r="49" spans="1:8" ht="15.75" customHeight="1">
      <c r="A49" s="2232" t="s">
        <v>130</v>
      </c>
      <c r="B49" s="2231"/>
      <c r="C49" s="1584" t="s">
        <v>131</v>
      </c>
      <c r="D49" s="1585" t="s">
        <v>255</v>
      </c>
      <c r="E49" s="1563"/>
      <c r="F49" s="2254"/>
      <c r="G49" s="2199"/>
      <c r="H49" s="2222"/>
    </row>
    <row r="50" spans="1:8" ht="63.75" thickBot="1">
      <c r="A50" s="2228"/>
      <c r="B50" s="2229"/>
      <c r="C50" s="1593" t="s">
        <v>132</v>
      </c>
      <c r="D50" s="1585" t="s">
        <v>263</v>
      </c>
      <c r="E50" s="1563" t="s">
        <v>554</v>
      </c>
      <c r="F50" s="2254"/>
      <c r="G50" s="2199"/>
      <c r="H50" s="2222"/>
    </row>
    <row r="51" spans="1:8" ht="45" customHeight="1">
      <c r="A51" s="2250" t="s">
        <v>42</v>
      </c>
      <c r="B51" s="2202"/>
      <c r="C51" s="1594" t="s">
        <v>38</v>
      </c>
      <c r="D51" s="1595" t="s">
        <v>239</v>
      </c>
      <c r="E51" s="1563" t="s">
        <v>554</v>
      </c>
      <c r="F51" s="2247" t="s">
        <v>748</v>
      </c>
      <c r="G51" s="2199"/>
      <c r="H51" s="2222"/>
    </row>
    <row r="52" spans="1:8">
      <c r="A52" s="2203"/>
      <c r="B52" s="2203"/>
      <c r="C52" s="1596" t="s">
        <v>55</v>
      </c>
      <c r="D52" s="1595" t="s">
        <v>240</v>
      </c>
      <c r="E52" s="1563"/>
      <c r="F52" s="2251"/>
      <c r="G52" s="2199"/>
      <c r="H52" s="2222"/>
    </row>
    <row r="53" spans="1:8" ht="16.5" thickBot="1">
      <c r="A53" s="2203"/>
      <c r="B53" s="2203"/>
      <c r="C53" s="1586" t="s">
        <v>48</v>
      </c>
      <c r="D53" s="1597" t="s">
        <v>241</v>
      </c>
      <c r="E53" s="1563"/>
      <c r="F53" s="2252"/>
      <c r="G53" s="2199"/>
      <c r="H53" s="2222"/>
    </row>
    <row r="54" spans="1:8" ht="32.25" thickBot="1">
      <c r="A54" s="2253" t="s">
        <v>500</v>
      </c>
      <c r="B54" s="2199"/>
      <c r="C54" s="1598" t="s">
        <v>134</v>
      </c>
      <c r="D54" s="1599" t="s">
        <v>269</v>
      </c>
      <c r="E54" s="1600"/>
      <c r="F54" s="2247" t="s">
        <v>501</v>
      </c>
      <c r="G54" s="2199"/>
      <c r="H54" s="2222"/>
    </row>
    <row r="58" spans="1:8">
      <c r="A58" s="2198" t="s">
        <v>1270</v>
      </c>
      <c r="B58" s="2199"/>
      <c r="C58" s="2199"/>
      <c r="D58" s="2199"/>
      <c r="E58" s="2199"/>
      <c r="F58" s="2199"/>
      <c r="G58" s="1439"/>
    </row>
    <row r="59" spans="1:8" ht="105">
      <c r="A59" s="1441" t="s">
        <v>1271</v>
      </c>
      <c r="B59" s="1441" t="s">
        <v>1272</v>
      </c>
      <c r="C59" s="1441" t="s">
        <v>1273</v>
      </c>
      <c r="D59" s="1441" t="s">
        <v>1274</v>
      </c>
      <c r="E59" s="1441" t="s">
        <v>1275</v>
      </c>
      <c r="F59" s="1441" t="s">
        <v>1276</v>
      </c>
      <c r="G59" s="1443" t="s">
        <v>1472</v>
      </c>
    </row>
    <row r="60" spans="1:8" ht="225">
      <c r="A60" s="1695" t="s">
        <v>1473</v>
      </c>
      <c r="B60" s="1440" t="s">
        <v>1474</v>
      </c>
      <c r="C60" s="1440" t="s">
        <v>1475</v>
      </c>
      <c r="D60" s="1440" t="s">
        <v>991</v>
      </c>
      <c r="E60" s="1440" t="s">
        <v>1476</v>
      </c>
      <c r="F60" s="1440"/>
      <c r="G60" s="1442" t="s">
        <v>1477</v>
      </c>
    </row>
    <row r="61" spans="1:8" ht="60">
      <c r="A61" s="1662" t="s">
        <v>1478</v>
      </c>
      <c r="B61" s="1440" t="s">
        <v>1474</v>
      </c>
      <c r="C61" s="1440" t="s">
        <v>1475</v>
      </c>
      <c r="D61" s="1440" t="s">
        <v>991</v>
      </c>
      <c r="E61" s="1440" t="s">
        <v>1479</v>
      </c>
      <c r="F61" s="1440"/>
      <c r="G61" s="1442" t="s">
        <v>1480</v>
      </c>
    </row>
    <row r="62" spans="1:8" ht="60">
      <c r="A62" s="1662" t="s">
        <v>1481</v>
      </c>
      <c r="B62" s="1440" t="s">
        <v>1474</v>
      </c>
      <c r="C62" s="1440" t="s">
        <v>1475</v>
      </c>
      <c r="D62" s="1440" t="s">
        <v>991</v>
      </c>
      <c r="E62" s="1440" t="s">
        <v>1482</v>
      </c>
      <c r="F62" s="1440"/>
      <c r="G62" s="1442" t="s">
        <v>1483</v>
      </c>
    </row>
    <row r="63" spans="1:8" ht="75">
      <c r="A63" s="1662" t="s">
        <v>1484</v>
      </c>
      <c r="B63" s="1440" t="s">
        <v>1474</v>
      </c>
      <c r="C63" s="1440" t="s">
        <v>1475</v>
      </c>
      <c r="D63" s="1440" t="s">
        <v>991</v>
      </c>
      <c r="E63" s="1440" t="s">
        <v>239</v>
      </c>
      <c r="F63" s="1440"/>
      <c r="G63" s="1442" t="s">
        <v>1485</v>
      </c>
    </row>
    <row r="64" spans="1:8" ht="75">
      <c r="A64" s="1662" t="s">
        <v>1486</v>
      </c>
      <c r="B64" s="1440" t="s">
        <v>1474</v>
      </c>
      <c r="C64" s="1440" t="s">
        <v>1475</v>
      </c>
      <c r="D64" s="1440" t="s">
        <v>991</v>
      </c>
      <c r="E64" s="1440" t="s">
        <v>1487</v>
      </c>
      <c r="F64" s="1440"/>
      <c r="G64" s="1442" t="s">
        <v>1488</v>
      </c>
    </row>
    <row r="65" spans="1:7" ht="90">
      <c r="A65" s="1662" t="s">
        <v>1489</v>
      </c>
      <c r="B65" s="1440" t="s">
        <v>1490</v>
      </c>
      <c r="C65" s="1440" t="s">
        <v>1475</v>
      </c>
      <c r="D65" s="1440" t="s">
        <v>991</v>
      </c>
      <c r="E65" s="1440" t="s">
        <v>1280</v>
      </c>
      <c r="F65" s="1440"/>
      <c r="G65" s="1442" t="s">
        <v>1491</v>
      </c>
    </row>
    <row r="66" spans="1:7" ht="90">
      <c r="A66" s="1662" t="s">
        <v>1492</v>
      </c>
      <c r="B66" s="1440" t="s">
        <v>1474</v>
      </c>
      <c r="C66" s="1440" t="s">
        <v>1475</v>
      </c>
      <c r="D66" s="1440" t="s">
        <v>991</v>
      </c>
      <c r="E66" s="1440" t="s">
        <v>1493</v>
      </c>
      <c r="F66" s="1440"/>
      <c r="G66" s="1442" t="s">
        <v>1494</v>
      </c>
    </row>
  </sheetData>
  <mergeCells count="57">
    <mergeCell ref="A58:F58"/>
    <mergeCell ref="A21:B22"/>
    <mergeCell ref="F21:H22"/>
    <mergeCell ref="A23:B25"/>
    <mergeCell ref="F23:H25"/>
    <mergeCell ref="A26:C26"/>
    <mergeCell ref="F26:H26"/>
    <mergeCell ref="A51:B53"/>
    <mergeCell ref="F51:H51"/>
    <mergeCell ref="F52:H52"/>
    <mergeCell ref="F53:H53"/>
    <mergeCell ref="A54:B54"/>
    <mergeCell ref="F54:H54"/>
    <mergeCell ref="F49:H49"/>
    <mergeCell ref="F50:H50"/>
    <mergeCell ref="A40:B42"/>
    <mergeCell ref="F42:H42"/>
    <mergeCell ref="A43:C43"/>
    <mergeCell ref="F43:H43"/>
    <mergeCell ref="A44:C44"/>
    <mergeCell ref="F44:H44"/>
    <mergeCell ref="A49:B50"/>
    <mergeCell ref="F34:H34"/>
    <mergeCell ref="A35:B36"/>
    <mergeCell ref="A37:B39"/>
    <mergeCell ref="F37:H37"/>
    <mergeCell ref="F38:H38"/>
    <mergeCell ref="F39:H39"/>
    <mergeCell ref="F35:H35"/>
    <mergeCell ref="F36:H36"/>
    <mergeCell ref="A34:B34"/>
    <mergeCell ref="A45:B48"/>
    <mergeCell ref="F45:H45"/>
    <mergeCell ref="F46:H46"/>
    <mergeCell ref="F47:H47"/>
    <mergeCell ref="F48:H48"/>
    <mergeCell ref="F40:H41"/>
    <mergeCell ref="A27:B29"/>
    <mergeCell ref="F27:H29"/>
    <mergeCell ref="A30:B32"/>
    <mergeCell ref="F30:H32"/>
    <mergeCell ref="A33:B33"/>
    <mergeCell ref="F33:H33"/>
    <mergeCell ref="A18:B20"/>
    <mergeCell ref="F18:H20"/>
    <mergeCell ref="B2:D2"/>
    <mergeCell ref="B3:D3"/>
    <mergeCell ref="B4:D4"/>
    <mergeCell ref="B6:D6"/>
    <mergeCell ref="B8:D8"/>
    <mergeCell ref="A10:B10"/>
    <mergeCell ref="E12:H13"/>
    <mergeCell ref="A14:B14"/>
    <mergeCell ref="F14:H14"/>
    <mergeCell ref="A15:B17"/>
    <mergeCell ref="F15:H17"/>
    <mergeCell ref="C10:D10"/>
  </mergeCells>
  <dataValidations count="3">
    <dataValidation type="list" allowBlank="1" showErrorMessage="1" sqref="H3">
      <formula1>$N$4:$N$5</formula1>
    </dataValidation>
    <dataValidation type="list" allowBlank="1" showErrorMessage="1" sqref="H2">
      <formula1>$N$2:$N$3</formula1>
    </dataValidation>
    <dataValidation type="list" allowBlank="1" showErrorMessage="1" sqref="H8">
      <formula1>"Enjeu EAU AESN,Enjeu EAU AEAP,Enjeu ZH et prairies AEAP,Enjeu Erosion AEAP,Enjeu Biodiversité MASA"</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W76"/>
  <sheetViews>
    <sheetView topLeftCell="A46" zoomScaleNormal="100" workbookViewId="0">
      <selection activeCell="F49" sqref="F49:H49"/>
    </sheetView>
  </sheetViews>
  <sheetFormatPr baseColWidth="10" defaultRowHeight="15"/>
  <cols>
    <col min="1" max="1" width="20.42578125" style="1" bestFit="1" customWidth="1"/>
    <col min="2" max="2" width="15.7109375" style="1" customWidth="1"/>
    <col min="3" max="3" width="44.140625" style="1" customWidth="1"/>
    <col min="4" max="4" width="10.5703125" style="1" customWidth="1"/>
    <col min="5" max="5" width="15.7109375" style="1" customWidth="1"/>
    <col min="6" max="6" width="16.28515625" style="1" bestFit="1" customWidth="1"/>
    <col min="7" max="7" width="17.7109375" style="1" customWidth="1"/>
    <col min="8" max="8" width="23.140625" bestFit="1" customWidth="1"/>
    <col min="10" max="10" width="16.42578125" bestFit="1" customWidth="1"/>
  </cols>
  <sheetData>
    <row r="1" spans="1:23" ht="15.75" thickBot="1">
      <c r="A1"/>
      <c r="B1"/>
      <c r="C1"/>
      <c r="D1"/>
      <c r="E1"/>
      <c r="F1"/>
      <c r="G1"/>
    </row>
    <row r="2" spans="1:23" ht="15.75" thickBot="1">
      <c r="A2" s="109" t="s">
        <v>0</v>
      </c>
      <c r="B2" s="2029" t="s">
        <v>503</v>
      </c>
      <c r="C2" s="2144"/>
      <c r="D2" s="2145"/>
      <c r="E2" s="110"/>
      <c r="F2" s="110"/>
      <c r="G2" s="111" t="s">
        <v>462</v>
      </c>
      <c r="H2" s="112" t="s">
        <v>53</v>
      </c>
    </row>
    <row r="3" spans="1:23" ht="15.75" thickBot="1">
      <c r="A3" s="113" t="s">
        <v>344</v>
      </c>
      <c r="B3" s="2029" t="s">
        <v>503</v>
      </c>
      <c r="C3" s="2144"/>
      <c r="D3" s="2145"/>
      <c r="E3" s="110"/>
      <c r="F3" s="110"/>
      <c r="G3" s="114" t="s">
        <v>10</v>
      </c>
      <c r="H3" s="177" t="s">
        <v>16</v>
      </c>
      <c r="J3" s="13" t="s">
        <v>73</v>
      </c>
    </row>
    <row r="4" spans="1:23" ht="15.75" thickBot="1">
      <c r="A4" s="114" t="s">
        <v>3</v>
      </c>
      <c r="B4" s="1823" t="s">
        <v>504</v>
      </c>
      <c r="C4" s="2144"/>
      <c r="D4" s="2145"/>
      <c r="E4" s="115"/>
      <c r="F4" s="110"/>
      <c r="G4" s="116" t="s">
        <v>26</v>
      </c>
      <c r="H4" s="117">
        <v>11</v>
      </c>
    </row>
    <row r="5" spans="1:23" ht="15.75" customHeight="1" thickBot="1">
      <c r="A5" s="110"/>
      <c r="B5" s="110"/>
      <c r="C5" s="110"/>
      <c r="D5" s="110"/>
      <c r="E5" s="110"/>
      <c r="F5" s="110"/>
      <c r="G5" s="110"/>
      <c r="H5" s="110"/>
      <c r="J5" s="13" t="s">
        <v>381</v>
      </c>
    </row>
    <row r="6" spans="1:23" ht="142.5" customHeight="1" thickBot="1">
      <c r="A6" s="109" t="s">
        <v>465</v>
      </c>
      <c r="B6" s="1823" t="s">
        <v>505</v>
      </c>
      <c r="C6" s="2267"/>
      <c r="D6" s="2268"/>
      <c r="E6" s="110"/>
      <c r="F6" s="110"/>
      <c r="G6" s="118" t="s">
        <v>466</v>
      </c>
      <c r="H6" s="178" t="s">
        <v>506</v>
      </c>
    </row>
    <row r="7" spans="1:23" ht="15.75" thickBot="1">
      <c r="A7"/>
      <c r="B7" s="110"/>
      <c r="C7" s="110"/>
      <c r="D7" s="110"/>
      <c r="E7" s="110"/>
      <c r="F7" s="110"/>
      <c r="G7" s="120"/>
      <c r="H7" s="110"/>
    </row>
    <row r="8" spans="1:23" ht="30.75" thickBot="1">
      <c r="A8" s="121" t="s">
        <v>7</v>
      </c>
      <c r="B8" s="1823" t="s">
        <v>507</v>
      </c>
      <c r="C8" s="2144"/>
      <c r="D8" s="2145"/>
      <c r="E8" s="115"/>
      <c r="F8" s="122"/>
      <c r="G8" s="584" t="s">
        <v>469</v>
      </c>
      <c r="H8" s="586" t="s">
        <v>470</v>
      </c>
    </row>
    <row r="9" spans="1:23">
      <c r="A9" s="179"/>
      <c r="B9" s="180"/>
      <c r="C9" s="181"/>
      <c r="D9" s="181"/>
      <c r="E9" s="115"/>
      <c r="F9" s="122"/>
      <c r="G9" s="587"/>
      <c r="H9" s="588"/>
    </row>
    <row r="10" spans="1:23" ht="54" customHeight="1">
      <c r="A10"/>
      <c r="B10" s="110"/>
      <c r="C10" s="110"/>
      <c r="D10" s="110"/>
      <c r="E10" s="110"/>
      <c r="F10" s="110"/>
      <c r="G10" s="587"/>
      <c r="H10" s="588"/>
      <c r="J10" s="1821"/>
    </row>
    <row r="11" spans="1:23" ht="196.5" customHeight="1">
      <c r="A11" s="2174" t="s">
        <v>471</v>
      </c>
      <c r="B11" s="2148"/>
      <c r="C11" s="1805" t="s">
        <v>509</v>
      </c>
      <c r="D11" s="1805"/>
      <c r="E11" s="1805"/>
      <c r="F11" s="1805"/>
      <c r="G11" s="1805"/>
      <c r="H11" s="1805"/>
      <c r="J11" s="1821"/>
    </row>
    <row r="12" spans="1:23">
      <c r="A12" s="126"/>
      <c r="B12" s="115"/>
      <c r="C12" s="115"/>
      <c r="D12" s="115"/>
      <c r="E12" s="115"/>
      <c r="F12" s="122"/>
      <c r="G12" s="125"/>
      <c r="H12" s="125"/>
    </row>
    <row r="13" spans="1:23" ht="29.25" customHeight="1">
      <c r="A13" s="126"/>
      <c r="B13" s="115"/>
      <c r="C13" s="115"/>
      <c r="D13" s="115"/>
      <c r="E13" s="2181" t="s">
        <v>473</v>
      </c>
      <c r="F13" s="2148"/>
      <c r="G13" s="2148"/>
      <c r="H13" s="2148"/>
    </row>
    <row r="14" spans="1:23" ht="30" customHeight="1">
      <c r="A14" s="110"/>
      <c r="B14" s="110"/>
      <c r="C14" s="110"/>
      <c r="D14" s="110"/>
      <c r="E14" s="2141"/>
      <c r="F14" s="2141"/>
      <c r="G14" s="2141"/>
      <c r="H14" s="2141"/>
      <c r="I14" s="2186">
        <v>2025</v>
      </c>
      <c r="J14" s="2097"/>
      <c r="K14" s="2097"/>
      <c r="L14" s="2097"/>
      <c r="M14" s="2098"/>
      <c r="N14" s="2186">
        <v>2026</v>
      </c>
      <c r="O14" s="2097"/>
      <c r="P14" s="2097"/>
      <c r="Q14" s="2097"/>
      <c r="R14" s="2098"/>
      <c r="S14" s="2186">
        <v>2027</v>
      </c>
      <c r="T14" s="2097"/>
      <c r="U14" s="2097"/>
      <c r="V14" s="2097"/>
      <c r="W14" s="2098"/>
    </row>
    <row r="15" spans="1:23" ht="32.25" customHeight="1" thickBot="1">
      <c r="A15" s="2184" t="s">
        <v>5</v>
      </c>
      <c r="B15" s="2137"/>
      <c r="C15" s="128" t="s">
        <v>1</v>
      </c>
      <c r="D15" s="128" t="s">
        <v>260</v>
      </c>
      <c r="E15" s="129" t="s">
        <v>474</v>
      </c>
      <c r="F15" s="2182" t="s">
        <v>6</v>
      </c>
      <c r="G15" s="2097"/>
      <c r="H15" s="2098"/>
      <c r="I15" s="615" t="s">
        <v>474</v>
      </c>
      <c r="J15" s="616" t="s">
        <v>944</v>
      </c>
      <c r="K15" s="617" t="s">
        <v>945</v>
      </c>
      <c r="L15" s="616" t="s">
        <v>946</v>
      </c>
      <c r="M15" s="618" t="s">
        <v>947</v>
      </c>
      <c r="N15" s="615" t="s">
        <v>474</v>
      </c>
      <c r="O15" s="616" t="s">
        <v>944</v>
      </c>
      <c r="P15" s="617" t="s">
        <v>945</v>
      </c>
      <c r="Q15" s="616" t="s">
        <v>946</v>
      </c>
      <c r="R15" s="618" t="s">
        <v>947</v>
      </c>
      <c r="S15" s="615" t="s">
        <v>474</v>
      </c>
      <c r="T15" s="616" t="s">
        <v>944</v>
      </c>
      <c r="U15" s="617" t="s">
        <v>945</v>
      </c>
      <c r="V15" s="616" t="s">
        <v>946</v>
      </c>
      <c r="W15" s="618" t="s">
        <v>947</v>
      </c>
    </row>
    <row r="16" spans="1:23" ht="43.5" customHeight="1">
      <c r="A16" s="2183" t="s">
        <v>17</v>
      </c>
      <c r="B16" s="2140"/>
      <c r="C16" s="130" t="s">
        <v>59</v>
      </c>
      <c r="D16" s="131" t="s">
        <v>251</v>
      </c>
      <c r="E16" s="132"/>
      <c r="F16" s="1828" t="s">
        <v>475</v>
      </c>
      <c r="G16" s="2140"/>
      <c r="H16" s="2137"/>
      <c r="I16" s="619"/>
      <c r="J16" s="620"/>
      <c r="K16" s="620"/>
      <c r="L16" s="620"/>
      <c r="M16" s="621"/>
      <c r="N16" s="619"/>
      <c r="O16" s="620"/>
      <c r="P16" s="620"/>
      <c r="Q16" s="620"/>
      <c r="R16" s="621"/>
      <c r="S16" s="619"/>
      <c r="T16" s="620"/>
      <c r="U16" s="620"/>
      <c r="V16" s="620"/>
      <c r="W16" s="622"/>
    </row>
    <row r="17" spans="1:23" ht="55.5" customHeight="1">
      <c r="A17" s="2148"/>
      <c r="B17" s="2148"/>
      <c r="C17" s="133" t="s">
        <v>18</v>
      </c>
      <c r="D17" s="134" t="s">
        <v>168</v>
      </c>
      <c r="E17" s="135"/>
      <c r="F17" s="1845"/>
      <c r="G17" s="1845"/>
      <c r="H17" s="2139"/>
      <c r="I17" s="623"/>
      <c r="J17" s="624"/>
      <c r="K17" s="624"/>
      <c r="L17" s="624"/>
      <c r="M17" s="624"/>
      <c r="N17" s="623"/>
      <c r="O17" s="624"/>
      <c r="P17" s="624"/>
      <c r="Q17" s="624"/>
      <c r="R17" s="624"/>
      <c r="S17" s="623"/>
      <c r="T17" s="624"/>
      <c r="U17" s="624"/>
      <c r="V17" s="624"/>
      <c r="W17" s="625"/>
    </row>
    <row r="18" spans="1:23" ht="28.5" customHeight="1" thickBot="1">
      <c r="A18" s="2141"/>
      <c r="B18" s="2141"/>
      <c r="C18" s="136" t="s">
        <v>19</v>
      </c>
      <c r="D18" s="137" t="s">
        <v>233</v>
      </c>
      <c r="E18" s="138"/>
      <c r="F18" s="2141"/>
      <c r="G18" s="2141"/>
      <c r="H18" s="2142"/>
      <c r="I18" s="326"/>
      <c r="J18" s="624"/>
      <c r="K18" s="624"/>
      <c r="L18" s="624"/>
      <c r="M18" s="624"/>
      <c r="N18" s="326"/>
      <c r="O18" s="624"/>
      <c r="P18" s="624"/>
      <c r="Q18" s="624"/>
      <c r="R18" s="624"/>
      <c r="S18" s="326"/>
      <c r="T18" s="624"/>
      <c r="U18" s="624"/>
      <c r="V18" s="624"/>
      <c r="W18" s="625"/>
    </row>
    <row r="19" spans="1:23" ht="30" customHeight="1">
      <c r="A19" s="2183" t="s">
        <v>20</v>
      </c>
      <c r="B19" s="2140"/>
      <c r="C19" s="130" t="s">
        <v>54</v>
      </c>
      <c r="D19" s="137" t="s">
        <v>261</v>
      </c>
      <c r="E19" s="138"/>
      <c r="F19" s="1828" t="s">
        <v>475</v>
      </c>
      <c r="G19" s="2140"/>
      <c r="H19" s="2137"/>
      <c r="I19" s="326"/>
      <c r="J19" s="624"/>
      <c r="K19" s="624"/>
      <c r="L19" s="624"/>
      <c r="M19" s="624"/>
      <c r="N19" s="326"/>
      <c r="O19" s="624"/>
      <c r="P19" s="624"/>
      <c r="Q19" s="624"/>
      <c r="R19" s="624"/>
      <c r="S19" s="326"/>
      <c r="T19" s="624"/>
      <c r="U19" s="624"/>
      <c r="V19" s="624"/>
      <c r="W19" s="625"/>
    </row>
    <row r="20" spans="1:23" ht="15" customHeight="1">
      <c r="A20" s="2148"/>
      <c r="B20" s="2148"/>
      <c r="C20" s="139" t="s">
        <v>21</v>
      </c>
      <c r="D20" s="137" t="s">
        <v>234</v>
      </c>
      <c r="E20" s="138"/>
      <c r="F20" s="1845"/>
      <c r="G20" s="1845"/>
      <c r="H20" s="2139"/>
      <c r="I20" s="326"/>
      <c r="J20" s="624"/>
      <c r="K20" s="624"/>
      <c r="L20" s="624"/>
      <c r="M20" s="624"/>
      <c r="N20" s="326"/>
      <c r="O20" s="624"/>
      <c r="P20" s="624"/>
      <c r="Q20" s="624"/>
      <c r="R20" s="624"/>
      <c r="S20" s="326"/>
      <c r="T20" s="624"/>
      <c r="U20" s="624"/>
      <c r="V20" s="624"/>
      <c r="W20" s="625"/>
    </row>
    <row r="21" spans="1:23" ht="30" customHeight="1" thickBot="1">
      <c r="A21" s="2148"/>
      <c r="B21" s="2148"/>
      <c r="C21" s="136" t="s">
        <v>22</v>
      </c>
      <c r="D21" s="137" t="s">
        <v>235</v>
      </c>
      <c r="E21" s="138"/>
      <c r="F21" s="2141"/>
      <c r="G21" s="2141"/>
      <c r="H21" s="2142"/>
      <c r="I21" s="326"/>
      <c r="J21" s="624"/>
      <c r="K21" s="624"/>
      <c r="L21" s="624"/>
      <c r="M21" s="624"/>
      <c r="N21" s="326"/>
      <c r="O21" s="624"/>
      <c r="P21" s="624"/>
      <c r="Q21" s="624"/>
      <c r="R21" s="624"/>
      <c r="S21" s="326"/>
      <c r="T21" s="624"/>
      <c r="U21" s="624"/>
      <c r="V21" s="624"/>
      <c r="W21" s="625"/>
    </row>
    <row r="22" spans="1:23" ht="30.75" customHeight="1">
      <c r="A22" s="2183" t="s">
        <v>23</v>
      </c>
      <c r="B22" s="2140"/>
      <c r="C22" s="140" t="s">
        <v>69</v>
      </c>
      <c r="D22" s="137" t="s">
        <v>267</v>
      </c>
      <c r="E22" s="138"/>
      <c r="F22" s="1828" t="s">
        <v>477</v>
      </c>
      <c r="G22" s="2140"/>
      <c r="H22" s="2137"/>
      <c r="I22" s="326"/>
      <c r="J22" s="624"/>
      <c r="K22" s="624"/>
      <c r="L22" s="624"/>
      <c r="M22" s="624"/>
      <c r="N22" s="326"/>
      <c r="O22" s="624"/>
      <c r="P22" s="624"/>
      <c r="Q22" s="624"/>
      <c r="R22" s="624"/>
      <c r="S22" s="326"/>
      <c r="T22" s="624"/>
      <c r="U22" s="624"/>
      <c r="V22" s="624"/>
      <c r="W22" s="625"/>
    </row>
    <row r="23" spans="1:23" ht="32.25" customHeight="1" thickBot="1">
      <c r="A23" s="2141"/>
      <c r="B23" s="2141"/>
      <c r="C23" s="141" t="s">
        <v>24</v>
      </c>
      <c r="D23" s="142" t="s">
        <v>236</v>
      </c>
      <c r="E23" s="138"/>
      <c r="F23" s="2141"/>
      <c r="G23" s="2141"/>
      <c r="H23" s="2142"/>
      <c r="I23" s="326"/>
      <c r="J23" s="624"/>
      <c r="K23" s="624"/>
      <c r="L23" s="624"/>
      <c r="M23" s="624"/>
      <c r="N23" s="326"/>
      <c r="O23" s="624"/>
      <c r="P23" s="624"/>
      <c r="Q23" s="624"/>
      <c r="R23" s="624"/>
      <c r="S23" s="326"/>
      <c r="T23" s="624"/>
      <c r="U23" s="624"/>
      <c r="V23" s="624"/>
      <c r="W23" s="625"/>
    </row>
    <row r="24" spans="1:23" ht="30" customHeight="1">
      <c r="A24" s="2136" t="s">
        <v>478</v>
      </c>
      <c r="B24" s="2137"/>
      <c r="C24" s="143" t="s">
        <v>360</v>
      </c>
      <c r="D24" s="142" t="s">
        <v>265</v>
      </c>
      <c r="E24" s="138"/>
      <c r="F24" s="1828" t="s">
        <v>477</v>
      </c>
      <c r="G24" s="2140"/>
      <c r="H24" s="2137"/>
      <c r="I24" s="326"/>
      <c r="J24" s="624"/>
      <c r="K24" s="624"/>
      <c r="L24" s="624"/>
      <c r="M24" s="624"/>
      <c r="N24" s="326"/>
      <c r="O24" s="624"/>
      <c r="P24" s="624"/>
      <c r="Q24" s="624"/>
      <c r="R24" s="624"/>
      <c r="S24" s="326"/>
      <c r="T24" s="624"/>
      <c r="U24" s="624"/>
      <c r="V24" s="624"/>
      <c r="W24" s="625"/>
    </row>
    <row r="25" spans="1:23" ht="15" customHeight="1">
      <c r="A25" s="2138"/>
      <c r="B25" s="2139"/>
      <c r="C25" s="144" t="s">
        <v>361</v>
      </c>
      <c r="D25" s="142" t="s">
        <v>362</v>
      </c>
      <c r="E25" s="138"/>
      <c r="F25" s="1845"/>
      <c r="G25" s="1845"/>
      <c r="H25" s="2139"/>
      <c r="I25" s="326"/>
      <c r="J25" s="624"/>
      <c r="K25" s="624"/>
      <c r="L25" s="624"/>
      <c r="M25" s="624"/>
      <c r="N25" s="326"/>
      <c r="O25" s="624"/>
      <c r="P25" s="624"/>
      <c r="Q25" s="624"/>
      <c r="R25" s="624"/>
      <c r="S25" s="326"/>
      <c r="T25" s="624"/>
      <c r="U25" s="624"/>
      <c r="V25" s="624"/>
      <c r="W25" s="625"/>
    </row>
    <row r="26" spans="1:23" ht="16.5" thickBot="1">
      <c r="A26" s="2138"/>
      <c r="B26" s="2139"/>
      <c r="C26" s="145" t="s">
        <v>479</v>
      </c>
      <c r="D26" s="142" t="s">
        <v>480</v>
      </c>
      <c r="E26" s="138"/>
      <c r="F26" s="2141"/>
      <c r="G26" s="2141"/>
      <c r="H26" s="2142"/>
      <c r="I26" s="326"/>
      <c r="J26" s="624"/>
      <c r="K26" s="624"/>
      <c r="L26" s="624"/>
      <c r="M26" s="624"/>
      <c r="N26" s="326"/>
      <c r="O26" s="624"/>
      <c r="P26" s="624"/>
      <c r="Q26" s="624"/>
      <c r="R26" s="624"/>
      <c r="S26" s="326"/>
      <c r="T26" s="624"/>
      <c r="U26" s="624"/>
      <c r="V26" s="624"/>
      <c r="W26" s="625"/>
    </row>
    <row r="27" spans="1:23" ht="15.75" thickBot="1">
      <c r="A27" s="2143" t="s">
        <v>25</v>
      </c>
      <c r="B27" s="2144"/>
      <c r="C27" s="2145"/>
      <c r="D27" s="146" t="s">
        <v>270</v>
      </c>
      <c r="E27" s="138"/>
      <c r="F27" s="1818" t="s">
        <v>481</v>
      </c>
      <c r="G27" s="2097"/>
      <c r="H27" s="2098"/>
      <c r="I27" s="326"/>
      <c r="J27" s="624"/>
      <c r="K27" s="624"/>
      <c r="L27" s="624"/>
      <c r="M27" s="624"/>
      <c r="N27" s="326"/>
      <c r="O27" s="624"/>
      <c r="P27" s="624"/>
      <c r="Q27" s="624"/>
      <c r="R27" s="624"/>
      <c r="S27" s="326"/>
      <c r="T27" s="624"/>
      <c r="U27" s="624"/>
      <c r="V27" s="624"/>
      <c r="W27" s="625"/>
    </row>
    <row r="28" spans="1:23" ht="15.75">
      <c r="A28" s="2157" t="s">
        <v>153</v>
      </c>
      <c r="B28" s="2158"/>
      <c r="C28" s="147" t="s">
        <v>152</v>
      </c>
      <c r="D28" s="148" t="s">
        <v>268</v>
      </c>
      <c r="E28" s="138"/>
      <c r="F28" s="1828" t="s">
        <v>475</v>
      </c>
      <c r="G28" s="2140"/>
      <c r="H28" s="2137"/>
      <c r="I28" s="326"/>
      <c r="J28" s="624"/>
      <c r="K28" s="624"/>
      <c r="L28" s="624"/>
      <c r="M28" s="624"/>
      <c r="N28" s="326"/>
      <c r="O28" s="624"/>
      <c r="P28" s="624"/>
      <c r="Q28" s="624"/>
      <c r="R28" s="624"/>
      <c r="S28" s="326"/>
      <c r="T28" s="624"/>
      <c r="U28" s="624"/>
      <c r="V28" s="624"/>
      <c r="W28" s="625"/>
    </row>
    <row r="29" spans="1:23" ht="15.75">
      <c r="A29" s="2138"/>
      <c r="B29" s="2158"/>
      <c r="C29" s="149" t="s">
        <v>154</v>
      </c>
      <c r="D29" s="148" t="s">
        <v>392</v>
      </c>
      <c r="E29" s="138"/>
      <c r="F29" s="1845"/>
      <c r="G29" s="1845"/>
      <c r="H29" s="2139"/>
      <c r="I29" s="326"/>
      <c r="J29" s="624"/>
      <c r="K29" s="624"/>
      <c r="L29" s="624"/>
      <c r="M29" s="624"/>
      <c r="N29" s="326"/>
      <c r="O29" s="624"/>
      <c r="P29" s="624"/>
      <c r="Q29" s="624"/>
      <c r="R29" s="624"/>
      <c r="S29" s="326"/>
      <c r="T29" s="624"/>
      <c r="U29" s="624"/>
      <c r="V29" s="624"/>
      <c r="W29" s="625"/>
    </row>
    <row r="30" spans="1:23" ht="16.5" thickBot="1">
      <c r="A30" s="2149"/>
      <c r="B30" s="2152"/>
      <c r="C30" s="150" t="s">
        <v>400</v>
      </c>
      <c r="D30" s="148" t="s">
        <v>393</v>
      </c>
      <c r="E30" s="138"/>
      <c r="F30" s="2141"/>
      <c r="G30" s="2141"/>
      <c r="H30" s="2142"/>
      <c r="I30" s="326"/>
      <c r="J30" s="624"/>
      <c r="K30" s="624"/>
      <c r="L30" s="624"/>
      <c r="M30" s="624"/>
      <c r="N30" s="326"/>
      <c r="O30" s="624"/>
      <c r="P30" s="624"/>
      <c r="Q30" s="624"/>
      <c r="R30" s="624"/>
      <c r="S30" s="326"/>
      <c r="T30" s="624"/>
      <c r="U30" s="624"/>
      <c r="V30" s="624"/>
      <c r="W30" s="625"/>
    </row>
    <row r="31" spans="1:23" ht="15.75">
      <c r="A31" s="2159" t="s">
        <v>153</v>
      </c>
      <c r="B31" s="2151"/>
      <c r="C31" s="151" t="s">
        <v>155</v>
      </c>
      <c r="D31" s="148" t="s">
        <v>266</v>
      </c>
      <c r="E31" s="138"/>
      <c r="F31" s="1828" t="s">
        <v>475</v>
      </c>
      <c r="G31" s="2140"/>
      <c r="H31" s="2137"/>
      <c r="I31" s="326"/>
      <c r="J31" s="624"/>
      <c r="K31" s="624"/>
      <c r="L31" s="624"/>
      <c r="M31" s="624"/>
      <c r="N31" s="326"/>
      <c r="O31" s="624"/>
      <c r="P31" s="624"/>
      <c r="Q31" s="624"/>
      <c r="R31" s="624"/>
      <c r="S31" s="326"/>
      <c r="T31" s="624"/>
      <c r="U31" s="624"/>
      <c r="V31" s="624"/>
      <c r="W31" s="625"/>
    </row>
    <row r="32" spans="1:23" ht="15.75">
      <c r="A32" s="2138"/>
      <c r="B32" s="2158"/>
      <c r="C32" s="149" t="s">
        <v>156</v>
      </c>
      <c r="D32" s="148" t="s">
        <v>394</v>
      </c>
      <c r="E32" s="138"/>
      <c r="F32" s="1845"/>
      <c r="G32" s="1845"/>
      <c r="H32" s="2139"/>
      <c r="I32" s="326"/>
      <c r="J32" s="624"/>
      <c r="K32" s="624"/>
      <c r="L32" s="624"/>
      <c r="M32" s="624"/>
      <c r="N32" s="326"/>
      <c r="O32" s="624"/>
      <c r="P32" s="624"/>
      <c r="Q32" s="624"/>
      <c r="R32" s="624"/>
      <c r="S32" s="326"/>
      <c r="T32" s="624"/>
      <c r="U32" s="624"/>
      <c r="V32" s="624"/>
      <c r="W32" s="625"/>
    </row>
    <row r="33" spans="1:23" ht="16.5" thickBot="1">
      <c r="A33" s="2149"/>
      <c r="B33" s="2152"/>
      <c r="C33" s="150" t="s">
        <v>399</v>
      </c>
      <c r="D33" s="148" t="s">
        <v>395</v>
      </c>
      <c r="E33" s="138"/>
      <c r="F33" s="2141"/>
      <c r="G33" s="2141"/>
      <c r="H33" s="2142"/>
      <c r="I33" s="326"/>
      <c r="J33" s="624"/>
      <c r="K33" s="624"/>
      <c r="L33" s="624"/>
      <c r="M33" s="624"/>
      <c r="N33" s="326"/>
      <c r="O33" s="624"/>
      <c r="P33" s="624"/>
      <c r="Q33" s="624"/>
      <c r="R33" s="624"/>
      <c r="S33" s="326"/>
      <c r="T33" s="624"/>
      <c r="U33" s="624"/>
      <c r="V33" s="624"/>
      <c r="W33" s="625"/>
    </row>
    <row r="34" spans="1:23" ht="16.5" thickBot="1">
      <c r="A34" s="2159" t="s">
        <v>482</v>
      </c>
      <c r="B34" s="2151"/>
      <c r="C34" s="151" t="s">
        <v>365</v>
      </c>
      <c r="D34" s="148" t="s">
        <v>252</v>
      </c>
      <c r="E34" s="138"/>
      <c r="F34" s="1828" t="s">
        <v>483</v>
      </c>
      <c r="G34" s="2140"/>
      <c r="H34" s="2137"/>
      <c r="I34" s="326"/>
      <c r="J34" s="624"/>
      <c r="K34" s="624"/>
      <c r="L34" s="624"/>
      <c r="M34" s="624"/>
      <c r="N34" s="326"/>
      <c r="O34" s="624"/>
      <c r="P34" s="624"/>
      <c r="Q34" s="624"/>
      <c r="R34" s="624"/>
      <c r="S34" s="326"/>
      <c r="T34" s="624"/>
      <c r="U34" s="624"/>
      <c r="V34" s="624"/>
      <c r="W34" s="625"/>
    </row>
    <row r="35" spans="1:23" ht="16.5" thickBot="1">
      <c r="A35" s="2159" t="s">
        <v>484</v>
      </c>
      <c r="B35" s="2151"/>
      <c r="C35" s="151" t="s">
        <v>485</v>
      </c>
      <c r="D35" s="148" t="s">
        <v>264</v>
      </c>
      <c r="E35" s="138"/>
      <c r="F35" s="2160"/>
      <c r="G35" s="2140"/>
      <c r="H35" s="2137"/>
      <c r="I35" s="326"/>
      <c r="J35" s="624"/>
      <c r="K35" s="624"/>
      <c r="L35" s="624"/>
      <c r="M35" s="624"/>
      <c r="N35" s="326"/>
      <c r="O35" s="624"/>
      <c r="P35" s="624"/>
      <c r="Q35" s="624"/>
      <c r="R35" s="624"/>
      <c r="S35" s="326"/>
      <c r="T35" s="624"/>
      <c r="U35" s="624"/>
      <c r="V35" s="624"/>
      <c r="W35" s="625"/>
    </row>
    <row r="36" spans="1:23" ht="15.75">
      <c r="A36" s="2161" t="s">
        <v>486</v>
      </c>
      <c r="B36" s="2151"/>
      <c r="C36" s="152" t="s">
        <v>43</v>
      </c>
      <c r="D36" s="153" t="s">
        <v>256</v>
      </c>
      <c r="E36" s="138"/>
      <c r="F36" s="1828" t="s">
        <v>487</v>
      </c>
      <c r="G36" s="2140"/>
      <c r="H36" s="2137"/>
      <c r="I36" s="326"/>
      <c r="J36" s="624"/>
      <c r="K36" s="624"/>
      <c r="L36" s="624"/>
      <c r="M36" s="624"/>
      <c r="N36" s="326"/>
      <c r="O36" s="624"/>
      <c r="P36" s="624"/>
      <c r="Q36" s="624"/>
      <c r="R36" s="624"/>
      <c r="S36" s="326"/>
      <c r="T36" s="624"/>
      <c r="U36" s="624"/>
      <c r="V36" s="624"/>
      <c r="W36" s="625"/>
    </row>
    <row r="37" spans="1:23" ht="16.5" thickBot="1">
      <c r="A37" s="2149"/>
      <c r="B37" s="2152"/>
      <c r="C37" s="154" t="s">
        <v>60</v>
      </c>
      <c r="D37" s="153" t="s">
        <v>257</v>
      </c>
      <c r="E37" s="138"/>
      <c r="F37" s="2141"/>
      <c r="G37" s="2141"/>
      <c r="H37" s="2142"/>
      <c r="I37" s="326"/>
      <c r="J37" s="624"/>
      <c r="K37" s="624"/>
      <c r="L37" s="624"/>
      <c r="M37" s="624"/>
      <c r="N37" s="326"/>
      <c r="O37" s="624"/>
      <c r="P37" s="624"/>
      <c r="Q37" s="624"/>
      <c r="R37" s="624"/>
      <c r="S37" s="326"/>
      <c r="T37" s="624"/>
      <c r="U37" s="624"/>
      <c r="V37" s="624"/>
      <c r="W37" s="625"/>
    </row>
    <row r="38" spans="1:23" ht="30.75" thickBot="1">
      <c r="A38" s="2165" t="s">
        <v>33</v>
      </c>
      <c r="B38" s="2140"/>
      <c r="C38" s="155" t="s">
        <v>30</v>
      </c>
      <c r="D38" s="156" t="s">
        <v>170</v>
      </c>
      <c r="E38" s="138"/>
      <c r="F38" s="1820" t="s">
        <v>510</v>
      </c>
      <c r="G38" s="2140"/>
      <c r="H38" s="2137"/>
      <c r="I38" s="326"/>
      <c r="J38" s="624"/>
      <c r="K38" s="624"/>
      <c r="L38" s="624"/>
      <c r="M38" s="624"/>
      <c r="N38" s="326"/>
      <c r="O38" s="624"/>
      <c r="P38" s="624"/>
      <c r="Q38" s="624"/>
      <c r="R38" s="624"/>
      <c r="S38" s="326"/>
      <c r="T38" s="624"/>
      <c r="U38" s="624"/>
      <c r="V38" s="624"/>
      <c r="W38" s="625"/>
    </row>
    <row r="39" spans="1:23" ht="30.75" thickBot="1">
      <c r="A39" s="2138"/>
      <c r="B39" s="2148"/>
      <c r="C39" s="157" t="s">
        <v>31</v>
      </c>
      <c r="D39" s="156" t="s">
        <v>169</v>
      </c>
      <c r="E39" s="1238" t="s">
        <v>277</v>
      </c>
      <c r="F39" s="1917" t="s">
        <v>1255</v>
      </c>
      <c r="G39" s="1918"/>
      <c r="H39" s="1919"/>
      <c r="I39" s="183" t="s">
        <v>277</v>
      </c>
      <c r="J39" s="624">
        <v>1</v>
      </c>
      <c r="K39" s="624" t="s">
        <v>887</v>
      </c>
      <c r="L39" s="624">
        <v>80</v>
      </c>
      <c r="M39" s="640">
        <f>(L39*177)*5</f>
        <v>70800</v>
      </c>
      <c r="N39" s="183" t="s">
        <v>277</v>
      </c>
      <c r="O39" s="624">
        <v>1</v>
      </c>
      <c r="P39" s="624"/>
      <c r="Q39" s="624">
        <v>80</v>
      </c>
      <c r="R39" s="640">
        <f>(Q39*233)*5</f>
        <v>93200</v>
      </c>
      <c r="S39" s="183" t="s">
        <v>277</v>
      </c>
      <c r="T39" s="624">
        <v>1</v>
      </c>
      <c r="U39" s="624"/>
      <c r="V39" s="624">
        <v>80</v>
      </c>
      <c r="W39" s="640">
        <f>(V39*233)*5</f>
        <v>93200</v>
      </c>
    </row>
    <row r="40" spans="1:23" ht="30.75" thickBot="1">
      <c r="A40" s="2138"/>
      <c r="B40" s="2148"/>
      <c r="C40" s="158" t="s">
        <v>32</v>
      </c>
      <c r="D40" s="156" t="s">
        <v>250</v>
      </c>
      <c r="E40" s="1236" t="s">
        <v>277</v>
      </c>
      <c r="F40" s="1917" t="s">
        <v>1256</v>
      </c>
      <c r="G40" s="1918"/>
      <c r="H40" s="1919"/>
      <c r="I40" s="183" t="s">
        <v>277</v>
      </c>
      <c r="J40" s="624">
        <v>1</v>
      </c>
      <c r="K40" s="624"/>
      <c r="L40" s="624">
        <v>80</v>
      </c>
      <c r="M40" s="640">
        <f>(L40*233)*5</f>
        <v>93200</v>
      </c>
      <c r="N40" s="183" t="s">
        <v>277</v>
      </c>
      <c r="O40" s="624"/>
      <c r="P40" s="624"/>
      <c r="Q40" s="624"/>
      <c r="R40" s="640">
        <f>(Q40*177)*5</f>
        <v>0</v>
      </c>
      <c r="S40" s="183" t="s">
        <v>277</v>
      </c>
      <c r="T40" s="624"/>
      <c r="U40" s="624"/>
      <c r="V40" s="624"/>
      <c r="W40" s="640">
        <f>(V40*177)*5</f>
        <v>0</v>
      </c>
    </row>
    <row r="41" spans="1:23" ht="58.5" customHeight="1" thickBot="1">
      <c r="A41" s="2169" t="s">
        <v>491</v>
      </c>
      <c r="B41" s="2170"/>
      <c r="C41" s="159" t="s">
        <v>144</v>
      </c>
      <c r="D41" s="160" t="s">
        <v>253</v>
      </c>
      <c r="E41" s="1236" t="s">
        <v>277</v>
      </c>
      <c r="F41" s="1917" t="s">
        <v>1257</v>
      </c>
      <c r="G41" s="1918"/>
      <c r="H41" s="1919"/>
      <c r="I41" s="183" t="s">
        <v>277</v>
      </c>
      <c r="J41" s="624">
        <v>4</v>
      </c>
      <c r="K41" s="624"/>
      <c r="L41" s="624">
        <v>20</v>
      </c>
      <c r="M41" s="640">
        <f>(L41*201)*5</f>
        <v>20100</v>
      </c>
      <c r="N41" s="183" t="s">
        <v>277</v>
      </c>
      <c r="O41" s="624">
        <v>2</v>
      </c>
      <c r="P41" s="624"/>
      <c r="Q41" s="624">
        <v>10</v>
      </c>
      <c r="R41" s="640">
        <f>(Q41*201)*5</f>
        <v>10050</v>
      </c>
      <c r="S41" s="183" t="s">
        <v>277</v>
      </c>
      <c r="T41" s="624">
        <v>2</v>
      </c>
      <c r="U41" s="624"/>
      <c r="V41" s="624">
        <v>10</v>
      </c>
      <c r="W41" s="640">
        <f>(V41*201)*5</f>
        <v>10050</v>
      </c>
    </row>
    <row r="42" spans="1:23" ht="55.5" customHeight="1" thickBot="1">
      <c r="A42" s="2148"/>
      <c r="B42" s="2158"/>
      <c r="C42" s="161" t="s">
        <v>145</v>
      </c>
      <c r="D42" s="160" t="s">
        <v>254</v>
      </c>
      <c r="E42" s="1236" t="s">
        <v>277</v>
      </c>
      <c r="F42" s="1917" t="s">
        <v>1258</v>
      </c>
      <c r="G42" s="1918"/>
      <c r="H42" s="1919"/>
      <c r="I42" s="183" t="s">
        <v>277</v>
      </c>
      <c r="J42" s="624">
        <v>2</v>
      </c>
      <c r="K42" s="624"/>
      <c r="L42" s="624">
        <v>8</v>
      </c>
      <c r="M42" s="640">
        <f>(L42*150)*5</f>
        <v>6000</v>
      </c>
      <c r="N42" s="183" t="s">
        <v>277</v>
      </c>
      <c r="O42" s="624">
        <v>2</v>
      </c>
      <c r="P42" s="624"/>
      <c r="Q42" s="624">
        <v>20</v>
      </c>
      <c r="R42" s="640">
        <f>(Q42*150)*5</f>
        <v>15000</v>
      </c>
      <c r="S42" s="183" t="s">
        <v>277</v>
      </c>
      <c r="T42" s="624">
        <v>2</v>
      </c>
      <c r="U42" s="624"/>
      <c r="V42" s="624">
        <v>20</v>
      </c>
      <c r="W42" s="640">
        <f>(V42*150)*5</f>
        <v>15000</v>
      </c>
    </row>
    <row r="43" spans="1:23" ht="51" customHeight="1" thickBot="1">
      <c r="A43" s="2171"/>
      <c r="B43" s="2172"/>
      <c r="C43" s="162" t="s">
        <v>128</v>
      </c>
      <c r="D43" s="160" t="s">
        <v>262</v>
      </c>
      <c r="E43" s="1233"/>
      <c r="F43" s="1920"/>
      <c r="G43" s="1921"/>
      <c r="H43" s="1922"/>
      <c r="I43" s="183"/>
      <c r="J43" s="624"/>
      <c r="K43" s="624"/>
      <c r="L43" s="624"/>
      <c r="M43" s="640"/>
      <c r="N43" s="183"/>
      <c r="O43" s="624"/>
      <c r="P43" s="624"/>
      <c r="Q43" s="624"/>
      <c r="R43" s="640"/>
      <c r="S43" s="183"/>
      <c r="T43" s="624"/>
      <c r="U43" s="624"/>
      <c r="V43" s="624"/>
      <c r="W43" s="640"/>
    </row>
    <row r="44" spans="1:23" ht="234" customHeight="1" thickBot="1">
      <c r="A44" s="2146" t="s">
        <v>493</v>
      </c>
      <c r="B44" s="2144"/>
      <c r="C44" s="2145"/>
      <c r="D44" s="163" t="s">
        <v>237</v>
      </c>
      <c r="E44" s="1237" t="s">
        <v>277</v>
      </c>
      <c r="F44" s="1917" t="s">
        <v>1259</v>
      </c>
      <c r="G44" s="1918"/>
      <c r="H44" s="1919"/>
      <c r="I44" s="184" t="s">
        <v>277</v>
      </c>
      <c r="J44" s="624">
        <v>1</v>
      </c>
      <c r="K44" s="624"/>
      <c r="L44" s="624">
        <v>3</v>
      </c>
      <c r="M44" s="640">
        <f>(L44*652)*5</f>
        <v>9780</v>
      </c>
      <c r="N44" s="184" t="s">
        <v>277</v>
      </c>
      <c r="O44" s="624">
        <v>1</v>
      </c>
      <c r="P44" s="624"/>
      <c r="Q44" s="624">
        <v>3</v>
      </c>
      <c r="R44" s="640">
        <f>(Q44*652)*5</f>
        <v>9780</v>
      </c>
      <c r="S44" s="184" t="s">
        <v>277</v>
      </c>
      <c r="T44" s="624">
        <v>1</v>
      </c>
      <c r="U44" s="624"/>
      <c r="V44" s="624">
        <v>3</v>
      </c>
      <c r="W44" s="640">
        <f>(V44*652)*5</f>
        <v>9780</v>
      </c>
    </row>
    <row r="45" spans="1:23" ht="124.5" customHeight="1" thickBot="1">
      <c r="A45" s="2146" t="s">
        <v>133</v>
      </c>
      <c r="B45" s="2144"/>
      <c r="C45" s="2145"/>
      <c r="D45" s="163" t="s">
        <v>238</v>
      </c>
      <c r="E45" s="1233"/>
      <c r="F45" s="2263"/>
      <c r="G45" s="2264"/>
      <c r="H45" s="2265"/>
      <c r="I45" s="183"/>
      <c r="J45" s="624"/>
      <c r="K45" s="624"/>
      <c r="L45" s="624"/>
      <c r="M45" s="640"/>
      <c r="N45" s="183"/>
      <c r="O45" s="624"/>
      <c r="P45" s="624"/>
      <c r="Q45" s="624"/>
      <c r="R45" s="640"/>
      <c r="S45" s="183"/>
      <c r="T45" s="624"/>
      <c r="U45" s="624"/>
      <c r="V45" s="624"/>
      <c r="W45" s="640"/>
    </row>
    <row r="46" spans="1:23" ht="76.5" customHeight="1" thickBot="1">
      <c r="A46" s="2147" t="s">
        <v>41</v>
      </c>
      <c r="B46" s="2148"/>
      <c r="C46" s="164" t="s">
        <v>50</v>
      </c>
      <c r="D46" s="165" t="s">
        <v>246</v>
      </c>
      <c r="E46" s="1237" t="s">
        <v>277</v>
      </c>
      <c r="F46" s="1782" t="s">
        <v>1260</v>
      </c>
      <c r="G46" s="1783"/>
      <c r="H46" s="1784"/>
      <c r="I46" s="184" t="s">
        <v>277</v>
      </c>
      <c r="J46" s="624">
        <v>2</v>
      </c>
      <c r="K46" s="624"/>
      <c r="L46" s="624">
        <v>10</v>
      </c>
      <c r="M46" s="640">
        <f>(L46*82)*5</f>
        <v>4100</v>
      </c>
      <c r="N46" s="184" t="s">
        <v>277</v>
      </c>
      <c r="O46" s="624">
        <v>2</v>
      </c>
      <c r="P46" s="624"/>
      <c r="Q46" s="624">
        <v>10</v>
      </c>
      <c r="R46" s="640">
        <f>(Q46*82)*5</f>
        <v>4100</v>
      </c>
      <c r="S46" s="184" t="s">
        <v>277</v>
      </c>
      <c r="T46" s="624">
        <v>2</v>
      </c>
      <c r="U46" s="624"/>
      <c r="V46" s="624">
        <v>10</v>
      </c>
      <c r="W46" s="640">
        <f>(V46*82)*5</f>
        <v>4100</v>
      </c>
    </row>
    <row r="47" spans="1:23" ht="76.5" customHeight="1" thickBot="1">
      <c r="A47" s="2138"/>
      <c r="B47" s="2148"/>
      <c r="C47" s="166" t="s">
        <v>51</v>
      </c>
      <c r="D47" s="165" t="s">
        <v>247</v>
      </c>
      <c r="E47" s="1237" t="s">
        <v>277</v>
      </c>
      <c r="F47" s="1782" t="s">
        <v>1261</v>
      </c>
      <c r="G47" s="1783"/>
      <c r="H47" s="1784"/>
      <c r="I47" s="184" t="s">
        <v>277</v>
      </c>
      <c r="J47" s="624">
        <v>3</v>
      </c>
      <c r="K47" s="624"/>
      <c r="L47" s="624">
        <v>30</v>
      </c>
      <c r="M47" s="640">
        <f>(L47*145)*5</f>
        <v>21750</v>
      </c>
      <c r="N47" s="184" t="s">
        <v>277</v>
      </c>
      <c r="O47" s="624">
        <v>2</v>
      </c>
      <c r="P47" s="624"/>
      <c r="Q47" s="624">
        <v>10</v>
      </c>
      <c r="R47" s="640">
        <f>(Q47*145)*5</f>
        <v>7250</v>
      </c>
      <c r="S47" s="184" t="s">
        <v>277</v>
      </c>
      <c r="T47" s="624">
        <v>2</v>
      </c>
      <c r="U47" s="624"/>
      <c r="V47" s="624">
        <v>10</v>
      </c>
      <c r="W47" s="640">
        <f>(V47*145)*5</f>
        <v>7250</v>
      </c>
    </row>
    <row r="48" spans="1:23" ht="60" customHeight="1" thickBot="1">
      <c r="A48" s="2138"/>
      <c r="B48" s="2148"/>
      <c r="C48" s="166" t="s">
        <v>39</v>
      </c>
      <c r="D48" s="165" t="s">
        <v>248</v>
      </c>
      <c r="E48" s="1237" t="s">
        <v>277</v>
      </c>
      <c r="F48" s="1782" t="s">
        <v>1262</v>
      </c>
      <c r="G48" s="1783"/>
      <c r="H48" s="1784"/>
      <c r="I48" s="184" t="s">
        <v>277</v>
      </c>
      <c r="J48" s="624">
        <v>2</v>
      </c>
      <c r="K48" s="624"/>
      <c r="L48" s="624">
        <v>15</v>
      </c>
      <c r="M48" s="640">
        <f>(L48*200)*5</f>
        <v>15000</v>
      </c>
      <c r="N48" s="184" t="s">
        <v>277</v>
      </c>
      <c r="O48" s="624">
        <v>2</v>
      </c>
      <c r="P48" s="624"/>
      <c r="Q48" s="624">
        <v>10</v>
      </c>
      <c r="R48" s="640">
        <f>(Q48*200)*5</f>
        <v>10000</v>
      </c>
      <c r="S48" s="184" t="s">
        <v>277</v>
      </c>
      <c r="T48" s="624">
        <v>2</v>
      </c>
      <c r="U48" s="624"/>
      <c r="V48" s="624">
        <v>10</v>
      </c>
      <c r="W48" s="640">
        <f>(V48*200)*5</f>
        <v>10000</v>
      </c>
    </row>
    <row r="49" spans="1:23" ht="85.5" customHeight="1" thickBot="1">
      <c r="A49" s="2149"/>
      <c r="B49" s="2141"/>
      <c r="C49" s="167" t="s">
        <v>40</v>
      </c>
      <c r="D49" s="165" t="s">
        <v>249</v>
      </c>
      <c r="E49" s="1237" t="s">
        <v>277</v>
      </c>
      <c r="F49" s="1782" t="s">
        <v>1263</v>
      </c>
      <c r="G49" s="1783"/>
      <c r="H49" s="1784"/>
      <c r="I49" s="184" t="s">
        <v>277</v>
      </c>
      <c r="J49" s="624">
        <v>2</v>
      </c>
      <c r="K49" s="624" t="s">
        <v>887</v>
      </c>
      <c r="L49" s="624">
        <v>10</v>
      </c>
      <c r="M49" s="640">
        <f>(L49*254)*5</f>
        <v>12700</v>
      </c>
      <c r="N49" s="184" t="s">
        <v>277</v>
      </c>
      <c r="O49" s="624">
        <v>2</v>
      </c>
      <c r="P49" s="624"/>
      <c r="Q49" s="624">
        <v>10</v>
      </c>
      <c r="R49" s="640">
        <f>(Q49*254)*5</f>
        <v>12700</v>
      </c>
      <c r="S49" s="184" t="s">
        <v>277</v>
      </c>
      <c r="T49" s="624">
        <v>2</v>
      </c>
      <c r="U49" s="624"/>
      <c r="V49" s="624">
        <v>10</v>
      </c>
      <c r="W49" s="640">
        <f>(V49*254)*5</f>
        <v>12700</v>
      </c>
    </row>
    <row r="50" spans="1:23" ht="76.5" customHeight="1" thickBot="1">
      <c r="A50" s="2150" t="s">
        <v>130</v>
      </c>
      <c r="B50" s="2151"/>
      <c r="C50" s="159" t="s">
        <v>131</v>
      </c>
      <c r="D50" s="160" t="s">
        <v>255</v>
      </c>
      <c r="E50" s="1233"/>
      <c r="F50" s="1920"/>
      <c r="G50" s="1921"/>
      <c r="H50" s="1922"/>
      <c r="I50" s="183"/>
      <c r="J50" s="624"/>
      <c r="K50" s="624"/>
      <c r="L50" s="624"/>
      <c r="M50" s="640"/>
      <c r="N50" s="183"/>
      <c r="O50" s="624"/>
      <c r="P50" s="624"/>
      <c r="Q50" s="624"/>
      <c r="R50" s="640"/>
      <c r="S50" s="183"/>
      <c r="T50" s="624"/>
      <c r="U50" s="624"/>
      <c r="V50" s="624"/>
      <c r="W50" s="640"/>
    </row>
    <row r="51" spans="1:23" ht="48" thickBot="1">
      <c r="A51" s="2149"/>
      <c r="B51" s="2152"/>
      <c r="C51" s="168" t="s">
        <v>132</v>
      </c>
      <c r="D51" s="160" t="s">
        <v>263</v>
      </c>
      <c r="E51" s="1233"/>
      <c r="F51" s="1920"/>
      <c r="G51" s="1921"/>
      <c r="H51" s="1922"/>
      <c r="I51" s="183"/>
      <c r="J51" s="624"/>
      <c r="K51" s="624"/>
      <c r="L51" s="624"/>
      <c r="M51" s="640"/>
      <c r="N51" s="183"/>
      <c r="O51" s="624"/>
      <c r="P51" s="624"/>
      <c r="Q51" s="624"/>
      <c r="R51" s="640"/>
      <c r="S51" s="183"/>
      <c r="T51" s="624"/>
      <c r="U51" s="624"/>
      <c r="V51" s="624"/>
      <c r="W51" s="640"/>
    </row>
    <row r="52" spans="1:23" ht="15" customHeight="1" thickBot="1">
      <c r="A52" s="2154" t="s">
        <v>42</v>
      </c>
      <c r="B52" s="2140"/>
      <c r="C52" s="169" t="s">
        <v>38</v>
      </c>
      <c r="D52" s="170" t="s">
        <v>239</v>
      </c>
      <c r="E52" s="1236" t="s">
        <v>277</v>
      </c>
      <c r="F52" s="1917" t="s">
        <v>518</v>
      </c>
      <c r="G52" s="1918"/>
      <c r="H52" s="1919"/>
      <c r="I52" s="183" t="s">
        <v>277</v>
      </c>
      <c r="J52" s="624">
        <v>2</v>
      </c>
      <c r="K52" s="624"/>
      <c r="L52" s="624">
        <v>500</v>
      </c>
      <c r="M52" s="640">
        <f>(L52*0.8)*5</f>
        <v>2000</v>
      </c>
      <c r="N52" s="183" t="s">
        <v>277</v>
      </c>
      <c r="O52" s="624">
        <v>1</v>
      </c>
      <c r="P52" s="624"/>
      <c r="Q52" s="624">
        <v>300</v>
      </c>
      <c r="R52" s="640">
        <f>(Q52*0.8)*5</f>
        <v>1200</v>
      </c>
      <c r="S52" s="183" t="s">
        <v>277</v>
      </c>
      <c r="T52" s="624">
        <v>1</v>
      </c>
      <c r="U52" s="624"/>
      <c r="V52" s="624">
        <v>300</v>
      </c>
      <c r="W52" s="640">
        <f>(V52*0.8)*5</f>
        <v>1200</v>
      </c>
    </row>
    <row r="53" spans="1:23" ht="15.75" customHeight="1" thickBot="1">
      <c r="A53" s="2148"/>
      <c r="B53" s="2148"/>
      <c r="C53" s="171" t="s">
        <v>55</v>
      </c>
      <c r="D53" s="170" t="s">
        <v>240</v>
      </c>
      <c r="E53" s="1236" t="s">
        <v>277</v>
      </c>
      <c r="F53" s="1920"/>
      <c r="G53" s="1921"/>
      <c r="H53" s="1922"/>
      <c r="I53" s="183" t="s">
        <v>277</v>
      </c>
      <c r="J53" s="624">
        <v>2</v>
      </c>
      <c r="K53" s="624"/>
      <c r="L53" s="624">
        <v>5</v>
      </c>
      <c r="M53" s="640">
        <f>(L53*62)*5</f>
        <v>1550</v>
      </c>
      <c r="N53" s="183" t="s">
        <v>277</v>
      </c>
      <c r="O53" s="624">
        <v>1</v>
      </c>
      <c r="P53" s="624"/>
      <c r="Q53" s="624">
        <v>2</v>
      </c>
      <c r="R53" s="640">
        <f>(Q53*62)*5</f>
        <v>620</v>
      </c>
      <c r="S53" s="183" t="s">
        <v>277</v>
      </c>
      <c r="T53" s="624">
        <v>1</v>
      </c>
      <c r="U53" s="624"/>
      <c r="V53" s="624">
        <v>2</v>
      </c>
      <c r="W53" s="640">
        <f>(V53*62)*5</f>
        <v>620</v>
      </c>
    </row>
    <row r="54" spans="1:23" ht="16.5" thickBot="1">
      <c r="A54" s="2148"/>
      <c r="B54" s="2148"/>
      <c r="C54" s="161" t="s">
        <v>48</v>
      </c>
      <c r="D54" s="172" t="s">
        <v>241</v>
      </c>
      <c r="E54" s="1239"/>
      <c r="F54" s="2260"/>
      <c r="G54" s="2261"/>
      <c r="H54" s="2262"/>
      <c r="I54" s="138"/>
      <c r="J54" s="624"/>
      <c r="K54" s="624"/>
      <c r="L54" s="624"/>
      <c r="M54" s="624"/>
      <c r="N54" s="138"/>
      <c r="O54" s="624"/>
      <c r="P54" s="624"/>
      <c r="Q54" s="624"/>
      <c r="R54" s="640"/>
      <c r="S54" s="138"/>
      <c r="T54" s="624"/>
      <c r="U54" s="624"/>
      <c r="V54" s="624"/>
      <c r="W54" s="625"/>
    </row>
    <row r="55" spans="1:23" ht="38.25" customHeight="1" thickBot="1">
      <c r="A55" s="2135" t="s">
        <v>500</v>
      </c>
      <c r="B55" s="2097"/>
      <c r="C55" s="173" t="s">
        <v>134</v>
      </c>
      <c r="D55" s="174" t="s">
        <v>269</v>
      </c>
      <c r="E55" s="1046"/>
      <c r="F55" s="2259" t="s">
        <v>501</v>
      </c>
      <c r="G55" s="2259"/>
      <c r="H55" s="2259"/>
      <c r="I55" s="1240"/>
      <c r="J55" s="627"/>
      <c r="K55" s="627"/>
      <c r="L55" s="627"/>
      <c r="M55" s="627"/>
      <c r="N55" s="175"/>
      <c r="O55" s="627"/>
      <c r="P55" s="627"/>
      <c r="Q55" s="627"/>
      <c r="R55" s="641"/>
      <c r="S55" s="175"/>
      <c r="T55" s="627"/>
      <c r="U55" s="627"/>
      <c r="V55" s="627"/>
      <c r="W55" s="628"/>
    </row>
    <row r="56" spans="1:23" ht="38.25" customHeight="1">
      <c r="E56" s="1231"/>
      <c r="F56" s="1933"/>
      <c r="G56" s="1933"/>
      <c r="H56" s="1933"/>
    </row>
    <row r="58" spans="1:23" ht="45">
      <c r="A58" s="630" t="s">
        <v>948</v>
      </c>
      <c r="B58" s="630" t="s">
        <v>949</v>
      </c>
      <c r="C58" s="630" t="s">
        <v>950</v>
      </c>
      <c r="D58" s="630" t="s">
        <v>951</v>
      </c>
      <c r="E58" s="630" t="s">
        <v>952</v>
      </c>
      <c r="F58" s="636" t="s">
        <v>975</v>
      </c>
    </row>
    <row r="59" spans="1:23" ht="90">
      <c r="A59" s="634" t="s">
        <v>953</v>
      </c>
      <c r="B59" s="624" t="s">
        <v>16</v>
      </c>
      <c r="C59" s="637" t="s">
        <v>976</v>
      </c>
      <c r="D59" s="624">
        <v>1</v>
      </c>
      <c r="E59" s="638" t="s">
        <v>977</v>
      </c>
      <c r="F59" s="639" t="s">
        <v>978</v>
      </c>
    </row>
    <row r="60" spans="1:23">
      <c r="A60" s="634" t="s">
        <v>956</v>
      </c>
      <c r="B60" s="624" t="s">
        <v>16</v>
      </c>
      <c r="C60" s="624">
        <v>1</v>
      </c>
      <c r="D60" s="624">
        <v>1</v>
      </c>
      <c r="E60" s="638" t="s">
        <v>979</v>
      </c>
      <c r="F60" s="571"/>
    </row>
    <row r="61" spans="1:23" ht="60">
      <c r="A61" s="634" t="s">
        <v>957</v>
      </c>
      <c r="B61" s="624" t="s">
        <v>16</v>
      </c>
      <c r="C61" s="624"/>
      <c r="D61" s="624">
        <v>0.5</v>
      </c>
      <c r="E61" s="638"/>
      <c r="F61" s="639" t="s">
        <v>980</v>
      </c>
    </row>
    <row r="62" spans="1:23">
      <c r="A62" s="634" t="s">
        <v>959</v>
      </c>
      <c r="B62" s="624" t="s">
        <v>16</v>
      </c>
      <c r="C62" s="624"/>
      <c r="D62" s="624">
        <v>1</v>
      </c>
      <c r="E62" s="638"/>
      <c r="F62" s="571"/>
    </row>
    <row r="63" spans="1:23">
      <c r="A63" s="634" t="s">
        <v>961</v>
      </c>
      <c r="B63" s="624" t="s">
        <v>16</v>
      </c>
      <c r="C63" s="624">
        <v>4</v>
      </c>
      <c r="D63" s="624">
        <f>C63*0.5</f>
        <v>2</v>
      </c>
      <c r="E63" s="638" t="s">
        <v>981</v>
      </c>
      <c r="F63" s="571"/>
    </row>
    <row r="64" spans="1:23">
      <c r="A64" s="634" t="s">
        <v>963</v>
      </c>
      <c r="B64" s="624" t="s">
        <v>16</v>
      </c>
      <c r="C64" s="624">
        <v>4</v>
      </c>
      <c r="D64" s="624">
        <f>C64*0.5</f>
        <v>2</v>
      </c>
      <c r="E64" s="638" t="s">
        <v>982</v>
      </c>
      <c r="F64" s="571"/>
    </row>
    <row r="65" spans="1:6">
      <c r="A65" s="634" t="s">
        <v>965</v>
      </c>
      <c r="B65" s="624" t="s">
        <v>16</v>
      </c>
      <c r="C65" s="624">
        <v>4</v>
      </c>
      <c r="D65" s="624">
        <v>1</v>
      </c>
      <c r="E65" s="638" t="s">
        <v>983</v>
      </c>
      <c r="F65" s="571"/>
    </row>
    <row r="66" spans="1:6">
      <c r="A66" s="634" t="s">
        <v>967</v>
      </c>
      <c r="B66" s="624" t="s">
        <v>52</v>
      </c>
      <c r="C66" s="624">
        <v>1</v>
      </c>
      <c r="D66" s="624">
        <v>2</v>
      </c>
      <c r="E66" s="638" t="s">
        <v>984</v>
      </c>
      <c r="F66" s="571"/>
    </row>
    <row r="67" spans="1:6">
      <c r="A67" s="634" t="s">
        <v>969</v>
      </c>
      <c r="B67" s="624" t="s">
        <v>16</v>
      </c>
      <c r="C67" s="624">
        <v>3</v>
      </c>
      <c r="D67" s="624">
        <v>1</v>
      </c>
      <c r="E67" s="638"/>
      <c r="F67" s="571"/>
    </row>
    <row r="68" spans="1:6" ht="75">
      <c r="A68" s="634" t="s">
        <v>971</v>
      </c>
      <c r="B68" s="624" t="s">
        <v>16</v>
      </c>
      <c r="C68" s="624">
        <v>8</v>
      </c>
      <c r="D68" s="624">
        <v>2</v>
      </c>
      <c r="E68" s="638"/>
      <c r="F68" s="639" t="s">
        <v>985</v>
      </c>
    </row>
    <row r="69" spans="1:6">
      <c r="A69" s="634" t="s">
        <v>986</v>
      </c>
      <c r="B69" s="624"/>
      <c r="C69" s="624"/>
      <c r="D69" s="624"/>
      <c r="E69" s="638"/>
      <c r="F69" s="571"/>
    </row>
    <row r="70" spans="1:6">
      <c r="A70" s="634"/>
      <c r="B70" s="624"/>
      <c r="C70" s="624"/>
      <c r="D70" s="624"/>
      <c r="E70" s="638"/>
      <c r="F70" s="571"/>
    </row>
    <row r="71" spans="1:6">
      <c r="A71" s="634"/>
      <c r="B71" s="624"/>
      <c r="C71" s="624"/>
      <c r="D71" s="624"/>
      <c r="E71" s="638"/>
      <c r="F71" s="571"/>
    </row>
    <row r="72" spans="1:6">
      <c r="A72" s="570"/>
      <c r="B72" s="570"/>
      <c r="C72" s="570"/>
      <c r="D72" s="570">
        <f>SUM(D59:D71)</f>
        <v>13.5</v>
      </c>
      <c r="E72" s="570"/>
      <c r="F72" s="570"/>
    </row>
    <row r="74" spans="1:6">
      <c r="A74" s="2266" t="s">
        <v>1270</v>
      </c>
      <c r="B74" s="2097"/>
      <c r="C74" s="2097"/>
      <c r="D74" s="2097"/>
      <c r="E74" s="2097"/>
      <c r="F74" s="2097"/>
    </row>
    <row r="75" spans="1:6" ht="75">
      <c r="A75" s="1253" t="s">
        <v>1271</v>
      </c>
      <c r="B75" s="1253" t="s">
        <v>1272</v>
      </c>
      <c r="C75" s="1253" t="s">
        <v>1273</v>
      </c>
      <c r="D75" s="1253" t="s">
        <v>1274</v>
      </c>
      <c r="E75" s="1253" t="s">
        <v>1275</v>
      </c>
      <c r="F75" s="1253" t="s">
        <v>1276</v>
      </c>
    </row>
    <row r="76" spans="1:6" ht="390">
      <c r="A76" s="1696" t="s">
        <v>1305</v>
      </c>
      <c r="B76" s="1697" t="s">
        <v>1306</v>
      </c>
      <c r="C76" s="1264" t="s">
        <v>1307</v>
      </c>
      <c r="D76" s="1264" t="s">
        <v>16</v>
      </c>
      <c r="E76" s="1265" t="s">
        <v>1308</v>
      </c>
      <c r="F76" s="1265" t="s">
        <v>1309</v>
      </c>
    </row>
  </sheetData>
  <mergeCells count="62">
    <mergeCell ref="A74:F74"/>
    <mergeCell ref="J10:J11"/>
    <mergeCell ref="C11:H11"/>
    <mergeCell ref="B2:D2"/>
    <mergeCell ref="B3:D3"/>
    <mergeCell ref="B4:D4"/>
    <mergeCell ref="B6:D6"/>
    <mergeCell ref="B8:D8"/>
    <mergeCell ref="A11:B11"/>
    <mergeCell ref="E13:H14"/>
    <mergeCell ref="F15:H15"/>
    <mergeCell ref="A15:B15"/>
    <mergeCell ref="A16:B18"/>
    <mergeCell ref="F16:H18"/>
    <mergeCell ref="A19:B21"/>
    <mergeCell ref="F19:H21"/>
    <mergeCell ref="A22:B23"/>
    <mergeCell ref="F22:H23"/>
    <mergeCell ref="A24:B26"/>
    <mergeCell ref="F24:H26"/>
    <mergeCell ref="A27:C27"/>
    <mergeCell ref="F27:H27"/>
    <mergeCell ref="A28:B30"/>
    <mergeCell ref="F28:H30"/>
    <mergeCell ref="A31:B33"/>
    <mergeCell ref="F31:H33"/>
    <mergeCell ref="A34:B34"/>
    <mergeCell ref="F34:H34"/>
    <mergeCell ref="A35:B35"/>
    <mergeCell ref="F35:H35"/>
    <mergeCell ref="A36:B37"/>
    <mergeCell ref="F36:H37"/>
    <mergeCell ref="A38:B40"/>
    <mergeCell ref="F38:H38"/>
    <mergeCell ref="F39:H39"/>
    <mergeCell ref="F40:H40"/>
    <mergeCell ref="A41:B43"/>
    <mergeCell ref="F41:H41"/>
    <mergeCell ref="F42:H42"/>
    <mergeCell ref="F43:H43"/>
    <mergeCell ref="F45:H45"/>
    <mergeCell ref="A46:B49"/>
    <mergeCell ref="F46:H46"/>
    <mergeCell ref="F47:H47"/>
    <mergeCell ref="F48:H48"/>
    <mergeCell ref="F49:H49"/>
    <mergeCell ref="F56:H56"/>
    <mergeCell ref="I14:M14"/>
    <mergeCell ref="N14:R14"/>
    <mergeCell ref="S14:W14"/>
    <mergeCell ref="A55:B55"/>
    <mergeCell ref="F55:H55"/>
    <mergeCell ref="A50:B51"/>
    <mergeCell ref="F50:H50"/>
    <mergeCell ref="F51:H51"/>
    <mergeCell ref="A52:B54"/>
    <mergeCell ref="F52:H52"/>
    <mergeCell ref="F53:H53"/>
    <mergeCell ref="F54:H54"/>
    <mergeCell ref="A44:C44"/>
    <mergeCell ref="F44:H44"/>
    <mergeCell ref="A45:C45"/>
  </mergeCells>
  <conditionalFormatting sqref="A75:F75">
    <cfRule type="notContainsBlanks" dxfId="3" priority="1">
      <formula>LEN(TRIM(A75))&gt;0</formula>
    </cfRule>
  </conditionalFormatting>
  <dataValidations count="3">
    <dataValidation type="list" allowBlank="1" showErrorMessage="1" sqref="H8:H10">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3" location="SOMMAIRE!A1" display="Retour sommaire"/>
    <hyperlink ref="J5" location="SYNTHESE!A1" display="Retour synthèse"/>
  </hyperlinks>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W70"/>
  <sheetViews>
    <sheetView zoomScale="110" zoomScaleNormal="110" workbookViewId="0">
      <selection activeCell="D43" sqref="D43"/>
    </sheetView>
  </sheetViews>
  <sheetFormatPr baseColWidth="10" defaultRowHeight="15"/>
  <cols>
    <col min="1" max="1" width="20.42578125" style="1" bestFit="1" customWidth="1"/>
    <col min="2" max="2" width="15.7109375" style="1" customWidth="1"/>
    <col min="3" max="3" width="39.5703125" style="1" bestFit="1" customWidth="1"/>
    <col min="4" max="4" width="9.140625" style="1" customWidth="1"/>
    <col min="5" max="5" width="7.5703125" style="1" customWidth="1"/>
    <col min="6" max="6" width="16.28515625" style="1" bestFit="1" customWidth="1"/>
    <col min="7" max="7" width="23" style="1" customWidth="1"/>
    <col min="8" max="8" width="23.140625" bestFit="1" customWidth="1"/>
    <col min="9" max="9" width="5.7109375" customWidth="1"/>
    <col min="10" max="10" width="18.140625" bestFit="1" customWidth="1"/>
  </cols>
  <sheetData>
    <row r="1" spans="1:23" ht="15.75" thickBot="1">
      <c r="A1" s="327"/>
      <c r="B1" s="327"/>
      <c r="C1" s="327"/>
      <c r="D1" s="327"/>
      <c r="E1" s="327"/>
      <c r="F1" s="327"/>
      <c r="G1" s="327"/>
      <c r="H1" s="327"/>
    </row>
    <row r="2" spans="1:23" ht="15.75" thickBot="1">
      <c r="A2" s="109" t="s">
        <v>0</v>
      </c>
      <c r="B2" s="2029" t="s">
        <v>653</v>
      </c>
      <c r="C2" s="2144"/>
      <c r="D2" s="2145"/>
      <c r="E2" s="110"/>
      <c r="F2" s="110"/>
      <c r="G2" s="111" t="s">
        <v>462</v>
      </c>
      <c r="H2" s="112" t="s">
        <v>14</v>
      </c>
    </row>
    <row r="3" spans="1:23" ht="15.75" thickBot="1">
      <c r="A3" s="113" t="s">
        <v>344</v>
      </c>
      <c r="B3" s="2029" t="s">
        <v>654</v>
      </c>
      <c r="C3" s="2175"/>
      <c r="D3" s="2176"/>
      <c r="E3" s="110"/>
      <c r="F3" s="110"/>
      <c r="G3" s="114" t="s">
        <v>10</v>
      </c>
      <c r="H3" s="112" t="s">
        <v>16</v>
      </c>
      <c r="J3" s="13" t="s">
        <v>73</v>
      </c>
    </row>
    <row r="4" spans="1:23" ht="15.75" customHeight="1" thickBot="1">
      <c r="A4" s="114" t="s">
        <v>3</v>
      </c>
      <c r="B4" s="1823" t="s">
        <v>655</v>
      </c>
      <c r="C4" s="2144"/>
      <c r="D4" s="2145"/>
      <c r="E4" s="115"/>
      <c r="F4" s="110"/>
      <c r="G4" s="116" t="s">
        <v>26</v>
      </c>
      <c r="H4" s="117">
        <v>8</v>
      </c>
      <c r="J4" s="13"/>
    </row>
    <row r="5" spans="1:23" ht="15.75" thickBot="1">
      <c r="A5" s="110"/>
      <c r="B5" s="110"/>
      <c r="C5" s="110"/>
      <c r="D5" s="110"/>
      <c r="E5" s="110"/>
      <c r="F5" s="110"/>
      <c r="G5" s="110"/>
      <c r="H5" s="110"/>
      <c r="J5" s="13" t="s">
        <v>381</v>
      </c>
    </row>
    <row r="6" spans="1:23" ht="240.75" customHeight="1" thickBot="1">
      <c r="A6" s="109" t="s">
        <v>465</v>
      </c>
      <c r="B6" s="1810" t="s">
        <v>1578</v>
      </c>
      <c r="C6" s="2103"/>
      <c r="D6" s="2104"/>
      <c r="E6" s="110"/>
      <c r="F6" s="110"/>
      <c r="G6" s="118" t="s">
        <v>466</v>
      </c>
      <c r="H6" s="178" t="s">
        <v>656</v>
      </c>
    </row>
    <row r="7" spans="1:23" ht="15.75" thickBot="1">
      <c r="A7" s="327"/>
      <c r="B7" s="110"/>
      <c r="C7" s="110"/>
      <c r="D7" s="110"/>
      <c r="E7" s="110"/>
      <c r="F7" s="110"/>
      <c r="G7" s="120"/>
      <c r="H7" s="110"/>
    </row>
    <row r="8" spans="1:23" ht="30.75" customHeight="1" thickBot="1">
      <c r="A8" s="121" t="s">
        <v>7</v>
      </c>
      <c r="B8" s="1823" t="s">
        <v>657</v>
      </c>
      <c r="C8" s="2144"/>
      <c r="D8" s="2145"/>
      <c r="E8" s="115"/>
      <c r="F8" s="122"/>
      <c r="G8" s="121" t="s">
        <v>469</v>
      </c>
      <c r="H8" s="123" t="s">
        <v>470</v>
      </c>
    </row>
    <row r="9" spans="1:23">
      <c r="A9" s="327"/>
      <c r="B9" s="110"/>
      <c r="C9" s="110"/>
      <c r="D9" s="110"/>
      <c r="E9" s="110"/>
      <c r="F9" s="110"/>
      <c r="G9" s="120"/>
      <c r="H9" s="110"/>
    </row>
    <row r="10" spans="1:23" ht="63.75" customHeight="1">
      <c r="A10" s="2174" t="s">
        <v>471</v>
      </c>
      <c r="B10" s="2148"/>
      <c r="C10" s="1805" t="s">
        <v>658</v>
      </c>
      <c r="D10" s="1805"/>
      <c r="E10" s="1805"/>
      <c r="F10" s="1805"/>
      <c r="G10" s="1805"/>
      <c r="H10" s="1805"/>
      <c r="J10" s="1821"/>
    </row>
    <row r="11" spans="1:23">
      <c r="A11" s="126"/>
      <c r="B11" s="115"/>
      <c r="C11" s="115"/>
      <c r="D11" s="115"/>
      <c r="E11" s="115"/>
      <c r="F11" s="122"/>
      <c r="G11" s="125"/>
      <c r="H11" s="125"/>
      <c r="J11" s="1821"/>
    </row>
    <row r="12" spans="1:23" ht="15" customHeight="1">
      <c r="A12" s="126"/>
      <c r="B12" s="115"/>
      <c r="C12" s="115"/>
      <c r="D12" s="115"/>
      <c r="E12" s="2181" t="s">
        <v>473</v>
      </c>
      <c r="F12" s="2148"/>
      <c r="G12" s="2148"/>
      <c r="H12" s="2148"/>
    </row>
    <row r="13" spans="1:23" ht="38.25" customHeight="1">
      <c r="A13" s="110"/>
      <c r="B13" s="110"/>
      <c r="C13" s="110"/>
      <c r="D13" s="110"/>
      <c r="E13" s="2141"/>
      <c r="F13" s="2141"/>
      <c r="G13" s="2141"/>
      <c r="H13" s="2141"/>
      <c r="I13" s="2186">
        <v>2025</v>
      </c>
      <c r="J13" s="2097"/>
      <c r="K13" s="2097"/>
      <c r="L13" s="2097"/>
      <c r="M13" s="2098"/>
      <c r="N13" s="2186">
        <v>2026</v>
      </c>
      <c r="O13" s="2097"/>
      <c r="P13" s="2097"/>
      <c r="Q13" s="2097"/>
      <c r="R13" s="2098"/>
      <c r="S13" s="2186">
        <v>2027</v>
      </c>
      <c r="T13" s="2097"/>
      <c r="U13" s="2097"/>
      <c r="V13" s="2097"/>
      <c r="W13" s="2098"/>
    </row>
    <row r="14" spans="1:23" ht="30" customHeight="1" thickBot="1">
      <c r="A14" s="2184" t="s">
        <v>5</v>
      </c>
      <c r="B14" s="2137"/>
      <c r="C14" s="128" t="s">
        <v>1</v>
      </c>
      <c r="D14" s="128" t="s">
        <v>260</v>
      </c>
      <c r="E14" s="129" t="s">
        <v>474</v>
      </c>
      <c r="F14" s="2182" t="s">
        <v>6</v>
      </c>
      <c r="G14" s="2097"/>
      <c r="H14" s="2098"/>
      <c r="I14" s="615" t="s">
        <v>474</v>
      </c>
      <c r="J14" s="616" t="s">
        <v>944</v>
      </c>
      <c r="K14" s="617" t="s">
        <v>945</v>
      </c>
      <c r="L14" s="616" t="s">
        <v>946</v>
      </c>
      <c r="M14" s="618" t="s">
        <v>947</v>
      </c>
      <c r="N14" s="615" t="s">
        <v>474</v>
      </c>
      <c r="O14" s="616" t="s">
        <v>944</v>
      </c>
      <c r="P14" s="617" t="s">
        <v>945</v>
      </c>
      <c r="Q14" s="616" t="s">
        <v>946</v>
      </c>
      <c r="R14" s="618" t="s">
        <v>947</v>
      </c>
      <c r="S14" s="615" t="s">
        <v>474</v>
      </c>
      <c r="T14" s="616" t="s">
        <v>944</v>
      </c>
      <c r="U14" s="617" t="s">
        <v>945</v>
      </c>
      <c r="V14" s="616" t="s">
        <v>946</v>
      </c>
      <c r="W14" s="618" t="s">
        <v>947</v>
      </c>
    </row>
    <row r="15" spans="1:23" ht="30" customHeight="1">
      <c r="A15" s="2183" t="s">
        <v>17</v>
      </c>
      <c r="B15" s="2140"/>
      <c r="C15" s="130" t="s">
        <v>59</v>
      </c>
      <c r="D15" s="131" t="s">
        <v>251</v>
      </c>
      <c r="E15" s="132"/>
      <c r="F15" s="1828" t="s">
        <v>475</v>
      </c>
      <c r="G15" s="2140"/>
      <c r="H15" s="2137"/>
      <c r="I15" s="722"/>
      <c r="J15" s="620"/>
      <c r="K15" s="620"/>
      <c r="L15" s="620"/>
      <c r="M15" s="621"/>
      <c r="N15" s="619"/>
      <c r="O15" s="620"/>
      <c r="P15" s="620"/>
      <c r="Q15" s="620"/>
      <c r="R15" s="621"/>
      <c r="S15" s="619"/>
      <c r="T15" s="620"/>
      <c r="U15" s="620"/>
      <c r="V15" s="620"/>
      <c r="W15" s="622"/>
    </row>
    <row r="16" spans="1:23" ht="15" customHeight="1">
      <c r="A16" s="2148"/>
      <c r="B16" s="2148"/>
      <c r="C16" s="133" t="s">
        <v>18</v>
      </c>
      <c r="D16" s="134" t="s">
        <v>168</v>
      </c>
      <c r="E16" s="135"/>
      <c r="F16" s="1798"/>
      <c r="G16" s="1798"/>
      <c r="H16" s="2139"/>
      <c r="I16" s="723"/>
      <c r="J16" s="624"/>
      <c r="K16" s="624"/>
      <c r="L16" s="624"/>
      <c r="M16" s="624"/>
      <c r="N16" s="623"/>
      <c r="O16" s="624"/>
      <c r="P16" s="624"/>
      <c r="Q16" s="624"/>
      <c r="R16" s="624"/>
      <c r="S16" s="623"/>
      <c r="T16" s="624"/>
      <c r="U16" s="624"/>
      <c r="V16" s="624"/>
      <c r="W16" s="625"/>
    </row>
    <row r="17" spans="1:23" ht="45" customHeight="1" thickBot="1">
      <c r="A17" s="2141"/>
      <c r="B17" s="2141"/>
      <c r="C17" s="136" t="s">
        <v>19</v>
      </c>
      <c r="D17" s="137" t="s">
        <v>233</v>
      </c>
      <c r="E17" s="138"/>
      <c r="F17" s="2141"/>
      <c r="G17" s="2141"/>
      <c r="H17" s="2142"/>
      <c r="I17" s="704"/>
      <c r="J17" s="624"/>
      <c r="K17" s="624"/>
      <c r="L17" s="624"/>
      <c r="M17" s="624"/>
      <c r="N17" s="326"/>
      <c r="O17" s="624"/>
      <c r="P17" s="624"/>
      <c r="Q17" s="624"/>
      <c r="R17" s="624"/>
      <c r="S17" s="326"/>
      <c r="T17" s="624"/>
      <c r="U17" s="624"/>
      <c r="V17" s="624"/>
      <c r="W17" s="625"/>
    </row>
    <row r="18" spans="1:23" ht="15" customHeight="1">
      <c r="A18" s="2183" t="s">
        <v>20</v>
      </c>
      <c r="B18" s="2140"/>
      <c r="C18" s="130" t="s">
        <v>54</v>
      </c>
      <c r="D18" s="137" t="s">
        <v>261</v>
      </c>
      <c r="E18" s="138"/>
      <c r="F18" s="1828" t="s">
        <v>475</v>
      </c>
      <c r="G18" s="2140"/>
      <c r="H18" s="2137"/>
      <c r="I18" s="704"/>
      <c r="J18" s="624"/>
      <c r="K18" s="624"/>
      <c r="L18" s="624"/>
      <c r="M18" s="624"/>
      <c r="N18" s="326"/>
      <c r="O18" s="624"/>
      <c r="P18" s="624"/>
      <c r="Q18" s="624"/>
      <c r="R18" s="624"/>
      <c r="S18" s="326"/>
      <c r="T18" s="624"/>
      <c r="U18" s="624"/>
      <c r="V18" s="624"/>
      <c r="W18" s="625"/>
    </row>
    <row r="19" spans="1:23" ht="32.25" customHeight="1">
      <c r="A19" s="2148"/>
      <c r="B19" s="2148"/>
      <c r="C19" s="139" t="s">
        <v>21</v>
      </c>
      <c r="D19" s="137" t="s">
        <v>234</v>
      </c>
      <c r="E19" s="138"/>
      <c r="F19" s="1798"/>
      <c r="G19" s="1798"/>
      <c r="H19" s="2139"/>
      <c r="I19" s="704"/>
      <c r="J19" s="624"/>
      <c r="K19" s="624"/>
      <c r="L19" s="624"/>
      <c r="M19" s="624"/>
      <c r="N19" s="326"/>
      <c r="O19" s="624"/>
      <c r="P19" s="624"/>
      <c r="Q19" s="624"/>
      <c r="R19" s="624"/>
      <c r="S19" s="326"/>
      <c r="T19" s="624"/>
      <c r="U19" s="624"/>
      <c r="V19" s="624"/>
      <c r="W19" s="625"/>
    </row>
    <row r="20" spans="1:23" ht="15" customHeight="1" thickBot="1">
      <c r="A20" s="2148"/>
      <c r="B20" s="2148"/>
      <c r="C20" s="136" t="s">
        <v>22</v>
      </c>
      <c r="D20" s="137" t="s">
        <v>235</v>
      </c>
      <c r="E20" s="138"/>
      <c r="F20" s="2141"/>
      <c r="G20" s="2141"/>
      <c r="H20" s="2142"/>
      <c r="I20" s="704"/>
      <c r="J20" s="624"/>
      <c r="K20" s="624"/>
      <c r="L20" s="624"/>
      <c r="M20" s="624"/>
      <c r="N20" s="326"/>
      <c r="O20" s="624"/>
      <c r="P20" s="624"/>
      <c r="Q20" s="624"/>
      <c r="R20" s="624"/>
      <c r="S20" s="326"/>
      <c r="T20" s="624"/>
      <c r="U20" s="624"/>
      <c r="V20" s="624"/>
      <c r="W20" s="625"/>
    </row>
    <row r="21" spans="1:23" ht="15" customHeight="1">
      <c r="A21" s="2183" t="s">
        <v>23</v>
      </c>
      <c r="B21" s="2140"/>
      <c r="C21" s="140" t="s">
        <v>69</v>
      </c>
      <c r="D21" s="137" t="s">
        <v>267</v>
      </c>
      <c r="E21" s="138"/>
      <c r="F21" s="1828" t="s">
        <v>477</v>
      </c>
      <c r="G21" s="2140"/>
      <c r="H21" s="2137"/>
      <c r="I21" s="704"/>
      <c r="J21" s="624"/>
      <c r="K21" s="624"/>
      <c r="L21" s="624"/>
      <c r="M21" s="624"/>
      <c r="N21" s="326"/>
      <c r="O21" s="624"/>
      <c r="P21" s="624"/>
      <c r="Q21" s="624"/>
      <c r="R21" s="624"/>
      <c r="S21" s="326"/>
      <c r="T21" s="624"/>
      <c r="U21" s="624"/>
      <c r="V21" s="624"/>
      <c r="W21" s="625"/>
    </row>
    <row r="22" spans="1:23" ht="30" customHeight="1" thickBot="1">
      <c r="A22" s="2141"/>
      <c r="B22" s="2141"/>
      <c r="C22" s="141" t="s">
        <v>24</v>
      </c>
      <c r="D22" s="142" t="s">
        <v>236</v>
      </c>
      <c r="E22" s="138"/>
      <c r="F22" s="2141"/>
      <c r="G22" s="2141"/>
      <c r="H22" s="2142"/>
      <c r="I22" s="704"/>
      <c r="J22" s="624"/>
      <c r="K22" s="624"/>
      <c r="L22" s="624"/>
      <c r="M22" s="624"/>
      <c r="N22" s="326"/>
      <c r="O22" s="624"/>
      <c r="P22" s="624"/>
      <c r="Q22" s="624"/>
      <c r="R22" s="624"/>
      <c r="S22" s="326"/>
      <c r="T22" s="624"/>
      <c r="U22" s="624"/>
      <c r="V22" s="624"/>
      <c r="W22" s="625"/>
    </row>
    <row r="23" spans="1:23" ht="30" customHeight="1">
      <c r="A23" s="2136" t="s">
        <v>478</v>
      </c>
      <c r="B23" s="2137"/>
      <c r="C23" s="143" t="s">
        <v>360</v>
      </c>
      <c r="D23" s="142" t="s">
        <v>265</v>
      </c>
      <c r="E23" s="138"/>
      <c r="F23" s="1828" t="s">
        <v>477</v>
      </c>
      <c r="G23" s="2140"/>
      <c r="H23" s="2137"/>
      <c r="I23" s="704"/>
      <c r="J23" s="624"/>
      <c r="K23" s="624"/>
      <c r="L23" s="624"/>
      <c r="M23" s="624"/>
      <c r="N23" s="326"/>
      <c r="O23" s="624"/>
      <c r="P23" s="624"/>
      <c r="Q23" s="624"/>
      <c r="R23" s="624"/>
      <c r="S23" s="326"/>
      <c r="T23" s="624"/>
      <c r="U23" s="624"/>
      <c r="V23" s="624"/>
      <c r="W23" s="625"/>
    </row>
    <row r="24" spans="1:23" ht="15.75">
      <c r="A24" s="2138"/>
      <c r="B24" s="2139"/>
      <c r="C24" s="144" t="s">
        <v>361</v>
      </c>
      <c r="D24" s="142" t="s">
        <v>362</v>
      </c>
      <c r="E24" s="138"/>
      <c r="F24" s="1798"/>
      <c r="G24" s="1798"/>
      <c r="H24" s="2139"/>
      <c r="I24" s="704"/>
      <c r="J24" s="624"/>
      <c r="K24" s="624"/>
      <c r="L24" s="624"/>
      <c r="M24" s="624"/>
      <c r="N24" s="326"/>
      <c r="O24" s="624"/>
      <c r="P24" s="624"/>
      <c r="Q24" s="624"/>
      <c r="R24" s="624"/>
      <c r="S24" s="326"/>
      <c r="T24" s="624"/>
      <c r="U24" s="624"/>
      <c r="V24" s="624"/>
      <c r="W24" s="625"/>
    </row>
    <row r="25" spans="1:23" ht="16.5" thickBot="1">
      <c r="A25" s="2138"/>
      <c r="B25" s="2139"/>
      <c r="C25" s="145" t="s">
        <v>479</v>
      </c>
      <c r="D25" s="142" t="s">
        <v>480</v>
      </c>
      <c r="E25" s="138"/>
      <c r="F25" s="2141"/>
      <c r="G25" s="2141"/>
      <c r="H25" s="2142"/>
      <c r="I25" s="704"/>
      <c r="J25" s="624"/>
      <c r="K25" s="624"/>
      <c r="L25" s="624"/>
      <c r="M25" s="624"/>
      <c r="N25" s="326"/>
      <c r="O25" s="624"/>
      <c r="P25" s="624"/>
      <c r="Q25" s="624"/>
      <c r="R25" s="624"/>
      <c r="S25" s="326"/>
      <c r="T25" s="624"/>
      <c r="U25" s="624"/>
      <c r="V25" s="624"/>
      <c r="W25" s="625"/>
    </row>
    <row r="26" spans="1:23" ht="15.75" customHeight="1" thickBot="1">
      <c r="A26" s="2143" t="s">
        <v>25</v>
      </c>
      <c r="B26" s="2144"/>
      <c r="C26" s="2145"/>
      <c r="D26" s="146" t="s">
        <v>270</v>
      </c>
      <c r="E26" s="138"/>
      <c r="F26" s="1818" t="s">
        <v>481</v>
      </c>
      <c r="G26" s="2097"/>
      <c r="H26" s="2098"/>
      <c r="I26" s="704"/>
      <c r="J26" s="624"/>
      <c r="K26" s="624"/>
      <c r="L26" s="624"/>
      <c r="M26" s="624"/>
      <c r="N26" s="326"/>
      <c r="O26" s="624"/>
      <c r="P26" s="624"/>
      <c r="Q26" s="624"/>
      <c r="R26" s="624"/>
      <c r="S26" s="326"/>
      <c r="T26" s="624"/>
      <c r="U26" s="624"/>
      <c r="V26" s="624"/>
      <c r="W26" s="625"/>
    </row>
    <row r="27" spans="1:23" ht="15.75" customHeight="1">
      <c r="A27" s="2157" t="s">
        <v>153</v>
      </c>
      <c r="B27" s="2158"/>
      <c r="C27" s="147" t="s">
        <v>152</v>
      </c>
      <c r="D27" s="148" t="s">
        <v>268</v>
      </c>
      <c r="E27" s="138"/>
      <c r="F27" s="1828" t="s">
        <v>475</v>
      </c>
      <c r="G27" s="2140"/>
      <c r="H27" s="2137"/>
      <c r="I27" s="704"/>
      <c r="J27" s="624"/>
      <c r="K27" s="624"/>
      <c r="L27" s="624"/>
      <c r="M27" s="624"/>
      <c r="N27" s="326"/>
      <c r="O27" s="624"/>
      <c r="P27" s="624"/>
      <c r="Q27" s="624"/>
      <c r="R27" s="624"/>
      <c r="S27" s="326"/>
      <c r="T27" s="624"/>
      <c r="U27" s="624"/>
      <c r="V27" s="624"/>
      <c r="W27" s="625"/>
    </row>
    <row r="28" spans="1:23" ht="15.75">
      <c r="A28" s="2138"/>
      <c r="B28" s="2158"/>
      <c r="C28" s="149" t="s">
        <v>154</v>
      </c>
      <c r="D28" s="148" t="s">
        <v>392</v>
      </c>
      <c r="E28" s="138"/>
      <c r="F28" s="1798"/>
      <c r="G28" s="1798"/>
      <c r="H28" s="2139"/>
      <c r="I28" s="704"/>
      <c r="J28" s="624"/>
      <c r="K28" s="624"/>
      <c r="L28" s="624"/>
      <c r="M28" s="624"/>
      <c r="N28" s="326"/>
      <c r="O28" s="624"/>
      <c r="P28" s="624"/>
      <c r="Q28" s="624"/>
      <c r="R28" s="624"/>
      <c r="S28" s="326"/>
      <c r="T28" s="624"/>
      <c r="U28" s="624"/>
      <c r="V28" s="624"/>
      <c r="W28" s="625"/>
    </row>
    <row r="29" spans="1:23" ht="16.5" thickBot="1">
      <c r="A29" s="2149"/>
      <c r="B29" s="2152"/>
      <c r="C29" s="150" t="s">
        <v>400</v>
      </c>
      <c r="D29" s="148" t="s">
        <v>393</v>
      </c>
      <c r="E29" s="138"/>
      <c r="F29" s="2141"/>
      <c r="G29" s="2141"/>
      <c r="H29" s="2142"/>
      <c r="I29" s="704"/>
      <c r="J29" s="624"/>
      <c r="K29" s="624"/>
      <c r="L29" s="624"/>
      <c r="M29" s="624"/>
      <c r="N29" s="326"/>
      <c r="O29" s="624"/>
      <c r="P29" s="624"/>
      <c r="Q29" s="624"/>
      <c r="R29" s="624"/>
      <c r="S29" s="326"/>
      <c r="T29" s="624"/>
      <c r="U29" s="624"/>
      <c r="V29" s="624"/>
      <c r="W29" s="625"/>
    </row>
    <row r="30" spans="1:23" ht="15.75" customHeight="1">
      <c r="A30" s="2159" t="s">
        <v>153</v>
      </c>
      <c r="B30" s="2151"/>
      <c r="C30" s="151" t="s">
        <v>155</v>
      </c>
      <c r="D30" s="148" t="s">
        <v>266</v>
      </c>
      <c r="E30" s="138"/>
      <c r="F30" s="1828" t="s">
        <v>475</v>
      </c>
      <c r="G30" s="2140"/>
      <c r="H30" s="2137"/>
      <c r="I30" s="704"/>
      <c r="J30" s="624"/>
      <c r="K30" s="624"/>
      <c r="L30" s="624"/>
      <c r="M30" s="624"/>
      <c r="N30" s="326"/>
      <c r="O30" s="624"/>
      <c r="P30" s="624"/>
      <c r="Q30" s="624"/>
      <c r="R30" s="624"/>
      <c r="S30" s="326"/>
      <c r="T30" s="624"/>
      <c r="U30" s="624"/>
      <c r="V30" s="624"/>
      <c r="W30" s="625"/>
    </row>
    <row r="31" spans="1:23" ht="15.75">
      <c r="A31" s="2138"/>
      <c r="B31" s="2158"/>
      <c r="C31" s="149" t="s">
        <v>156</v>
      </c>
      <c r="D31" s="148" t="s">
        <v>394</v>
      </c>
      <c r="E31" s="138"/>
      <c r="F31" s="1798"/>
      <c r="G31" s="1798"/>
      <c r="H31" s="2139"/>
      <c r="I31" s="704"/>
      <c r="J31" s="624"/>
      <c r="K31" s="624"/>
      <c r="L31" s="624"/>
      <c r="M31" s="624"/>
      <c r="N31" s="326"/>
      <c r="O31" s="624"/>
      <c r="P31" s="624"/>
      <c r="Q31" s="624"/>
      <c r="R31" s="624"/>
      <c r="S31" s="326"/>
      <c r="T31" s="624"/>
      <c r="U31" s="624"/>
      <c r="V31" s="624"/>
      <c r="W31" s="625"/>
    </row>
    <row r="32" spans="1:23" ht="16.5" thickBot="1">
      <c r="A32" s="2149"/>
      <c r="B32" s="2152"/>
      <c r="C32" s="150" t="s">
        <v>399</v>
      </c>
      <c r="D32" s="148" t="s">
        <v>395</v>
      </c>
      <c r="E32" s="138"/>
      <c r="F32" s="2141"/>
      <c r="G32" s="2141"/>
      <c r="H32" s="2142"/>
      <c r="I32" s="704"/>
      <c r="J32" s="624"/>
      <c r="K32" s="624"/>
      <c r="L32" s="624"/>
      <c r="M32" s="624"/>
      <c r="N32" s="326"/>
      <c r="O32" s="624"/>
      <c r="P32" s="624"/>
      <c r="Q32" s="624"/>
      <c r="R32" s="624"/>
      <c r="S32" s="326"/>
      <c r="T32" s="624"/>
      <c r="U32" s="624"/>
      <c r="V32" s="624"/>
      <c r="W32" s="625"/>
    </row>
    <row r="33" spans="1:23" ht="16.5" customHeight="1" thickBot="1">
      <c r="A33" s="2159" t="s">
        <v>482</v>
      </c>
      <c r="B33" s="2151"/>
      <c r="C33" s="151" t="s">
        <v>365</v>
      </c>
      <c r="D33" s="148" t="s">
        <v>252</v>
      </c>
      <c r="E33" s="138"/>
      <c r="F33" s="1828" t="s">
        <v>483</v>
      </c>
      <c r="G33" s="2140"/>
      <c r="H33" s="2137"/>
      <c r="I33" s="704"/>
      <c r="J33" s="624"/>
      <c r="K33" s="624"/>
      <c r="L33" s="624"/>
      <c r="M33" s="624"/>
      <c r="N33" s="326"/>
      <c r="O33" s="624"/>
      <c r="P33" s="624"/>
      <c r="Q33" s="624"/>
      <c r="R33" s="624"/>
      <c r="S33" s="326"/>
      <c r="T33" s="624"/>
      <c r="U33" s="624"/>
      <c r="V33" s="624"/>
      <c r="W33" s="625"/>
    </row>
    <row r="34" spans="1:23" ht="16.5" customHeight="1" thickBot="1">
      <c r="A34" s="2159" t="s">
        <v>484</v>
      </c>
      <c r="B34" s="2151"/>
      <c r="C34" s="151" t="s">
        <v>485</v>
      </c>
      <c r="D34" s="148" t="s">
        <v>264</v>
      </c>
      <c r="E34" s="138"/>
      <c r="F34" s="2160"/>
      <c r="G34" s="2140"/>
      <c r="H34" s="2137"/>
      <c r="I34" s="704"/>
      <c r="J34" s="624"/>
      <c r="K34" s="624"/>
      <c r="L34" s="624"/>
      <c r="M34" s="624"/>
      <c r="N34" s="326"/>
      <c r="O34" s="624"/>
      <c r="P34" s="624"/>
      <c r="Q34" s="624"/>
      <c r="R34" s="624"/>
      <c r="S34" s="326"/>
      <c r="T34" s="624"/>
      <c r="U34" s="624"/>
      <c r="V34" s="624"/>
      <c r="W34" s="625"/>
    </row>
    <row r="35" spans="1:23" ht="15.75" customHeight="1">
      <c r="A35" s="2161" t="s">
        <v>486</v>
      </c>
      <c r="B35" s="2151"/>
      <c r="C35" s="152" t="s">
        <v>43</v>
      </c>
      <c r="D35" s="153" t="s">
        <v>256</v>
      </c>
      <c r="E35" s="138"/>
      <c r="F35" s="1828" t="s">
        <v>487</v>
      </c>
      <c r="G35" s="2140"/>
      <c r="H35" s="2137"/>
      <c r="I35" s="704"/>
      <c r="J35" s="624"/>
      <c r="K35" s="624"/>
      <c r="L35" s="624"/>
      <c r="M35" s="624"/>
      <c r="N35" s="326"/>
      <c r="O35" s="624"/>
      <c r="P35" s="624"/>
      <c r="Q35" s="624"/>
      <c r="R35" s="624"/>
      <c r="S35" s="326"/>
      <c r="T35" s="624"/>
      <c r="U35" s="624"/>
      <c r="V35" s="624"/>
      <c r="W35" s="625"/>
    </row>
    <row r="36" spans="1:23" ht="16.5" thickBot="1">
      <c r="A36" s="2149"/>
      <c r="B36" s="2152"/>
      <c r="C36" s="154" t="s">
        <v>60</v>
      </c>
      <c r="D36" s="153" t="s">
        <v>257</v>
      </c>
      <c r="E36" s="138"/>
      <c r="F36" s="2141"/>
      <c r="G36" s="2141"/>
      <c r="H36" s="2142"/>
      <c r="I36" s="704"/>
      <c r="J36" s="624"/>
      <c r="K36" s="624"/>
      <c r="L36" s="624"/>
      <c r="M36" s="624"/>
      <c r="N36" s="326"/>
      <c r="O36" s="624"/>
      <c r="P36" s="624"/>
      <c r="Q36" s="624"/>
      <c r="R36" s="624"/>
      <c r="S36" s="326"/>
      <c r="T36" s="624"/>
      <c r="U36" s="624"/>
      <c r="V36" s="624"/>
      <c r="W36" s="625"/>
    </row>
    <row r="37" spans="1:23" ht="30" customHeight="1">
      <c r="A37" s="2165" t="s">
        <v>33</v>
      </c>
      <c r="B37" s="2140"/>
      <c r="C37" s="155" t="s">
        <v>30</v>
      </c>
      <c r="D37" s="156" t="s">
        <v>170</v>
      </c>
      <c r="E37" s="138"/>
      <c r="F37" s="1820" t="s">
        <v>510</v>
      </c>
      <c r="G37" s="2140"/>
      <c r="H37" s="2137"/>
      <c r="I37" s="704"/>
      <c r="J37" s="624"/>
      <c r="K37" s="624"/>
      <c r="L37" s="624"/>
      <c r="M37" s="624"/>
      <c r="N37" s="326"/>
      <c r="O37" s="624"/>
      <c r="P37" s="624"/>
      <c r="Q37" s="624"/>
      <c r="R37" s="624"/>
      <c r="S37" s="326"/>
      <c r="T37" s="624"/>
      <c r="U37" s="624"/>
      <c r="V37" s="624"/>
      <c r="W37" s="625"/>
    </row>
    <row r="38" spans="1:23" ht="30">
      <c r="A38" s="2138"/>
      <c r="B38" s="2148"/>
      <c r="C38" s="157" t="s">
        <v>31</v>
      </c>
      <c r="D38" s="156" t="s">
        <v>169</v>
      </c>
      <c r="E38" s="138"/>
      <c r="F38" s="1820" t="s">
        <v>539</v>
      </c>
      <c r="G38" s="2140"/>
      <c r="H38" s="2137"/>
      <c r="I38" s="704"/>
      <c r="J38" s="624"/>
      <c r="K38" s="624"/>
      <c r="L38" s="624"/>
      <c r="M38" s="624"/>
      <c r="N38" s="326"/>
      <c r="O38" s="624"/>
      <c r="P38" s="624"/>
      <c r="Q38" s="624"/>
      <c r="R38" s="624"/>
      <c r="S38" s="326"/>
      <c r="T38" s="624"/>
      <c r="U38" s="624"/>
      <c r="V38" s="624"/>
      <c r="W38" s="625"/>
    </row>
    <row r="39" spans="1:23" ht="30.75" thickBot="1">
      <c r="A39" s="2138"/>
      <c r="B39" s="2148"/>
      <c r="C39" s="158" t="s">
        <v>32</v>
      </c>
      <c r="D39" s="156" t="s">
        <v>250</v>
      </c>
      <c r="E39" s="138"/>
      <c r="F39" s="2141"/>
      <c r="G39" s="2141"/>
      <c r="H39" s="2142"/>
      <c r="I39" s="704"/>
      <c r="J39" s="624"/>
      <c r="K39" s="624"/>
      <c r="L39" s="624"/>
      <c r="M39" s="624"/>
      <c r="N39" s="326"/>
      <c r="O39" s="624"/>
      <c r="P39" s="624"/>
      <c r="Q39" s="624"/>
      <c r="R39" s="624"/>
      <c r="S39" s="326"/>
      <c r="T39" s="624"/>
      <c r="U39" s="624"/>
      <c r="V39" s="624"/>
      <c r="W39" s="625"/>
    </row>
    <row r="40" spans="1:23" ht="57.75" customHeight="1">
      <c r="A40" s="2169" t="s">
        <v>491</v>
      </c>
      <c r="B40" s="2170"/>
      <c r="C40" s="159" t="s">
        <v>144</v>
      </c>
      <c r="D40" s="160" t="s">
        <v>253</v>
      </c>
      <c r="E40" s="418" t="s">
        <v>554</v>
      </c>
      <c r="F40" s="2162" t="s">
        <v>1153</v>
      </c>
      <c r="G40" s="1828"/>
      <c r="H40" s="2274"/>
      <c r="I40" s="704" t="s">
        <v>554</v>
      </c>
      <c r="J40" s="695">
        <v>1</v>
      </c>
      <c r="K40" s="624"/>
      <c r="L40" s="624">
        <v>5</v>
      </c>
      <c r="M40" s="624">
        <f>L40*150</f>
        <v>750</v>
      </c>
      <c r="N40" s="704" t="s">
        <v>554</v>
      </c>
      <c r="O40" s="695">
        <v>1</v>
      </c>
      <c r="P40" s="624"/>
      <c r="Q40" s="624">
        <v>5</v>
      </c>
      <c r="R40" s="624">
        <f>Q40*150</f>
        <v>750</v>
      </c>
      <c r="S40" s="704" t="s">
        <v>554</v>
      </c>
      <c r="T40" s="695">
        <v>1</v>
      </c>
      <c r="U40" s="624"/>
      <c r="V40" s="624">
        <v>5</v>
      </c>
      <c r="W40" s="624">
        <f>V40*150</f>
        <v>750</v>
      </c>
    </row>
    <row r="41" spans="1:23" ht="16.5" customHeight="1" thickBot="1">
      <c r="A41" s="2148"/>
      <c r="B41" s="2158"/>
      <c r="C41" s="161" t="s">
        <v>145</v>
      </c>
      <c r="D41" s="160" t="s">
        <v>254</v>
      </c>
      <c r="E41" s="418" t="s">
        <v>554</v>
      </c>
      <c r="F41" s="2162" t="s">
        <v>1154</v>
      </c>
      <c r="G41" s="1828"/>
      <c r="H41" s="2274"/>
      <c r="I41" s="704" t="s">
        <v>554</v>
      </c>
      <c r="J41" s="695">
        <v>1</v>
      </c>
      <c r="K41" s="624"/>
      <c r="L41" s="624">
        <v>5</v>
      </c>
      <c r="M41" s="624">
        <f>L41*201</f>
        <v>1005</v>
      </c>
      <c r="N41" s="704" t="s">
        <v>554</v>
      </c>
      <c r="O41" s="695">
        <v>1</v>
      </c>
      <c r="P41" s="624"/>
      <c r="Q41" s="624">
        <v>5</v>
      </c>
      <c r="R41" s="624">
        <f>Q41*201</f>
        <v>1005</v>
      </c>
      <c r="S41" s="704" t="s">
        <v>554</v>
      </c>
      <c r="T41" s="695">
        <v>1</v>
      </c>
      <c r="U41" s="624"/>
      <c r="V41" s="624">
        <v>5</v>
      </c>
      <c r="W41" s="624">
        <f>V41*201</f>
        <v>1005</v>
      </c>
    </row>
    <row r="42" spans="1:23" ht="48" thickBot="1">
      <c r="A42" s="2171"/>
      <c r="B42" s="2172"/>
      <c r="C42" s="162" t="s">
        <v>128</v>
      </c>
      <c r="D42" s="160" t="s">
        <v>262</v>
      </c>
      <c r="E42" s="138"/>
      <c r="F42" s="2173"/>
      <c r="G42" s="2097"/>
      <c r="H42" s="2098"/>
      <c r="I42" s="704"/>
      <c r="J42" s="624"/>
      <c r="K42" s="624"/>
      <c r="L42" s="624"/>
      <c r="M42" s="624"/>
      <c r="N42" s="704"/>
      <c r="O42" s="624"/>
      <c r="P42" s="624"/>
      <c r="Q42" s="624"/>
      <c r="R42" s="624"/>
      <c r="S42" s="704"/>
      <c r="T42" s="624"/>
      <c r="U42" s="624"/>
      <c r="V42" s="624"/>
      <c r="W42" s="624"/>
    </row>
    <row r="43" spans="1:23" ht="30.75" customHeight="1" thickBot="1">
      <c r="A43" s="2146" t="s">
        <v>493</v>
      </c>
      <c r="B43" s="2144"/>
      <c r="C43" s="2145"/>
      <c r="D43" s="163" t="s">
        <v>237</v>
      </c>
      <c r="E43" s="418" t="s">
        <v>554</v>
      </c>
      <c r="F43" s="2269" t="s">
        <v>659</v>
      </c>
      <c r="G43" s="1818"/>
      <c r="H43" s="2270"/>
      <c r="I43" s="704" t="s">
        <v>554</v>
      </c>
      <c r="J43" s="695">
        <v>1</v>
      </c>
      <c r="K43" s="624"/>
      <c r="L43" s="624">
        <v>1</v>
      </c>
      <c r="M43" s="624">
        <f>L43*652</f>
        <v>652</v>
      </c>
      <c r="N43" s="704" t="s">
        <v>554</v>
      </c>
      <c r="O43" s="695">
        <v>1</v>
      </c>
      <c r="P43" s="624"/>
      <c r="Q43" s="624">
        <v>5</v>
      </c>
      <c r="R43" s="624">
        <f>Q43*652</f>
        <v>3260</v>
      </c>
      <c r="S43" s="704" t="s">
        <v>554</v>
      </c>
      <c r="T43" s="695">
        <v>1</v>
      </c>
      <c r="U43" s="624"/>
      <c r="V43" s="624">
        <v>5</v>
      </c>
      <c r="W43" s="624">
        <f>V43*652</f>
        <v>3260</v>
      </c>
    </row>
    <row r="44" spans="1:23" ht="15.75" customHeight="1" thickBot="1">
      <c r="A44" s="2146" t="s">
        <v>133</v>
      </c>
      <c r="B44" s="2144"/>
      <c r="C44" s="2145"/>
      <c r="D44" s="163" t="s">
        <v>238</v>
      </c>
      <c r="E44" s="417" t="s">
        <v>554</v>
      </c>
      <c r="F44" s="2269" t="s">
        <v>660</v>
      </c>
      <c r="G44" s="1818"/>
      <c r="H44" s="2270"/>
      <c r="I44" s="704" t="s">
        <v>554</v>
      </c>
      <c r="J44" s="695">
        <v>1</v>
      </c>
      <c r="K44" s="624"/>
      <c r="L44" s="624">
        <v>1</v>
      </c>
      <c r="M44" s="624">
        <f>L44*358</f>
        <v>358</v>
      </c>
      <c r="N44" s="704" t="s">
        <v>554</v>
      </c>
      <c r="O44" s="695">
        <v>1</v>
      </c>
      <c r="P44" s="624"/>
      <c r="Q44" s="624">
        <v>1</v>
      </c>
      <c r="R44" s="624">
        <f>Q44*358</f>
        <v>358</v>
      </c>
      <c r="S44" s="704" t="s">
        <v>554</v>
      </c>
      <c r="T44" s="695">
        <v>1</v>
      </c>
      <c r="U44" s="624"/>
      <c r="V44" s="624">
        <v>1</v>
      </c>
      <c r="W44" s="624">
        <f>V44*358</f>
        <v>358</v>
      </c>
    </row>
    <row r="45" spans="1:23" ht="15" customHeight="1">
      <c r="A45" s="2147" t="s">
        <v>41</v>
      </c>
      <c r="B45" s="2148"/>
      <c r="C45" s="164" t="s">
        <v>50</v>
      </c>
      <c r="D45" s="165" t="s">
        <v>246</v>
      </c>
      <c r="E45" s="418"/>
      <c r="F45" s="1785" t="s">
        <v>560</v>
      </c>
      <c r="G45" s="2097"/>
      <c r="H45" s="2098"/>
      <c r="I45" s="704"/>
      <c r="J45" s="695"/>
      <c r="K45" s="624"/>
      <c r="L45" s="624"/>
      <c r="M45" s="624"/>
      <c r="N45" s="704"/>
      <c r="O45" s="695"/>
      <c r="P45" s="624"/>
      <c r="Q45" s="624"/>
      <c r="R45" s="624"/>
      <c r="S45" s="704"/>
      <c r="T45" s="695"/>
      <c r="U45" s="624"/>
      <c r="V45" s="624"/>
      <c r="W45" s="624"/>
    </row>
    <row r="46" spans="1:23" ht="30" customHeight="1">
      <c r="A46" s="2138"/>
      <c r="B46" s="2148"/>
      <c r="C46" s="166" t="s">
        <v>51</v>
      </c>
      <c r="D46" s="165" t="s">
        <v>247</v>
      </c>
      <c r="E46" s="418" t="s">
        <v>554</v>
      </c>
      <c r="F46" s="2271" t="s">
        <v>397</v>
      </c>
      <c r="G46" s="2272"/>
      <c r="H46" s="2273"/>
      <c r="I46" s="704" t="s">
        <v>554</v>
      </c>
      <c r="J46" s="695">
        <v>1</v>
      </c>
      <c r="K46" s="624"/>
      <c r="L46" s="624">
        <v>5</v>
      </c>
      <c r="M46" s="624">
        <f>L46*154</f>
        <v>770</v>
      </c>
      <c r="N46" s="704" t="s">
        <v>554</v>
      </c>
      <c r="O46" s="695">
        <v>1</v>
      </c>
      <c r="P46" s="624"/>
      <c r="Q46" s="624">
        <v>5</v>
      </c>
      <c r="R46" s="624">
        <f>Q46*154</f>
        <v>770</v>
      </c>
      <c r="S46" s="704" t="s">
        <v>554</v>
      </c>
      <c r="T46" s="695">
        <v>1</v>
      </c>
      <c r="U46" s="624"/>
      <c r="V46" s="624">
        <v>5</v>
      </c>
      <c r="W46" s="624">
        <f>V46*154</f>
        <v>770</v>
      </c>
    </row>
    <row r="47" spans="1:23" ht="15" customHeight="1">
      <c r="A47" s="2138"/>
      <c r="B47" s="2148"/>
      <c r="C47" s="166" t="s">
        <v>39</v>
      </c>
      <c r="D47" s="165" t="s">
        <v>248</v>
      </c>
      <c r="E47" s="418" t="s">
        <v>554</v>
      </c>
      <c r="F47" s="2271" t="s">
        <v>398</v>
      </c>
      <c r="G47" s="2272"/>
      <c r="H47" s="2273"/>
      <c r="I47" s="704" t="s">
        <v>554</v>
      </c>
      <c r="J47" s="695">
        <v>1</v>
      </c>
      <c r="K47" s="624"/>
      <c r="L47" s="624">
        <v>5</v>
      </c>
      <c r="M47" s="624">
        <f>L47*200</f>
        <v>1000</v>
      </c>
      <c r="N47" s="704" t="s">
        <v>554</v>
      </c>
      <c r="O47" s="695">
        <v>1</v>
      </c>
      <c r="P47" s="624"/>
      <c r="Q47" s="624">
        <v>5</v>
      </c>
      <c r="R47" s="624">
        <f>Q47*200</f>
        <v>1000</v>
      </c>
      <c r="S47" s="704" t="s">
        <v>554</v>
      </c>
      <c r="T47" s="695">
        <v>1</v>
      </c>
      <c r="U47" s="624"/>
      <c r="V47" s="624">
        <v>5</v>
      </c>
      <c r="W47" s="624">
        <f>V47*200</f>
        <v>1000</v>
      </c>
    </row>
    <row r="48" spans="1:23" ht="15.75" customHeight="1" thickBot="1">
      <c r="A48" s="2149"/>
      <c r="B48" s="2141"/>
      <c r="C48" s="167" t="s">
        <v>40</v>
      </c>
      <c r="D48" s="165" t="s">
        <v>249</v>
      </c>
      <c r="E48" s="418" t="s">
        <v>554</v>
      </c>
      <c r="F48" s="2271" t="s">
        <v>398</v>
      </c>
      <c r="G48" s="2272"/>
      <c r="H48" s="2273"/>
      <c r="I48" s="704" t="s">
        <v>554</v>
      </c>
      <c r="J48" s="695">
        <v>1</v>
      </c>
      <c r="K48" s="624"/>
      <c r="L48" s="624">
        <v>5</v>
      </c>
      <c r="M48" s="624">
        <f>L48*245</f>
        <v>1225</v>
      </c>
      <c r="N48" s="704" t="s">
        <v>554</v>
      </c>
      <c r="O48" s="695">
        <v>1</v>
      </c>
      <c r="P48" s="624"/>
      <c r="Q48" s="624">
        <v>5</v>
      </c>
      <c r="R48" s="624">
        <f>Q48*245</f>
        <v>1225</v>
      </c>
      <c r="S48" s="704" t="s">
        <v>554</v>
      </c>
      <c r="T48" s="695">
        <v>1</v>
      </c>
      <c r="U48" s="624"/>
      <c r="V48" s="624">
        <v>5</v>
      </c>
      <c r="W48" s="624">
        <f>V48*245</f>
        <v>1225</v>
      </c>
    </row>
    <row r="49" spans="1:23" ht="15.75" customHeight="1">
      <c r="A49" s="2150" t="s">
        <v>130</v>
      </c>
      <c r="B49" s="2151"/>
      <c r="C49" s="159" t="s">
        <v>131</v>
      </c>
      <c r="D49" s="160" t="s">
        <v>255</v>
      </c>
      <c r="E49" s="138"/>
      <c r="F49" s="2153"/>
      <c r="G49" s="2097"/>
      <c r="H49" s="2098"/>
      <c r="I49" s="704"/>
      <c r="J49" s="624"/>
      <c r="K49" s="624"/>
      <c r="L49" s="624"/>
      <c r="M49" s="624"/>
      <c r="N49" s="704"/>
      <c r="O49" s="624"/>
      <c r="P49" s="624"/>
      <c r="Q49" s="624"/>
      <c r="R49" s="624"/>
      <c r="S49" s="704"/>
      <c r="T49" s="624"/>
      <c r="U49" s="624"/>
      <c r="V49" s="624"/>
      <c r="W49" s="624"/>
    </row>
    <row r="50" spans="1:23" ht="48" thickBot="1">
      <c r="A50" s="2149"/>
      <c r="B50" s="2152"/>
      <c r="C50" s="168" t="s">
        <v>132</v>
      </c>
      <c r="D50" s="160" t="s">
        <v>263</v>
      </c>
      <c r="E50" s="138"/>
      <c r="F50" s="2153"/>
      <c r="G50" s="2097"/>
      <c r="H50" s="2098"/>
      <c r="I50" s="704"/>
      <c r="J50" s="624"/>
      <c r="K50" s="624"/>
      <c r="L50" s="624"/>
      <c r="M50" s="624"/>
      <c r="N50" s="704"/>
      <c r="O50" s="624"/>
      <c r="P50" s="624"/>
      <c r="Q50" s="624"/>
      <c r="R50" s="624"/>
      <c r="S50" s="704"/>
      <c r="T50" s="624"/>
      <c r="U50" s="624"/>
      <c r="V50" s="624"/>
      <c r="W50" s="624"/>
    </row>
    <row r="51" spans="1:23" ht="15" customHeight="1">
      <c r="A51" s="2154" t="s">
        <v>42</v>
      </c>
      <c r="B51" s="2140"/>
      <c r="C51" s="169" t="s">
        <v>38</v>
      </c>
      <c r="D51" s="170" t="s">
        <v>239</v>
      </c>
      <c r="E51" s="418" t="s">
        <v>554</v>
      </c>
      <c r="F51" s="1818" t="s">
        <v>661</v>
      </c>
      <c r="G51" s="2097"/>
      <c r="H51" s="2098"/>
      <c r="I51" s="704" t="s">
        <v>554</v>
      </c>
      <c r="J51" s="624">
        <v>1</v>
      </c>
      <c r="K51" s="624"/>
      <c r="L51" s="624">
        <v>20</v>
      </c>
      <c r="M51" s="624">
        <f>L51*0.8</f>
        <v>16</v>
      </c>
      <c r="N51" s="704" t="s">
        <v>554</v>
      </c>
      <c r="O51" s="624">
        <v>1</v>
      </c>
      <c r="P51" s="624"/>
      <c r="Q51" s="624">
        <v>20</v>
      </c>
      <c r="R51" s="624">
        <f>Q51*0.8</f>
        <v>16</v>
      </c>
      <c r="S51" s="704" t="s">
        <v>554</v>
      </c>
      <c r="T51" s="624">
        <v>1</v>
      </c>
      <c r="U51" s="624"/>
      <c r="V51" s="624">
        <v>20</v>
      </c>
      <c r="W51" s="624">
        <f>V51*0.8</f>
        <v>16</v>
      </c>
    </row>
    <row r="52" spans="1:23">
      <c r="A52" s="2148"/>
      <c r="B52" s="2148"/>
      <c r="C52" s="171" t="s">
        <v>55</v>
      </c>
      <c r="D52" s="170" t="s">
        <v>240</v>
      </c>
      <c r="E52" s="138"/>
      <c r="F52" s="2155"/>
      <c r="G52" s="2097"/>
      <c r="H52" s="2098"/>
      <c r="I52" s="704"/>
      <c r="J52" s="624"/>
      <c r="K52" s="624"/>
      <c r="L52" s="624"/>
      <c r="M52" s="624"/>
      <c r="N52" s="326"/>
      <c r="O52" s="624"/>
      <c r="P52" s="624"/>
      <c r="Q52" s="624"/>
      <c r="R52" s="624"/>
      <c r="S52" s="326"/>
      <c r="T52" s="624"/>
      <c r="U52" s="624"/>
      <c r="V52" s="624"/>
      <c r="W52" s="625"/>
    </row>
    <row r="53" spans="1:23" ht="16.5" thickBot="1">
      <c r="A53" s="2148"/>
      <c r="B53" s="2148"/>
      <c r="C53" s="161" t="s">
        <v>48</v>
      </c>
      <c r="D53" s="172" t="s">
        <v>241</v>
      </c>
      <c r="E53" s="138"/>
      <c r="F53" s="2156"/>
      <c r="G53" s="2097"/>
      <c r="H53" s="2098"/>
      <c r="I53" s="704"/>
      <c r="J53" s="624"/>
      <c r="K53" s="624"/>
      <c r="L53" s="624"/>
      <c r="M53" s="624"/>
      <c r="N53" s="326"/>
      <c r="O53" s="624"/>
      <c r="P53" s="624"/>
      <c r="Q53" s="624"/>
      <c r="R53" s="624"/>
      <c r="S53" s="326"/>
      <c r="T53" s="624"/>
      <c r="U53" s="624"/>
      <c r="V53" s="624"/>
      <c r="W53" s="625"/>
    </row>
    <row r="54" spans="1:23" ht="32.25" customHeight="1" thickBot="1">
      <c r="A54" s="2135" t="s">
        <v>500</v>
      </c>
      <c r="B54" s="2097"/>
      <c r="C54" s="173" t="s">
        <v>134</v>
      </c>
      <c r="D54" s="174" t="s">
        <v>269</v>
      </c>
      <c r="E54" s="175"/>
      <c r="F54" s="1818" t="s">
        <v>501</v>
      </c>
      <c r="G54" s="2097"/>
      <c r="H54" s="2098"/>
      <c r="I54" s="724"/>
      <c r="J54" s="627"/>
      <c r="K54" s="627"/>
      <c r="L54" s="627"/>
      <c r="M54" s="627"/>
      <c r="N54" s="626"/>
      <c r="O54" s="627"/>
      <c r="P54" s="627"/>
      <c r="Q54" s="627"/>
      <c r="R54" s="627"/>
      <c r="S54" s="626"/>
      <c r="T54" s="627"/>
      <c r="U54" s="627"/>
      <c r="V54" s="627"/>
      <c r="W54" s="628"/>
    </row>
    <row r="55" spans="1:23">
      <c r="A55" s="93"/>
      <c r="B55" s="93"/>
      <c r="C55" s="93"/>
      <c r="D55" s="93"/>
      <c r="E55" s="93"/>
      <c r="F55" s="93"/>
      <c r="G55" s="93"/>
    </row>
    <row r="56" spans="1:23">
      <c r="A56" s="93"/>
      <c r="B56" s="93"/>
      <c r="C56" s="93"/>
      <c r="D56" s="93"/>
      <c r="E56" s="93"/>
      <c r="F56" s="93"/>
      <c r="G56" s="93"/>
      <c r="M56">
        <f>SUM(M17:M53)</f>
        <v>5776</v>
      </c>
    </row>
    <row r="57" spans="1:23">
      <c r="A57" s="93"/>
      <c r="B57" s="93"/>
      <c r="C57" s="93"/>
      <c r="D57" s="93"/>
      <c r="E57" s="93"/>
      <c r="F57" s="93"/>
      <c r="G57" s="93"/>
    </row>
    <row r="58" spans="1:23" ht="75">
      <c r="A58" s="630" t="s">
        <v>948</v>
      </c>
      <c r="B58" s="630" t="s">
        <v>949</v>
      </c>
      <c r="C58" s="630" t="s">
        <v>950</v>
      </c>
      <c r="D58" s="630" t="s">
        <v>1038</v>
      </c>
      <c r="E58" s="630" t="s">
        <v>1039</v>
      </c>
      <c r="F58" s="630" t="s">
        <v>952</v>
      </c>
    </row>
    <row r="59" spans="1:23">
      <c r="A59" s="719" t="s">
        <v>953</v>
      </c>
      <c r="B59" s="624" t="s">
        <v>887</v>
      </c>
      <c r="C59" s="624" t="s">
        <v>1040</v>
      </c>
      <c r="D59" s="720"/>
      <c r="E59" s="721">
        <v>0.25</v>
      </c>
      <c r="F59" s="2275" t="s">
        <v>1041</v>
      </c>
    </row>
    <row r="60" spans="1:23">
      <c r="A60" s="719" t="s">
        <v>956</v>
      </c>
      <c r="B60" s="624" t="s">
        <v>887</v>
      </c>
      <c r="C60" s="695" t="s">
        <v>1042</v>
      </c>
      <c r="D60" s="720"/>
      <c r="E60" s="721">
        <v>0.25</v>
      </c>
      <c r="F60" s="2276"/>
    </row>
    <row r="61" spans="1:23">
      <c r="A61" s="719" t="s">
        <v>957</v>
      </c>
      <c r="B61" s="624" t="s">
        <v>991</v>
      </c>
      <c r="C61" s="624"/>
      <c r="D61" s="720"/>
      <c r="E61" s="720"/>
      <c r="F61" s="2276"/>
    </row>
    <row r="62" spans="1:23">
      <c r="A62" s="719" t="s">
        <v>959</v>
      </c>
      <c r="B62" s="624" t="s">
        <v>887</v>
      </c>
      <c r="C62" s="624"/>
      <c r="D62" s="720">
        <v>1.1399999999999999</v>
      </c>
      <c r="E62" s="721">
        <v>0.5</v>
      </c>
      <c r="F62" s="2276"/>
    </row>
    <row r="63" spans="1:23">
      <c r="A63" s="719" t="s">
        <v>961</v>
      </c>
      <c r="B63" s="624" t="s">
        <v>887</v>
      </c>
      <c r="C63" s="695" t="s">
        <v>1043</v>
      </c>
      <c r="D63" s="720"/>
      <c r="E63" s="721">
        <v>1</v>
      </c>
      <c r="F63" s="2276"/>
    </row>
    <row r="64" spans="1:23">
      <c r="A64" s="719" t="s">
        <v>963</v>
      </c>
      <c r="B64" s="624" t="s">
        <v>887</v>
      </c>
      <c r="C64" s="695" t="s">
        <v>1044</v>
      </c>
      <c r="D64" s="720">
        <v>2.29</v>
      </c>
      <c r="E64" s="720"/>
      <c r="F64" s="2276"/>
    </row>
    <row r="65" spans="1:6">
      <c r="A65" s="719" t="s">
        <v>965</v>
      </c>
      <c r="B65" s="624" t="s">
        <v>887</v>
      </c>
      <c r="C65" s="624"/>
      <c r="D65" s="720"/>
      <c r="E65" s="721">
        <v>0.5</v>
      </c>
      <c r="F65" s="2276"/>
    </row>
    <row r="66" spans="1:6">
      <c r="A66" s="719" t="s">
        <v>967</v>
      </c>
      <c r="B66" s="624" t="s">
        <v>991</v>
      </c>
      <c r="C66" s="624"/>
      <c r="D66" s="720"/>
      <c r="E66" s="720"/>
      <c r="F66" s="2276"/>
    </row>
    <row r="67" spans="1:6">
      <c r="A67" s="719" t="s">
        <v>969</v>
      </c>
      <c r="B67" s="624" t="s">
        <v>887</v>
      </c>
      <c r="C67" s="695" t="s">
        <v>1045</v>
      </c>
      <c r="D67" s="720">
        <v>0.56999999999999995</v>
      </c>
      <c r="E67" s="721">
        <v>0.5</v>
      </c>
      <c r="F67" s="2276"/>
    </row>
    <row r="68" spans="1:6">
      <c r="A68" s="719" t="s">
        <v>971</v>
      </c>
      <c r="B68" s="624" t="s">
        <v>887</v>
      </c>
      <c r="C68" s="624"/>
      <c r="D68" s="720"/>
      <c r="E68" s="721">
        <v>0.21</v>
      </c>
      <c r="F68" s="2277"/>
    </row>
    <row r="69" spans="1:6">
      <c r="A69" s="609"/>
      <c r="B69" s="609"/>
      <c r="C69" s="609"/>
      <c r="D69" s="609">
        <f>SUM(D59:D68)</f>
        <v>3.9999999999999996</v>
      </c>
      <c r="E69" s="609">
        <f>SUM(E59:E68)</f>
        <v>3.21</v>
      </c>
      <c r="F69" s="609"/>
    </row>
    <row r="70" spans="1:6">
      <c r="A70" s="609"/>
      <c r="B70" s="609"/>
      <c r="C70" s="609"/>
      <c r="D70" s="2278">
        <f>SUM(D69:E69)</f>
        <v>7.2099999999999991</v>
      </c>
      <c r="E70" s="2278"/>
      <c r="F70" s="609"/>
    </row>
  </sheetData>
  <mergeCells count="61">
    <mergeCell ref="F59:F68"/>
    <mergeCell ref="D70:E70"/>
    <mergeCell ref="I13:M13"/>
    <mergeCell ref="N13:R13"/>
    <mergeCell ref="S13:W13"/>
    <mergeCell ref="A18:B20"/>
    <mergeCell ref="F18:H20"/>
    <mergeCell ref="A21:B22"/>
    <mergeCell ref="J10:J11"/>
    <mergeCell ref="F21:H22"/>
    <mergeCell ref="C10:H10"/>
    <mergeCell ref="A10:B10"/>
    <mergeCell ref="E12:H13"/>
    <mergeCell ref="A14:B14"/>
    <mergeCell ref="F14:H14"/>
    <mergeCell ref="A15:B17"/>
    <mergeCell ref="F15:H17"/>
    <mergeCell ref="B2:D2"/>
    <mergeCell ref="B3:D3"/>
    <mergeCell ref="B4:D4"/>
    <mergeCell ref="B6:D6"/>
    <mergeCell ref="B8:D8"/>
    <mergeCell ref="A23:B25"/>
    <mergeCell ref="F23:H25"/>
    <mergeCell ref="A26:C26"/>
    <mergeCell ref="F26:H26"/>
    <mergeCell ref="A27:B29"/>
    <mergeCell ref="F27:H29"/>
    <mergeCell ref="A30:B32"/>
    <mergeCell ref="F30:H32"/>
    <mergeCell ref="A33:B33"/>
    <mergeCell ref="F33:H33"/>
    <mergeCell ref="A34:B34"/>
    <mergeCell ref="F34:H34"/>
    <mergeCell ref="A35:B36"/>
    <mergeCell ref="F35:H36"/>
    <mergeCell ref="A37:B39"/>
    <mergeCell ref="F37:H37"/>
    <mergeCell ref="F38:H39"/>
    <mergeCell ref="A40:B42"/>
    <mergeCell ref="F40:H40"/>
    <mergeCell ref="F41:H41"/>
    <mergeCell ref="F42:H42"/>
    <mergeCell ref="A43:C43"/>
    <mergeCell ref="F43:H43"/>
    <mergeCell ref="A44:C44"/>
    <mergeCell ref="F44:H44"/>
    <mergeCell ref="A45:B48"/>
    <mergeCell ref="F45:H45"/>
    <mergeCell ref="F46:H46"/>
    <mergeCell ref="F47:H47"/>
    <mergeCell ref="F48:H48"/>
    <mergeCell ref="A54:B54"/>
    <mergeCell ref="F54:H54"/>
    <mergeCell ref="A49:B50"/>
    <mergeCell ref="F49:H49"/>
    <mergeCell ref="F50:H50"/>
    <mergeCell ref="A51:B53"/>
    <mergeCell ref="F51:H51"/>
    <mergeCell ref="F52:H52"/>
    <mergeCell ref="F53:H53"/>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3" location="SOMMAIRE!A1" display="Retour sommaire"/>
    <hyperlink ref="J5" location="SYNTHESE!A1" display="Retour synthèse"/>
  </hyperlinks>
  <pageMargins left="0.7" right="0.7" top="0.75" bottom="0.75" header="0.3" footer="0.3"/>
  <pageSetup paperSize="9" scale="91"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W81"/>
  <sheetViews>
    <sheetView topLeftCell="A37" zoomScale="90" zoomScaleNormal="90" workbookViewId="0">
      <selection activeCell="F45" sqref="F45:H45"/>
    </sheetView>
  </sheetViews>
  <sheetFormatPr baseColWidth="10" defaultRowHeight="15"/>
  <cols>
    <col min="1" max="1" width="20.42578125" style="8" bestFit="1" customWidth="1"/>
    <col min="2" max="2" width="15.7109375" style="8" customWidth="1"/>
    <col min="3" max="3" width="40" style="8" customWidth="1"/>
    <col min="4" max="4" width="8.42578125" style="8" customWidth="1"/>
    <col min="5" max="5" width="7.5703125" style="8" customWidth="1"/>
    <col min="6" max="6" width="16.28515625" style="8" bestFit="1" customWidth="1"/>
    <col min="7" max="7" width="26" style="8" customWidth="1"/>
    <col min="8" max="8" width="25.42578125" bestFit="1" customWidth="1"/>
    <col min="9" max="9" width="5.7109375" customWidth="1"/>
    <col min="10" max="10" width="18.140625" bestFit="1" customWidth="1"/>
  </cols>
  <sheetData>
    <row r="1" spans="1:23" ht="15.75" thickBot="1">
      <c r="A1" s="327"/>
      <c r="B1" s="327"/>
      <c r="C1" s="327"/>
      <c r="D1" s="327"/>
      <c r="E1" s="327"/>
      <c r="F1" s="327"/>
      <c r="G1" s="327"/>
      <c r="H1" s="327"/>
    </row>
    <row r="2" spans="1:23" ht="15.75" thickBot="1">
      <c r="A2" s="328" t="s">
        <v>0</v>
      </c>
      <c r="B2" s="1807" t="s">
        <v>595</v>
      </c>
      <c r="C2" s="1776"/>
      <c r="D2" s="1777"/>
      <c r="E2" s="329"/>
      <c r="F2" s="329"/>
      <c r="G2" s="330" t="s">
        <v>462</v>
      </c>
      <c r="H2" s="112" t="s">
        <v>53</v>
      </c>
      <c r="J2" s="32" t="s">
        <v>73</v>
      </c>
    </row>
    <row r="3" spans="1:23" ht="15.75" customHeight="1" thickBot="1">
      <c r="A3" s="331" t="s">
        <v>344</v>
      </c>
      <c r="B3" s="1808" t="s">
        <v>596</v>
      </c>
      <c r="C3" s="1776"/>
      <c r="D3" s="1777"/>
      <c r="E3" s="329"/>
      <c r="F3" s="329"/>
      <c r="G3" s="332" t="s">
        <v>10</v>
      </c>
      <c r="H3" s="112" t="s">
        <v>16</v>
      </c>
    </row>
    <row r="4" spans="1:23" ht="15.75" thickBot="1">
      <c r="A4" s="332" t="s">
        <v>3</v>
      </c>
      <c r="B4" s="1809" t="s">
        <v>597</v>
      </c>
      <c r="C4" s="1776"/>
      <c r="D4" s="1777"/>
      <c r="E4" s="333"/>
      <c r="F4" s="329"/>
      <c r="G4" s="334" t="s">
        <v>26</v>
      </c>
      <c r="H4" s="392">
        <v>10</v>
      </c>
      <c r="J4" s="13" t="s">
        <v>381</v>
      </c>
    </row>
    <row r="5" spans="1:23" ht="15.75" customHeight="1" thickBot="1">
      <c r="A5" s="329"/>
      <c r="B5" s="329"/>
      <c r="C5" s="329"/>
      <c r="D5" s="329"/>
      <c r="E5" s="329"/>
      <c r="F5" s="329"/>
      <c r="G5" s="329"/>
      <c r="H5" s="329"/>
    </row>
    <row r="6" spans="1:23" ht="57.75" customHeight="1" thickBot="1">
      <c r="A6" s="328" t="s">
        <v>465</v>
      </c>
      <c r="B6" s="1909" t="s">
        <v>1579</v>
      </c>
      <c r="C6" s="1811"/>
      <c r="D6" s="1812"/>
      <c r="E6" s="329"/>
      <c r="F6" s="329"/>
      <c r="G6" s="335" t="s">
        <v>466</v>
      </c>
      <c r="H6" s="336" t="s">
        <v>598</v>
      </c>
    </row>
    <row r="7" spans="1:23" ht="15.75" thickBot="1">
      <c r="A7" s="327"/>
      <c r="B7" s="329"/>
      <c r="C7" s="329"/>
      <c r="D7" s="329"/>
      <c r="E7" s="329"/>
      <c r="F7" s="329"/>
      <c r="G7" s="337"/>
      <c r="H7" s="393" t="s">
        <v>338</v>
      </c>
    </row>
    <row r="8" spans="1:23" ht="70.5" customHeight="1" thickBot="1">
      <c r="A8" s="338" t="s">
        <v>7</v>
      </c>
      <c r="B8" s="2296" t="s">
        <v>599</v>
      </c>
      <c r="C8" s="2297"/>
      <c r="D8" s="2298"/>
      <c r="E8" s="333"/>
      <c r="F8" s="339"/>
      <c r="G8" s="338" t="s">
        <v>469</v>
      </c>
      <c r="H8" s="123" t="s">
        <v>508</v>
      </c>
    </row>
    <row r="9" spans="1:23">
      <c r="A9" s="327"/>
      <c r="B9" s="329"/>
      <c r="C9" s="329"/>
      <c r="D9" s="329"/>
      <c r="E9" s="329"/>
      <c r="F9" s="329"/>
      <c r="G9" s="337"/>
      <c r="H9" s="329"/>
    </row>
    <row r="10" spans="1:23" ht="317.25" customHeight="1">
      <c r="A10" s="1813" t="s">
        <v>471</v>
      </c>
      <c r="B10" s="1772"/>
      <c r="C10" s="1805" t="s">
        <v>1235</v>
      </c>
      <c r="D10" s="1805"/>
      <c r="E10" s="1805"/>
      <c r="F10" s="1805"/>
      <c r="G10" s="1805"/>
      <c r="H10" s="1805"/>
      <c r="J10" s="1821"/>
    </row>
    <row r="11" spans="1:23">
      <c r="A11" s="343"/>
      <c r="B11" s="333"/>
      <c r="C11" s="333"/>
      <c r="D11" s="333"/>
      <c r="E11" s="333"/>
      <c r="F11" s="339"/>
      <c r="G11" s="342"/>
      <c r="H11" s="342"/>
      <c r="J11" s="1821"/>
    </row>
    <row r="12" spans="1:23">
      <c r="A12" s="343"/>
      <c r="B12" s="333"/>
      <c r="C12" s="333"/>
      <c r="D12" s="333"/>
      <c r="E12" s="1814" t="s">
        <v>473</v>
      </c>
      <c r="F12" s="1772"/>
      <c r="G12" s="1772"/>
      <c r="H12" s="1772"/>
    </row>
    <row r="13" spans="1:23" ht="15" customHeight="1" thickBot="1">
      <c r="A13" s="329"/>
      <c r="B13" s="329"/>
      <c r="C13" s="329"/>
      <c r="D13" s="329"/>
      <c r="E13" s="1780"/>
      <c r="F13" s="1780"/>
      <c r="G13" s="1780"/>
      <c r="H13" s="1780"/>
      <c r="I13" s="2299">
        <v>2025</v>
      </c>
      <c r="J13" s="1771"/>
      <c r="K13" s="1771"/>
      <c r="L13" s="1771"/>
      <c r="M13" s="1792"/>
      <c r="N13" s="2299">
        <v>2026</v>
      </c>
      <c r="O13" s="1771"/>
      <c r="P13" s="1771"/>
      <c r="Q13" s="1771"/>
      <c r="R13" s="1792"/>
      <c r="S13" s="2299">
        <v>2027</v>
      </c>
      <c r="T13" s="1771"/>
      <c r="U13" s="1771"/>
      <c r="V13" s="1771"/>
      <c r="W13" s="1792"/>
    </row>
    <row r="14" spans="1:23" ht="45.75" thickBot="1">
      <c r="A14" s="1816" t="s">
        <v>5</v>
      </c>
      <c r="B14" s="1792"/>
      <c r="C14" s="344" t="s">
        <v>1</v>
      </c>
      <c r="D14" s="344" t="s">
        <v>260</v>
      </c>
      <c r="E14" s="345" t="s">
        <v>474</v>
      </c>
      <c r="F14" s="1866" t="s">
        <v>6</v>
      </c>
      <c r="G14" s="1771"/>
      <c r="H14" s="1771"/>
      <c r="I14" s="690" t="s">
        <v>474</v>
      </c>
      <c r="J14" s="691" t="s">
        <v>944</v>
      </c>
      <c r="K14" s="692" t="s">
        <v>945</v>
      </c>
      <c r="L14" s="691" t="s">
        <v>946</v>
      </c>
      <c r="M14" s="693" t="s">
        <v>947</v>
      </c>
      <c r="N14" s="690" t="s">
        <v>474</v>
      </c>
      <c r="O14" s="691" t="s">
        <v>944</v>
      </c>
      <c r="P14" s="692" t="s">
        <v>945</v>
      </c>
      <c r="Q14" s="691" t="s">
        <v>946</v>
      </c>
      <c r="R14" s="693" t="s">
        <v>947</v>
      </c>
      <c r="S14" s="690" t="s">
        <v>474</v>
      </c>
      <c r="T14" s="691" t="s">
        <v>944</v>
      </c>
      <c r="U14" s="692" t="s">
        <v>945</v>
      </c>
      <c r="V14" s="691" t="s">
        <v>946</v>
      </c>
      <c r="W14" s="694" t="s">
        <v>947</v>
      </c>
    </row>
    <row r="15" spans="1:23" ht="30" customHeight="1">
      <c r="A15" s="2300" t="s">
        <v>17</v>
      </c>
      <c r="B15" s="1874"/>
      <c r="C15" s="395" t="s">
        <v>59</v>
      </c>
      <c r="D15" s="396" t="s">
        <v>251</v>
      </c>
      <c r="E15" s="397"/>
      <c r="F15" s="1873" t="s">
        <v>600</v>
      </c>
      <c r="G15" s="1874"/>
      <c r="H15" s="1875"/>
      <c r="I15" s="1195"/>
      <c r="J15" s="1196"/>
      <c r="K15" s="1196"/>
      <c r="L15" s="1196"/>
      <c r="M15" s="1197"/>
      <c r="N15" s="1195"/>
      <c r="O15" s="1196"/>
      <c r="P15" s="1196"/>
      <c r="Q15" s="1196"/>
      <c r="R15" s="1197"/>
      <c r="S15" s="1195"/>
      <c r="T15" s="1196"/>
      <c r="U15" s="1196"/>
      <c r="V15" s="1196"/>
      <c r="W15" s="1198"/>
    </row>
    <row r="16" spans="1:23" ht="32.25" customHeight="1">
      <c r="A16" s="2282"/>
      <c r="B16" s="1772"/>
      <c r="C16" s="349" t="s">
        <v>18</v>
      </c>
      <c r="D16" s="350" t="s">
        <v>168</v>
      </c>
      <c r="E16" s="398" t="s">
        <v>277</v>
      </c>
      <c r="F16" s="2294"/>
      <c r="G16" s="2294"/>
      <c r="H16" s="1877"/>
      <c r="I16" s="1199" t="s">
        <v>277</v>
      </c>
      <c r="J16" s="1186">
        <v>1</v>
      </c>
      <c r="K16" s="1186"/>
      <c r="L16" s="1186">
        <v>100</v>
      </c>
      <c r="M16" s="1186">
        <f>(143*L16)*5</f>
        <v>71500</v>
      </c>
      <c r="N16" s="1199" t="s">
        <v>277</v>
      </c>
      <c r="O16" s="1186">
        <v>1</v>
      </c>
      <c r="P16" s="1186"/>
      <c r="Q16" s="1186">
        <v>100</v>
      </c>
      <c r="R16" s="1186">
        <f>(143*Q16)*5</f>
        <v>71500</v>
      </c>
      <c r="S16" s="1199" t="s">
        <v>277</v>
      </c>
      <c r="T16" s="1186">
        <v>1</v>
      </c>
      <c r="U16" s="1186"/>
      <c r="V16" s="1186">
        <v>100</v>
      </c>
      <c r="W16" s="1200">
        <f>(143*V16)*5</f>
        <v>71500</v>
      </c>
    </row>
    <row r="17" spans="1:23" ht="33" customHeight="1" thickBot="1">
      <c r="A17" s="2053"/>
      <c r="B17" s="1780"/>
      <c r="C17" s="352" t="s">
        <v>19</v>
      </c>
      <c r="D17" s="353" t="s">
        <v>233</v>
      </c>
      <c r="E17" s="399" t="s">
        <v>277</v>
      </c>
      <c r="F17" s="1780"/>
      <c r="G17" s="1780"/>
      <c r="H17" s="2054"/>
      <c r="I17" s="1185" t="s">
        <v>277</v>
      </c>
      <c r="J17" s="1186">
        <v>1</v>
      </c>
      <c r="K17" s="1186"/>
      <c r="L17" s="1186">
        <v>100</v>
      </c>
      <c r="M17" s="1186">
        <f>(281*L17)*5</f>
        <v>140500</v>
      </c>
      <c r="N17" s="1185" t="s">
        <v>277</v>
      </c>
      <c r="O17" s="1186">
        <v>1</v>
      </c>
      <c r="P17" s="1186"/>
      <c r="Q17" s="1186">
        <v>100</v>
      </c>
      <c r="R17" s="1186">
        <f>(281*Q17)*5</f>
        <v>140500</v>
      </c>
      <c r="S17" s="1185" t="s">
        <v>277</v>
      </c>
      <c r="T17" s="1186">
        <v>1</v>
      </c>
      <c r="U17" s="1186"/>
      <c r="V17" s="1186">
        <v>100</v>
      </c>
      <c r="W17" s="1200">
        <f>(281*V17)*5</f>
        <v>140500</v>
      </c>
    </row>
    <row r="18" spans="1:23" ht="27" customHeight="1">
      <c r="A18" s="2295" t="s">
        <v>20</v>
      </c>
      <c r="B18" s="1771"/>
      <c r="C18" s="346" t="s">
        <v>54</v>
      </c>
      <c r="D18" s="353" t="s">
        <v>261</v>
      </c>
      <c r="E18" s="399"/>
      <c r="F18" s="1791" t="s">
        <v>475</v>
      </c>
      <c r="G18" s="1771"/>
      <c r="H18" s="2058"/>
      <c r="I18" s="1185"/>
      <c r="J18" s="1186"/>
      <c r="K18" s="1186"/>
      <c r="L18" s="1186"/>
      <c r="M18" s="1186"/>
      <c r="N18" s="1185"/>
      <c r="O18" s="1186"/>
      <c r="P18" s="1186"/>
      <c r="Q18" s="1186"/>
      <c r="R18" s="1186"/>
      <c r="S18" s="1185"/>
      <c r="T18" s="1186"/>
      <c r="U18" s="1186"/>
      <c r="V18" s="1186"/>
      <c r="W18" s="1200"/>
    </row>
    <row r="19" spans="1:23" ht="29.25" customHeight="1">
      <c r="A19" s="2282"/>
      <c r="B19" s="1772"/>
      <c r="C19" s="355" t="s">
        <v>21</v>
      </c>
      <c r="D19" s="353" t="s">
        <v>234</v>
      </c>
      <c r="E19" s="399"/>
      <c r="F19" s="2294"/>
      <c r="G19" s="2294"/>
      <c r="H19" s="1877"/>
      <c r="I19" s="1185"/>
      <c r="J19" s="1186"/>
      <c r="K19" s="1186"/>
      <c r="L19" s="1186"/>
      <c r="M19" s="1186"/>
      <c r="N19" s="1185"/>
      <c r="O19" s="1186"/>
      <c r="P19" s="1186"/>
      <c r="Q19" s="1186"/>
      <c r="R19" s="1186"/>
      <c r="S19" s="1185"/>
      <c r="T19" s="1186"/>
      <c r="U19" s="1186"/>
      <c r="V19" s="1186"/>
      <c r="W19" s="1200"/>
    </row>
    <row r="20" spans="1:23" ht="35.25" customHeight="1" thickBot="1">
      <c r="A20" s="2282"/>
      <c r="B20" s="1772"/>
      <c r="C20" s="352" t="s">
        <v>22</v>
      </c>
      <c r="D20" s="353" t="s">
        <v>235</v>
      </c>
      <c r="E20" s="399"/>
      <c r="F20" s="1780"/>
      <c r="G20" s="1780"/>
      <c r="H20" s="2054"/>
      <c r="I20" s="1185"/>
      <c r="J20" s="1186"/>
      <c r="K20" s="1186"/>
      <c r="L20" s="1186"/>
      <c r="M20" s="1186"/>
      <c r="N20" s="1185"/>
      <c r="O20" s="1186"/>
      <c r="P20" s="1186"/>
      <c r="Q20" s="1186"/>
      <c r="R20" s="1186"/>
      <c r="S20" s="1185"/>
      <c r="T20" s="1186"/>
      <c r="U20" s="1186"/>
      <c r="V20" s="1186"/>
      <c r="W20" s="1200"/>
    </row>
    <row r="21" spans="1:23" ht="49.5" customHeight="1">
      <c r="A21" s="2295" t="s">
        <v>23</v>
      </c>
      <c r="B21" s="1771"/>
      <c r="C21" s="356" t="s">
        <v>69</v>
      </c>
      <c r="D21" s="353" t="s">
        <v>267</v>
      </c>
      <c r="E21" s="400"/>
      <c r="F21" s="1828" t="s">
        <v>475</v>
      </c>
      <c r="G21" s="1771"/>
      <c r="H21" s="2058"/>
      <c r="I21" s="1185"/>
      <c r="J21" s="1186"/>
      <c r="K21" s="1186"/>
      <c r="L21" s="1186"/>
      <c r="M21" s="1186"/>
      <c r="N21" s="1185"/>
      <c r="O21" s="1186"/>
      <c r="P21" s="1186"/>
      <c r="Q21" s="1186"/>
      <c r="R21" s="1186"/>
      <c r="S21" s="1185"/>
      <c r="T21" s="1186"/>
      <c r="U21" s="1186"/>
      <c r="V21" s="1186"/>
      <c r="W21" s="1200"/>
    </row>
    <row r="22" spans="1:23" ht="15" customHeight="1" thickBot="1">
      <c r="A22" s="2053"/>
      <c r="B22" s="1780"/>
      <c r="C22" s="357" t="s">
        <v>24</v>
      </c>
      <c r="D22" s="358" t="s">
        <v>236</v>
      </c>
      <c r="E22" s="400"/>
      <c r="F22" s="1780"/>
      <c r="G22" s="1780"/>
      <c r="H22" s="2054"/>
      <c r="I22" s="1185"/>
      <c r="J22" s="1186"/>
      <c r="K22" s="1186"/>
      <c r="L22" s="1186"/>
      <c r="M22" s="1186"/>
      <c r="N22" s="1185"/>
      <c r="O22" s="1186"/>
      <c r="P22" s="1186"/>
      <c r="Q22" s="1186"/>
      <c r="R22" s="1186"/>
      <c r="S22" s="1185"/>
      <c r="T22" s="1186"/>
      <c r="U22" s="1186"/>
      <c r="V22" s="1186"/>
      <c r="W22" s="1200"/>
    </row>
    <row r="23" spans="1:23" ht="15.75">
      <c r="A23" s="2301" t="s">
        <v>478</v>
      </c>
      <c r="B23" s="1792"/>
      <c r="C23" s="359" t="s">
        <v>360</v>
      </c>
      <c r="D23" s="358" t="s">
        <v>265</v>
      </c>
      <c r="E23" s="399"/>
      <c r="F23" s="1791" t="s">
        <v>477</v>
      </c>
      <c r="G23" s="1771"/>
      <c r="H23" s="2058"/>
      <c r="I23" s="1185"/>
      <c r="J23" s="1186"/>
      <c r="K23" s="1186"/>
      <c r="L23" s="1186"/>
      <c r="M23" s="1186"/>
      <c r="N23" s="1185"/>
      <c r="O23" s="1186"/>
      <c r="P23" s="1186"/>
      <c r="Q23" s="1186"/>
      <c r="R23" s="1186"/>
      <c r="S23" s="1185"/>
      <c r="T23" s="1186"/>
      <c r="U23" s="1186"/>
      <c r="V23" s="1186"/>
      <c r="W23" s="1200"/>
    </row>
    <row r="24" spans="1:23" ht="30" customHeight="1">
      <c r="A24" s="2282"/>
      <c r="B24" s="1799"/>
      <c r="C24" s="360" t="s">
        <v>361</v>
      </c>
      <c r="D24" s="358" t="s">
        <v>362</v>
      </c>
      <c r="E24" s="399"/>
      <c r="F24" s="2294"/>
      <c r="G24" s="2294"/>
      <c r="H24" s="1877"/>
      <c r="I24" s="1185"/>
      <c r="J24" s="1186"/>
      <c r="K24" s="1186"/>
      <c r="L24" s="1186"/>
      <c r="M24" s="1186"/>
      <c r="N24" s="1185"/>
      <c r="O24" s="1186"/>
      <c r="P24" s="1186"/>
      <c r="Q24" s="1186"/>
      <c r="R24" s="1186"/>
      <c r="S24" s="1185"/>
      <c r="T24" s="1186"/>
      <c r="U24" s="1186"/>
      <c r="V24" s="1186"/>
      <c r="W24" s="1200"/>
    </row>
    <row r="25" spans="1:23" ht="30" customHeight="1" thickBot="1">
      <c r="A25" s="2282"/>
      <c r="B25" s="1799"/>
      <c r="C25" s="361" t="s">
        <v>479</v>
      </c>
      <c r="D25" s="358" t="s">
        <v>480</v>
      </c>
      <c r="E25" s="399"/>
      <c r="F25" s="1780"/>
      <c r="G25" s="1780"/>
      <c r="H25" s="2054"/>
      <c r="I25" s="1185"/>
      <c r="J25" s="1186"/>
      <c r="K25" s="1186"/>
      <c r="L25" s="1186"/>
      <c r="M25" s="1186"/>
      <c r="N25" s="1185"/>
      <c r="O25" s="1186"/>
      <c r="P25" s="1186"/>
      <c r="Q25" s="1186"/>
      <c r="R25" s="1186"/>
      <c r="S25" s="1185"/>
      <c r="T25" s="1186"/>
      <c r="U25" s="1186"/>
      <c r="V25" s="1186"/>
      <c r="W25" s="1200"/>
    </row>
    <row r="26" spans="1:23" ht="15.75" thickBot="1">
      <c r="A26" s="2302" t="s">
        <v>25</v>
      </c>
      <c r="B26" s="1776"/>
      <c r="C26" s="1777"/>
      <c r="D26" s="362" t="s">
        <v>270</v>
      </c>
      <c r="E26" s="401"/>
      <c r="F26" s="1818" t="s">
        <v>475</v>
      </c>
      <c r="G26" s="1762"/>
      <c r="H26" s="2043"/>
      <c r="I26" s="1185"/>
      <c r="J26" s="1186"/>
      <c r="K26" s="1186"/>
      <c r="L26" s="1186"/>
      <c r="M26" s="1186"/>
      <c r="N26" s="1185"/>
      <c r="O26" s="1186"/>
      <c r="P26" s="1186"/>
      <c r="Q26" s="1186"/>
      <c r="R26" s="1186"/>
      <c r="S26" s="1185"/>
      <c r="T26" s="1186"/>
      <c r="U26" s="1186"/>
      <c r="V26" s="1186"/>
      <c r="W26" s="1200"/>
    </row>
    <row r="27" spans="1:23" ht="15.75">
      <c r="A27" s="2303" t="s">
        <v>153</v>
      </c>
      <c r="B27" s="1788"/>
      <c r="C27" s="363" t="s">
        <v>152</v>
      </c>
      <c r="D27" s="364" t="s">
        <v>268</v>
      </c>
      <c r="E27" s="354"/>
      <c r="F27" s="1791" t="s">
        <v>475</v>
      </c>
      <c r="G27" s="1771"/>
      <c r="H27" s="2058"/>
      <c r="I27" s="1185"/>
      <c r="J27" s="1186"/>
      <c r="K27" s="1186"/>
      <c r="L27" s="1186"/>
      <c r="M27" s="1186"/>
      <c r="N27" s="1185"/>
      <c r="O27" s="1186"/>
      <c r="P27" s="1186"/>
      <c r="Q27" s="1186"/>
      <c r="R27" s="1186"/>
      <c r="S27" s="1185"/>
      <c r="T27" s="1186"/>
      <c r="U27" s="1186"/>
      <c r="V27" s="1186"/>
      <c r="W27" s="1200"/>
    </row>
    <row r="28" spans="1:23" ht="15.75">
      <c r="A28" s="2282"/>
      <c r="B28" s="1788"/>
      <c r="C28" s="365" t="s">
        <v>154</v>
      </c>
      <c r="D28" s="364" t="s">
        <v>392</v>
      </c>
      <c r="E28" s="354"/>
      <c r="F28" s="2294"/>
      <c r="G28" s="2294"/>
      <c r="H28" s="1877"/>
      <c r="I28" s="1185"/>
      <c r="J28" s="1186"/>
      <c r="K28" s="1186"/>
      <c r="L28" s="1186"/>
      <c r="M28" s="1186"/>
      <c r="N28" s="1185"/>
      <c r="O28" s="1186"/>
      <c r="P28" s="1186"/>
      <c r="Q28" s="1186"/>
      <c r="R28" s="1186"/>
      <c r="S28" s="1185"/>
      <c r="T28" s="1186"/>
      <c r="U28" s="1186"/>
      <c r="V28" s="1186"/>
      <c r="W28" s="1200"/>
    </row>
    <row r="29" spans="1:23" ht="16.5" thickBot="1">
      <c r="A29" s="2053"/>
      <c r="B29" s="1768"/>
      <c r="C29" s="366" t="s">
        <v>400</v>
      </c>
      <c r="D29" s="364" t="s">
        <v>393</v>
      </c>
      <c r="E29" s="354"/>
      <c r="F29" s="1780"/>
      <c r="G29" s="1780"/>
      <c r="H29" s="2054"/>
      <c r="I29" s="1185"/>
      <c r="J29" s="1186"/>
      <c r="K29" s="1186"/>
      <c r="L29" s="1186"/>
      <c r="M29" s="1186"/>
      <c r="N29" s="1185"/>
      <c r="O29" s="1186"/>
      <c r="P29" s="1186"/>
      <c r="Q29" s="1186"/>
      <c r="R29" s="1186"/>
      <c r="S29" s="1185"/>
      <c r="T29" s="1186"/>
      <c r="U29" s="1186"/>
      <c r="V29" s="1186"/>
      <c r="W29" s="1200"/>
    </row>
    <row r="30" spans="1:23" ht="15.75">
      <c r="A30" s="2295" t="s">
        <v>153</v>
      </c>
      <c r="B30" s="1766"/>
      <c r="C30" s="367" t="s">
        <v>155</v>
      </c>
      <c r="D30" s="364" t="s">
        <v>266</v>
      </c>
      <c r="E30" s="354"/>
      <c r="F30" s="1791" t="s">
        <v>475</v>
      </c>
      <c r="G30" s="1771"/>
      <c r="H30" s="2058"/>
      <c r="I30" s="1185"/>
      <c r="J30" s="1186"/>
      <c r="K30" s="1186"/>
      <c r="L30" s="1186"/>
      <c r="M30" s="1186"/>
      <c r="N30" s="1185"/>
      <c r="O30" s="1186"/>
      <c r="P30" s="1186"/>
      <c r="Q30" s="1186"/>
      <c r="R30" s="1186"/>
      <c r="S30" s="1185"/>
      <c r="T30" s="1186"/>
      <c r="U30" s="1186"/>
      <c r="V30" s="1186"/>
      <c r="W30" s="1200"/>
    </row>
    <row r="31" spans="1:23" ht="15.75">
      <c r="A31" s="2282"/>
      <c r="B31" s="1788"/>
      <c r="C31" s="365" t="s">
        <v>156</v>
      </c>
      <c r="D31" s="364" t="s">
        <v>394</v>
      </c>
      <c r="E31" s="354"/>
      <c r="F31" s="2294"/>
      <c r="G31" s="2294"/>
      <c r="H31" s="1877"/>
      <c r="I31" s="1185"/>
      <c r="J31" s="1186"/>
      <c r="K31" s="1186"/>
      <c r="L31" s="1186"/>
      <c r="M31" s="1186"/>
      <c r="N31" s="1185"/>
      <c r="O31" s="1186"/>
      <c r="P31" s="1186"/>
      <c r="Q31" s="1186"/>
      <c r="R31" s="1186"/>
      <c r="S31" s="1185"/>
      <c r="T31" s="1186"/>
      <c r="U31" s="1186"/>
      <c r="V31" s="1186"/>
      <c r="W31" s="1200"/>
    </row>
    <row r="32" spans="1:23" ht="16.5" thickBot="1">
      <c r="A32" s="2053"/>
      <c r="B32" s="1768"/>
      <c r="C32" s="366" t="s">
        <v>399</v>
      </c>
      <c r="D32" s="364" t="s">
        <v>395</v>
      </c>
      <c r="E32" s="354"/>
      <c r="F32" s="1780"/>
      <c r="G32" s="1780"/>
      <c r="H32" s="2054"/>
      <c r="I32" s="1185"/>
      <c r="J32" s="1186"/>
      <c r="K32" s="1186"/>
      <c r="L32" s="1186"/>
      <c r="M32" s="1186"/>
      <c r="N32" s="1185"/>
      <c r="O32" s="1186"/>
      <c r="P32" s="1186"/>
      <c r="Q32" s="1186"/>
      <c r="R32" s="1186"/>
      <c r="S32" s="1185"/>
      <c r="T32" s="1186"/>
      <c r="U32" s="1186"/>
      <c r="V32" s="1186"/>
      <c r="W32" s="1200"/>
    </row>
    <row r="33" spans="1:23" ht="16.5" thickBot="1">
      <c r="A33" s="2295" t="s">
        <v>482</v>
      </c>
      <c r="B33" s="1766"/>
      <c r="C33" s="367" t="s">
        <v>365</v>
      </c>
      <c r="D33" s="364" t="s">
        <v>252</v>
      </c>
      <c r="E33" s="354"/>
      <c r="F33" s="1791" t="s">
        <v>483</v>
      </c>
      <c r="G33" s="1771"/>
      <c r="H33" s="2058"/>
      <c r="I33" s="1185"/>
      <c r="J33" s="1186"/>
      <c r="K33" s="1186"/>
      <c r="L33" s="1186"/>
      <c r="M33" s="1186"/>
      <c r="N33" s="1185"/>
      <c r="O33" s="1186"/>
      <c r="P33" s="1186"/>
      <c r="Q33" s="1186"/>
      <c r="R33" s="1186"/>
      <c r="S33" s="1185"/>
      <c r="T33" s="1186"/>
      <c r="U33" s="1186"/>
      <c r="V33" s="1186"/>
      <c r="W33" s="1200"/>
    </row>
    <row r="34" spans="1:23" ht="16.5" thickBot="1">
      <c r="A34" s="2295" t="s">
        <v>484</v>
      </c>
      <c r="B34" s="1766"/>
      <c r="C34" s="367" t="s">
        <v>485</v>
      </c>
      <c r="D34" s="364" t="s">
        <v>264</v>
      </c>
      <c r="E34" s="354"/>
      <c r="F34" s="1800"/>
      <c r="G34" s="1771"/>
      <c r="H34" s="2058"/>
      <c r="I34" s="1185"/>
      <c r="J34" s="1186"/>
      <c r="K34" s="1186"/>
      <c r="L34" s="1186"/>
      <c r="M34" s="1186"/>
      <c r="N34" s="1185"/>
      <c r="O34" s="1186"/>
      <c r="P34" s="1186"/>
      <c r="Q34" s="1186"/>
      <c r="R34" s="1186"/>
      <c r="S34" s="1185"/>
      <c r="T34" s="1186"/>
      <c r="U34" s="1186"/>
      <c r="V34" s="1186"/>
      <c r="W34" s="1200"/>
    </row>
    <row r="35" spans="1:23" ht="15.75">
      <c r="A35" s="2289" t="s">
        <v>486</v>
      </c>
      <c r="B35" s="1766"/>
      <c r="C35" s="368" t="s">
        <v>43</v>
      </c>
      <c r="D35" s="369" t="s">
        <v>256</v>
      </c>
      <c r="E35" s="354"/>
      <c r="F35" s="1791" t="s">
        <v>487</v>
      </c>
      <c r="G35" s="1771"/>
      <c r="H35" s="2058"/>
      <c r="I35" s="1185"/>
      <c r="J35" s="1186"/>
      <c r="K35" s="1186"/>
      <c r="L35" s="1186"/>
      <c r="M35" s="1186"/>
      <c r="N35" s="1185"/>
      <c r="O35" s="1186"/>
      <c r="P35" s="1186"/>
      <c r="Q35" s="1186"/>
      <c r="R35" s="1186"/>
      <c r="S35" s="1185"/>
      <c r="T35" s="1186"/>
      <c r="U35" s="1186"/>
      <c r="V35" s="1186"/>
      <c r="W35" s="1200"/>
    </row>
    <row r="36" spans="1:23" ht="16.5" thickBot="1">
      <c r="A36" s="2053"/>
      <c r="B36" s="1768"/>
      <c r="C36" s="370" t="s">
        <v>60</v>
      </c>
      <c r="D36" s="369" t="s">
        <v>257</v>
      </c>
      <c r="E36" s="354"/>
      <c r="F36" s="1780"/>
      <c r="G36" s="1780"/>
      <c r="H36" s="2054"/>
      <c r="I36" s="1185"/>
      <c r="J36" s="1186"/>
      <c r="K36" s="1186"/>
      <c r="L36" s="1186"/>
      <c r="M36" s="1186"/>
      <c r="N36" s="1185"/>
      <c r="O36" s="1186"/>
      <c r="P36" s="1186"/>
      <c r="Q36" s="1186"/>
      <c r="R36" s="1186"/>
      <c r="S36" s="1185"/>
      <c r="T36" s="1186"/>
      <c r="U36" s="1186"/>
      <c r="V36" s="1186"/>
      <c r="W36" s="1200"/>
    </row>
    <row r="37" spans="1:23" ht="30">
      <c r="A37" s="2290" t="s">
        <v>33</v>
      </c>
      <c r="B37" s="1771"/>
      <c r="C37" s="371" t="s">
        <v>30</v>
      </c>
      <c r="D37" s="372" t="s">
        <v>170</v>
      </c>
      <c r="E37" s="400" t="s">
        <v>277</v>
      </c>
      <c r="F37" s="1820" t="s">
        <v>601</v>
      </c>
      <c r="G37" s="2140"/>
      <c r="H37" s="2291"/>
      <c r="I37" s="326" t="s">
        <v>277</v>
      </c>
      <c r="J37" s="1186">
        <v>1</v>
      </c>
      <c r="K37" s="1186"/>
      <c r="L37" s="1186">
        <v>100</v>
      </c>
      <c r="M37" s="1186">
        <f>(121*L37)*5</f>
        <v>60500</v>
      </c>
      <c r="N37" s="326" t="s">
        <v>277</v>
      </c>
      <c r="O37" s="1186">
        <v>1</v>
      </c>
      <c r="P37" s="1186"/>
      <c r="Q37" s="1186">
        <v>100</v>
      </c>
      <c r="R37" s="1186">
        <f>(121*Q37)*5</f>
        <v>60500</v>
      </c>
      <c r="S37" s="326" t="s">
        <v>277</v>
      </c>
      <c r="T37" s="1186">
        <v>1</v>
      </c>
      <c r="U37" s="1186"/>
      <c r="V37" s="1186">
        <v>100</v>
      </c>
      <c r="W37" s="1200">
        <f>(121*V37)*5</f>
        <v>60500</v>
      </c>
    </row>
    <row r="38" spans="1:23" ht="30">
      <c r="A38" s="2282"/>
      <c r="B38" s="1772"/>
      <c r="C38" s="373" t="s">
        <v>31</v>
      </c>
      <c r="D38" s="372" t="s">
        <v>169</v>
      </c>
      <c r="E38" s="399" t="s">
        <v>277</v>
      </c>
      <c r="F38" s="2292" t="s">
        <v>602</v>
      </c>
      <c r="G38" s="2140"/>
      <c r="H38" s="2291"/>
      <c r="I38" s="326" t="s">
        <v>277</v>
      </c>
      <c r="J38" s="1186">
        <v>1</v>
      </c>
      <c r="K38" s="1186"/>
      <c r="L38" s="1186">
        <v>100</v>
      </c>
      <c r="M38" s="1186">
        <f>(177*L38)*5</f>
        <v>88500</v>
      </c>
      <c r="N38" s="326" t="s">
        <v>277</v>
      </c>
      <c r="O38" s="1186">
        <v>1</v>
      </c>
      <c r="P38" s="1186"/>
      <c r="Q38" s="1186">
        <v>100</v>
      </c>
      <c r="R38" s="1186">
        <f>(177*Q38)*5</f>
        <v>88500</v>
      </c>
      <c r="S38" s="326" t="s">
        <v>277</v>
      </c>
      <c r="T38" s="1186">
        <v>1</v>
      </c>
      <c r="U38" s="1186"/>
      <c r="V38" s="1186">
        <v>100</v>
      </c>
      <c r="W38" s="1200">
        <f>(177*V38)*5</f>
        <v>88500</v>
      </c>
    </row>
    <row r="39" spans="1:23" ht="30.75" thickBot="1">
      <c r="A39" s="2282"/>
      <c r="B39" s="1772"/>
      <c r="C39" s="374" t="s">
        <v>32</v>
      </c>
      <c r="D39" s="372" t="s">
        <v>250</v>
      </c>
      <c r="E39" s="399" t="s">
        <v>277</v>
      </c>
      <c r="F39" s="2141"/>
      <c r="G39" s="2141"/>
      <c r="H39" s="2293"/>
      <c r="I39" s="326" t="s">
        <v>277</v>
      </c>
      <c r="J39" s="1186">
        <v>1</v>
      </c>
      <c r="K39" s="1186"/>
      <c r="L39" s="1186">
        <v>100</v>
      </c>
      <c r="M39" s="1186">
        <f>(233*L39)*5</f>
        <v>116500</v>
      </c>
      <c r="N39" s="326" t="s">
        <v>277</v>
      </c>
      <c r="O39" s="1186">
        <v>1</v>
      </c>
      <c r="P39" s="1186"/>
      <c r="Q39" s="1186">
        <v>100</v>
      </c>
      <c r="R39" s="1186">
        <f>(233*Q39)*5</f>
        <v>116500</v>
      </c>
      <c r="S39" s="326" t="s">
        <v>277</v>
      </c>
      <c r="T39" s="1186">
        <v>1</v>
      </c>
      <c r="U39" s="1186"/>
      <c r="V39" s="1186">
        <v>100</v>
      </c>
      <c r="W39" s="1200">
        <f>(233*V39)*5</f>
        <v>116500</v>
      </c>
    </row>
    <row r="40" spans="1:23" ht="15.75">
      <c r="A40" s="2286" t="s">
        <v>491</v>
      </c>
      <c r="B40" s="1787"/>
      <c r="C40" s="375" t="s">
        <v>144</v>
      </c>
      <c r="D40" s="376" t="s">
        <v>253</v>
      </c>
      <c r="E40" s="354"/>
      <c r="F40" s="1791" t="s">
        <v>492</v>
      </c>
      <c r="G40" s="1771"/>
      <c r="H40" s="2058"/>
      <c r="I40" s="326"/>
      <c r="J40" s="1186"/>
      <c r="K40" s="1186"/>
      <c r="L40" s="1186"/>
      <c r="M40" s="1186"/>
      <c r="N40" s="326"/>
      <c r="O40" s="1186"/>
      <c r="P40" s="1186"/>
      <c r="Q40" s="1186"/>
      <c r="R40" s="1186"/>
      <c r="S40" s="326"/>
      <c r="T40" s="1186"/>
      <c r="U40" s="1186"/>
      <c r="V40" s="1186"/>
      <c r="W40" s="1200"/>
    </row>
    <row r="41" spans="1:23" ht="16.5" thickBot="1">
      <c r="A41" s="2282"/>
      <c r="B41" s="1788"/>
      <c r="C41" s="377" t="s">
        <v>145</v>
      </c>
      <c r="D41" s="376" t="s">
        <v>254</v>
      </c>
      <c r="E41" s="354"/>
      <c r="F41" s="1780"/>
      <c r="G41" s="1780"/>
      <c r="H41" s="2054"/>
      <c r="I41" s="326"/>
      <c r="J41" s="1186"/>
      <c r="K41" s="1186"/>
      <c r="L41" s="1186"/>
      <c r="M41" s="1186"/>
      <c r="N41" s="326"/>
      <c r="O41" s="1186"/>
      <c r="P41" s="1186"/>
      <c r="Q41" s="1186"/>
      <c r="R41" s="1186"/>
      <c r="S41" s="326"/>
      <c r="T41" s="1186"/>
      <c r="U41" s="1186"/>
      <c r="V41" s="1186"/>
      <c r="W41" s="1200"/>
    </row>
    <row r="42" spans="1:23" ht="48" thickBot="1">
      <c r="A42" s="2287"/>
      <c r="B42" s="1790"/>
      <c r="C42" s="378" t="s">
        <v>128</v>
      </c>
      <c r="D42" s="376" t="s">
        <v>262</v>
      </c>
      <c r="E42" s="354"/>
      <c r="F42" s="1794"/>
      <c r="G42" s="1762"/>
      <c r="H42" s="2043"/>
      <c r="I42" s="326"/>
      <c r="J42" s="1186"/>
      <c r="K42" s="1186"/>
      <c r="L42" s="1186"/>
      <c r="M42" s="1186"/>
      <c r="N42" s="326"/>
      <c r="O42" s="1186"/>
      <c r="P42" s="1186"/>
      <c r="Q42" s="1186"/>
      <c r="R42" s="1186"/>
      <c r="S42" s="326"/>
      <c r="T42" s="1186"/>
      <c r="U42" s="1186"/>
      <c r="V42" s="1186"/>
      <c r="W42" s="1200"/>
    </row>
    <row r="43" spans="1:23" ht="37.5" customHeight="1" thickBot="1">
      <c r="A43" s="2284" t="s">
        <v>493</v>
      </c>
      <c r="B43" s="1776"/>
      <c r="C43" s="1777"/>
      <c r="D43" s="379" t="s">
        <v>237</v>
      </c>
      <c r="E43" s="402" t="s">
        <v>277</v>
      </c>
      <c r="F43" s="2096" t="s">
        <v>603</v>
      </c>
      <c r="G43" s="2117"/>
      <c r="H43" s="2288"/>
      <c r="I43" s="326" t="s">
        <v>277</v>
      </c>
      <c r="J43" s="1186">
        <v>2</v>
      </c>
      <c r="K43" s="1186"/>
      <c r="L43" s="1186">
        <v>15</v>
      </c>
      <c r="M43" s="1186">
        <f>(652*L43)*5</f>
        <v>48900</v>
      </c>
      <c r="N43" s="326" t="s">
        <v>277</v>
      </c>
      <c r="O43" s="1186">
        <v>2</v>
      </c>
      <c r="P43" s="1186"/>
      <c r="Q43" s="1186">
        <v>15</v>
      </c>
      <c r="R43" s="1186">
        <f>(652*Q43)*5</f>
        <v>48900</v>
      </c>
      <c r="S43" s="326" t="s">
        <v>277</v>
      </c>
      <c r="T43" s="1186">
        <v>2</v>
      </c>
      <c r="U43" s="1186"/>
      <c r="V43" s="1186">
        <v>15</v>
      </c>
      <c r="W43" s="1200">
        <f>(652*V43)*5</f>
        <v>48900</v>
      </c>
    </row>
    <row r="44" spans="1:23" ht="15.75" thickBot="1">
      <c r="A44" s="2284" t="s">
        <v>133</v>
      </c>
      <c r="B44" s="1776"/>
      <c r="C44" s="1777"/>
      <c r="D44" s="379" t="s">
        <v>238</v>
      </c>
      <c r="E44" s="399"/>
      <c r="F44" s="1763" t="s">
        <v>495</v>
      </c>
      <c r="G44" s="1762"/>
      <c r="H44" s="2043"/>
      <c r="I44" s="326"/>
      <c r="J44" s="1186"/>
      <c r="K44" s="1186"/>
      <c r="L44" s="1186"/>
      <c r="M44" s="1186"/>
      <c r="N44" s="326"/>
      <c r="O44" s="1186"/>
      <c r="P44" s="1186"/>
      <c r="Q44" s="1186"/>
      <c r="R44" s="1186"/>
      <c r="S44" s="326"/>
      <c r="T44" s="1186"/>
      <c r="U44" s="1186"/>
      <c r="V44" s="1186"/>
      <c r="W44" s="1200"/>
    </row>
    <row r="45" spans="1:23" ht="42" customHeight="1">
      <c r="A45" s="2285" t="s">
        <v>41</v>
      </c>
      <c r="B45" s="1772"/>
      <c r="C45" s="380" t="s">
        <v>50</v>
      </c>
      <c r="D45" s="381" t="s">
        <v>246</v>
      </c>
      <c r="E45" s="402" t="s">
        <v>277</v>
      </c>
      <c r="F45" s="1785" t="s">
        <v>604</v>
      </c>
      <c r="G45" s="2097"/>
      <c r="H45" s="2283"/>
      <c r="I45" s="326" t="s">
        <v>277</v>
      </c>
      <c r="J45" s="1186">
        <v>2</v>
      </c>
      <c r="K45" s="1186"/>
      <c r="L45" s="1186">
        <v>10</v>
      </c>
      <c r="M45" s="1186">
        <f>(82*L45)*5</f>
        <v>4100</v>
      </c>
      <c r="N45" s="326" t="s">
        <v>277</v>
      </c>
      <c r="O45" s="1186">
        <v>2</v>
      </c>
      <c r="P45" s="1186"/>
      <c r="Q45" s="1186">
        <v>10</v>
      </c>
      <c r="R45" s="1186">
        <f>(82*Q45)*5</f>
        <v>4100</v>
      </c>
      <c r="S45" s="326" t="s">
        <v>277</v>
      </c>
      <c r="T45" s="1186">
        <v>2</v>
      </c>
      <c r="U45" s="1186"/>
      <c r="V45" s="1186">
        <v>10</v>
      </c>
      <c r="W45" s="1200">
        <f>(82*V45)*5</f>
        <v>4100</v>
      </c>
    </row>
    <row r="46" spans="1:23" ht="37.5" customHeight="1">
      <c r="A46" s="2282"/>
      <c r="B46" s="1772"/>
      <c r="C46" s="382" t="s">
        <v>51</v>
      </c>
      <c r="D46" s="381" t="s">
        <v>247</v>
      </c>
      <c r="E46" s="401" t="s">
        <v>277</v>
      </c>
      <c r="F46" s="1785" t="s">
        <v>605</v>
      </c>
      <c r="G46" s="2097"/>
      <c r="H46" s="2283"/>
      <c r="I46" s="326" t="s">
        <v>277</v>
      </c>
      <c r="J46" s="1186">
        <v>1</v>
      </c>
      <c r="K46" s="1186"/>
      <c r="L46" s="1186">
        <v>10</v>
      </c>
      <c r="M46" s="1186">
        <f>(145*L46)*5</f>
        <v>7250</v>
      </c>
      <c r="N46" s="326" t="s">
        <v>277</v>
      </c>
      <c r="O46" s="1186">
        <v>1</v>
      </c>
      <c r="P46" s="1186"/>
      <c r="Q46" s="1186">
        <v>10</v>
      </c>
      <c r="R46" s="1186">
        <f>(145*Q46)*5</f>
        <v>7250</v>
      </c>
      <c r="S46" s="326" t="s">
        <v>277</v>
      </c>
      <c r="T46" s="1186">
        <v>1</v>
      </c>
      <c r="U46" s="1186"/>
      <c r="V46" s="1186">
        <v>10</v>
      </c>
      <c r="W46" s="1200">
        <f>(145*V46)*5</f>
        <v>7250</v>
      </c>
    </row>
    <row r="47" spans="1:23">
      <c r="A47" s="2282"/>
      <c r="B47" s="1772"/>
      <c r="C47" s="382" t="s">
        <v>39</v>
      </c>
      <c r="D47" s="381" t="s">
        <v>248</v>
      </c>
      <c r="E47" s="401" t="s">
        <v>277</v>
      </c>
      <c r="F47" s="1785" t="s">
        <v>606</v>
      </c>
      <c r="G47" s="2097"/>
      <c r="H47" s="2283"/>
      <c r="I47" s="326" t="s">
        <v>277</v>
      </c>
      <c r="J47" s="1186">
        <v>1</v>
      </c>
      <c r="K47" s="1186"/>
      <c r="L47" s="1186">
        <v>5</v>
      </c>
      <c r="M47" s="1186">
        <f>(200*L47)*5</f>
        <v>5000</v>
      </c>
      <c r="N47" s="326" t="s">
        <v>277</v>
      </c>
      <c r="O47" s="1186">
        <v>1</v>
      </c>
      <c r="P47" s="1186"/>
      <c r="Q47" s="1186">
        <v>5</v>
      </c>
      <c r="R47" s="1186">
        <f>(200*Q47)*5</f>
        <v>5000</v>
      </c>
      <c r="S47" s="326" t="s">
        <v>277</v>
      </c>
      <c r="T47" s="1186">
        <v>1</v>
      </c>
      <c r="U47" s="1186"/>
      <c r="V47" s="1186">
        <v>5</v>
      </c>
      <c r="W47" s="1200">
        <f>(200*V47)*5</f>
        <v>5000</v>
      </c>
    </row>
    <row r="48" spans="1:23" ht="15.75" thickBot="1">
      <c r="A48" s="2053"/>
      <c r="B48" s="1780"/>
      <c r="C48" s="383" t="s">
        <v>40</v>
      </c>
      <c r="D48" s="381" t="s">
        <v>249</v>
      </c>
      <c r="E48" s="403"/>
      <c r="F48" s="1785" t="s">
        <v>607</v>
      </c>
      <c r="G48" s="2097"/>
      <c r="H48" s="2283"/>
      <c r="I48" s="326"/>
      <c r="J48" s="1186"/>
      <c r="K48" s="1186"/>
      <c r="L48" s="1186"/>
      <c r="M48" s="1186"/>
      <c r="N48" s="326"/>
      <c r="O48" s="1186"/>
      <c r="P48" s="1186"/>
      <c r="Q48" s="1186"/>
      <c r="R48" s="1186"/>
      <c r="S48" s="326"/>
      <c r="T48" s="1186"/>
      <c r="U48" s="1186"/>
      <c r="V48" s="1186"/>
      <c r="W48" s="1200"/>
    </row>
    <row r="49" spans="1:23" ht="15.75">
      <c r="A49" s="2281" t="s">
        <v>130</v>
      </c>
      <c r="B49" s="1766"/>
      <c r="C49" s="375" t="s">
        <v>131</v>
      </c>
      <c r="D49" s="376" t="s">
        <v>255</v>
      </c>
      <c r="E49" s="401"/>
      <c r="F49" s="1769"/>
      <c r="G49" s="1762"/>
      <c r="H49" s="2043"/>
      <c r="I49" s="326"/>
      <c r="J49" s="1186"/>
      <c r="K49" s="1186"/>
      <c r="L49" s="1186"/>
      <c r="M49" s="1186"/>
      <c r="N49" s="326"/>
      <c r="O49" s="1186"/>
      <c r="P49" s="1186"/>
      <c r="Q49" s="1186"/>
      <c r="R49" s="1186"/>
      <c r="S49" s="326"/>
      <c r="T49" s="1186"/>
      <c r="U49" s="1186"/>
      <c r="V49" s="1186"/>
      <c r="W49" s="1200"/>
    </row>
    <row r="50" spans="1:23" ht="48" thickBot="1">
      <c r="A50" s="2053"/>
      <c r="B50" s="1768"/>
      <c r="C50" s="384" t="s">
        <v>132</v>
      </c>
      <c r="D50" s="376" t="s">
        <v>263</v>
      </c>
      <c r="E50" s="401"/>
      <c r="F50" s="1769"/>
      <c r="G50" s="1762"/>
      <c r="H50" s="2043"/>
      <c r="I50" s="326"/>
      <c r="J50" s="1186"/>
      <c r="K50" s="1186"/>
      <c r="L50" s="1186"/>
      <c r="M50" s="1186"/>
      <c r="N50" s="326"/>
      <c r="O50" s="1186"/>
      <c r="P50" s="1186"/>
      <c r="Q50" s="1186"/>
      <c r="R50" s="1186"/>
      <c r="S50" s="326"/>
      <c r="T50" s="1186"/>
      <c r="U50" s="1186"/>
      <c r="V50" s="1186"/>
      <c r="W50" s="1200"/>
    </row>
    <row r="51" spans="1:23">
      <c r="A51" s="2281" t="s">
        <v>42</v>
      </c>
      <c r="B51" s="1771"/>
      <c r="C51" s="385" t="s">
        <v>38</v>
      </c>
      <c r="D51" s="386" t="s">
        <v>239</v>
      </c>
      <c r="E51" s="402" t="s">
        <v>277</v>
      </c>
      <c r="F51" s="1818" t="s">
        <v>608</v>
      </c>
      <c r="G51" s="2097"/>
      <c r="H51" s="2283"/>
      <c r="I51" s="326" t="s">
        <v>277</v>
      </c>
      <c r="J51" s="1186">
        <v>1</v>
      </c>
      <c r="K51" s="1186"/>
      <c r="L51" s="1186">
        <v>1</v>
      </c>
      <c r="M51" s="1186">
        <f>(800*L51)*5</f>
        <v>4000</v>
      </c>
      <c r="N51" s="326" t="s">
        <v>277</v>
      </c>
      <c r="O51" s="1186">
        <v>1</v>
      </c>
      <c r="P51" s="1186"/>
      <c r="Q51" s="1186">
        <v>1</v>
      </c>
      <c r="R51" s="1186">
        <f>(800*Q51)*5</f>
        <v>4000</v>
      </c>
      <c r="S51" s="326" t="s">
        <v>277</v>
      </c>
      <c r="T51" s="1186">
        <v>1</v>
      </c>
      <c r="U51" s="1186"/>
      <c r="V51" s="1186">
        <v>1</v>
      </c>
      <c r="W51" s="1200">
        <f>(800*V51)*5</f>
        <v>4000</v>
      </c>
    </row>
    <row r="52" spans="1:23">
      <c r="A52" s="2282"/>
      <c r="B52" s="1772"/>
      <c r="C52" s="387" t="s">
        <v>55</v>
      </c>
      <c r="D52" s="386" t="s">
        <v>240</v>
      </c>
      <c r="E52" s="401"/>
      <c r="F52" s="1773"/>
      <c r="G52" s="1762"/>
      <c r="H52" s="2043"/>
      <c r="I52" s="1185"/>
      <c r="J52" s="1186"/>
      <c r="K52" s="1186"/>
      <c r="L52" s="1186"/>
      <c r="M52" s="1186"/>
      <c r="N52" s="1185"/>
      <c r="O52" s="1186"/>
      <c r="P52" s="1186"/>
      <c r="Q52" s="1186"/>
      <c r="R52" s="1186"/>
      <c r="S52" s="1185"/>
      <c r="T52" s="1186"/>
      <c r="U52" s="1186"/>
      <c r="V52" s="1186"/>
      <c r="W52" s="1200"/>
    </row>
    <row r="53" spans="1:23" ht="16.5" thickBot="1">
      <c r="A53" s="2282"/>
      <c r="B53" s="1772"/>
      <c r="C53" s="377" t="s">
        <v>48</v>
      </c>
      <c r="D53" s="388" t="s">
        <v>241</v>
      </c>
      <c r="E53" s="354"/>
      <c r="F53" s="1774"/>
      <c r="G53" s="1762"/>
      <c r="H53" s="2043"/>
      <c r="I53" s="1185"/>
      <c r="J53" s="1186"/>
      <c r="K53" s="1186"/>
      <c r="L53" s="1186"/>
      <c r="M53" s="1186"/>
      <c r="N53" s="1185"/>
      <c r="O53" s="1186"/>
      <c r="P53" s="1186"/>
      <c r="Q53" s="1186"/>
      <c r="R53" s="1186"/>
      <c r="S53" s="1185"/>
      <c r="T53" s="1186"/>
      <c r="U53" s="1186"/>
      <c r="V53" s="1186"/>
      <c r="W53" s="1200"/>
    </row>
    <row r="54" spans="1:23" ht="32.25" thickBot="1">
      <c r="A54" s="2279" t="s">
        <v>500</v>
      </c>
      <c r="B54" s="2040"/>
      <c r="C54" s="404" t="s">
        <v>134</v>
      </c>
      <c r="D54" s="405" t="s">
        <v>269</v>
      </c>
      <c r="E54" s="406"/>
      <c r="F54" s="2280" t="s">
        <v>501</v>
      </c>
      <c r="G54" s="2040"/>
      <c r="H54" s="2041"/>
      <c r="I54" s="1201"/>
      <c r="J54" s="1202"/>
      <c r="K54" s="1202"/>
      <c r="L54" s="1202"/>
      <c r="M54" s="1202"/>
      <c r="N54" s="1201"/>
      <c r="O54" s="1202"/>
      <c r="P54" s="1202"/>
      <c r="Q54" s="1202"/>
      <c r="R54" s="1202"/>
      <c r="S54" s="1201"/>
      <c r="T54" s="1202"/>
      <c r="U54" s="1202"/>
      <c r="V54" s="1202"/>
      <c r="W54" s="1203"/>
    </row>
    <row r="57" spans="1:23">
      <c r="M57">
        <f>SUM(M15:M54)</f>
        <v>546750</v>
      </c>
    </row>
    <row r="58" spans="1:23" ht="60">
      <c r="A58" s="1191" t="s">
        <v>948</v>
      </c>
      <c r="B58" s="1191" t="s">
        <v>949</v>
      </c>
      <c r="C58" s="1191" t="s">
        <v>950</v>
      </c>
      <c r="D58" s="1191" t="s">
        <v>951</v>
      </c>
      <c r="E58" s="1191" t="s">
        <v>952</v>
      </c>
    </row>
    <row r="59" spans="1:23">
      <c r="A59" s="1204" t="s">
        <v>953</v>
      </c>
      <c r="B59" s="624" t="s">
        <v>1005</v>
      </c>
      <c r="C59" s="695">
        <v>1</v>
      </c>
      <c r="D59" s="624">
        <v>1</v>
      </c>
      <c r="E59" s="635" t="s">
        <v>1007</v>
      </c>
    </row>
    <row r="60" spans="1:23">
      <c r="A60" s="1204" t="s">
        <v>956</v>
      </c>
      <c r="B60" s="624" t="s">
        <v>1005</v>
      </c>
      <c r="C60" s="695">
        <v>2</v>
      </c>
      <c r="D60" s="624">
        <v>1</v>
      </c>
      <c r="E60" s="635" t="s">
        <v>1008</v>
      </c>
    </row>
    <row r="61" spans="1:23">
      <c r="A61" s="1204" t="s">
        <v>957</v>
      </c>
      <c r="B61" s="624" t="s">
        <v>1005</v>
      </c>
      <c r="C61" s="695">
        <v>1</v>
      </c>
      <c r="D61" s="624">
        <v>6</v>
      </c>
      <c r="E61" s="635" t="s">
        <v>1009</v>
      </c>
    </row>
    <row r="62" spans="1:23">
      <c r="A62" s="1204" t="s">
        <v>959</v>
      </c>
      <c r="B62" s="624" t="s">
        <v>1005</v>
      </c>
      <c r="C62" s="695" t="s">
        <v>1010</v>
      </c>
      <c r="D62" s="624"/>
      <c r="E62" s="635" t="s">
        <v>1011</v>
      </c>
    </row>
    <row r="63" spans="1:23">
      <c r="A63" s="1204" t="s">
        <v>961</v>
      </c>
      <c r="B63" s="624" t="s">
        <v>954</v>
      </c>
      <c r="C63" s="695">
        <v>5</v>
      </c>
      <c r="D63" s="624">
        <v>5</v>
      </c>
      <c r="E63" s="635" t="s">
        <v>1012</v>
      </c>
    </row>
    <row r="64" spans="1:23">
      <c r="A64" s="1204" t="s">
        <v>963</v>
      </c>
      <c r="B64" s="624" t="s">
        <v>954</v>
      </c>
      <c r="C64" s="695">
        <v>5</v>
      </c>
      <c r="D64" s="624">
        <v>2.5</v>
      </c>
      <c r="E64" s="635" t="s">
        <v>1012</v>
      </c>
    </row>
    <row r="65" spans="1:7">
      <c r="A65" s="1204" t="s">
        <v>965</v>
      </c>
      <c r="B65" s="624" t="s">
        <v>1005</v>
      </c>
      <c r="C65" s="695" t="s">
        <v>1013</v>
      </c>
      <c r="D65" s="624">
        <v>10</v>
      </c>
      <c r="E65" s="635" t="s">
        <v>1014</v>
      </c>
    </row>
    <row r="66" spans="1:7">
      <c r="A66" s="1204" t="s">
        <v>967</v>
      </c>
      <c r="B66" s="624" t="s">
        <v>1005</v>
      </c>
      <c r="C66" s="695" t="s">
        <v>1015</v>
      </c>
      <c r="D66" s="624"/>
      <c r="E66" s="635" t="s">
        <v>1011</v>
      </c>
    </row>
    <row r="67" spans="1:7">
      <c r="A67" s="1204" t="s">
        <v>969</v>
      </c>
      <c r="B67" s="624" t="s">
        <v>1005</v>
      </c>
      <c r="C67" s="695" t="s">
        <v>1016</v>
      </c>
      <c r="D67" s="624">
        <v>7</v>
      </c>
      <c r="E67" s="635" t="s">
        <v>1011</v>
      </c>
    </row>
    <row r="68" spans="1:7">
      <c r="A68" s="1204" t="s">
        <v>971</v>
      </c>
      <c r="B68" s="624" t="s">
        <v>1005</v>
      </c>
      <c r="C68" s="695" t="s">
        <v>1013</v>
      </c>
      <c r="D68" s="624">
        <v>2.5</v>
      </c>
      <c r="E68" s="635" t="s">
        <v>1011</v>
      </c>
      <c r="G68" s="8">
        <f>35-7.5</f>
        <v>27.5</v>
      </c>
    </row>
    <row r="69" spans="1:7">
      <c r="A69" s="1204" t="s">
        <v>986</v>
      </c>
      <c r="B69" s="1186"/>
      <c r="C69" s="1186"/>
      <c r="D69" s="1186"/>
      <c r="E69" s="1205"/>
    </row>
    <row r="70" spans="1:7">
      <c r="A70" s="1192"/>
      <c r="B70" s="1186"/>
      <c r="C70" s="1186"/>
      <c r="D70" s="1186"/>
      <c r="E70" s="1205"/>
    </row>
    <row r="71" spans="1:7">
      <c r="A71" s="1192"/>
      <c r="B71" s="1186"/>
      <c r="C71" s="1186"/>
      <c r="D71" s="1186"/>
      <c r="E71" s="1205"/>
    </row>
    <row r="75" spans="1:7">
      <c r="A75" s="1912" t="s">
        <v>1270</v>
      </c>
      <c r="B75" s="1913"/>
      <c r="C75" s="1913"/>
      <c r="D75" s="1913"/>
      <c r="E75" s="1913"/>
      <c r="F75" s="1913"/>
    </row>
    <row r="76" spans="1:7" ht="75">
      <c r="A76" s="1305" t="s">
        <v>1271</v>
      </c>
      <c r="B76" s="1305" t="s">
        <v>1272</v>
      </c>
      <c r="C76" s="1305" t="s">
        <v>1273</v>
      </c>
      <c r="D76" s="1305" t="s">
        <v>1274</v>
      </c>
      <c r="E76" s="1305" t="s">
        <v>1275</v>
      </c>
      <c r="F76" s="1305" t="s">
        <v>1276</v>
      </c>
    </row>
    <row r="77" spans="1:7" ht="315">
      <c r="A77" s="1304"/>
      <c r="B77" s="1306" t="s">
        <v>1343</v>
      </c>
      <c r="C77" s="1307" t="s">
        <v>1344</v>
      </c>
      <c r="D77" s="1307" t="s">
        <v>954</v>
      </c>
      <c r="E77" s="1308" t="s">
        <v>1345</v>
      </c>
      <c r="F77" s="1310">
        <v>6</v>
      </c>
    </row>
    <row r="78" spans="1:7" ht="409.5">
      <c r="A78" s="1304"/>
      <c r="B78" s="1306" t="s">
        <v>1346</v>
      </c>
      <c r="C78" s="1307" t="s">
        <v>1344</v>
      </c>
      <c r="D78" s="1307" t="s">
        <v>954</v>
      </c>
      <c r="E78" s="1309" t="s">
        <v>1347</v>
      </c>
      <c r="F78" s="1310">
        <v>10</v>
      </c>
    </row>
    <row r="79" spans="1:7" ht="409.5">
      <c r="A79" s="1304"/>
      <c r="B79" s="1306" t="s">
        <v>1348</v>
      </c>
      <c r="C79" s="1307" t="s">
        <v>1344</v>
      </c>
      <c r="D79" s="1307" t="s">
        <v>954</v>
      </c>
      <c r="E79" s="1309" t="s">
        <v>1349</v>
      </c>
      <c r="F79" s="1310">
        <v>10</v>
      </c>
    </row>
    <row r="80" spans="1:7" ht="345">
      <c r="A80" s="1304"/>
      <c r="B80" s="1306" t="s">
        <v>1350</v>
      </c>
      <c r="C80" s="1307" t="s">
        <v>1351</v>
      </c>
      <c r="D80" s="1307" t="s">
        <v>1005</v>
      </c>
      <c r="E80" s="1307" t="s">
        <v>1352</v>
      </c>
      <c r="F80" s="1310" t="s">
        <v>1353</v>
      </c>
    </row>
    <row r="81" spans="1:6" ht="360">
      <c r="A81" s="1304"/>
      <c r="B81" s="1306" t="s">
        <v>1354</v>
      </c>
      <c r="C81" s="1307" t="s">
        <v>1351</v>
      </c>
      <c r="D81" s="1307" t="s">
        <v>1005</v>
      </c>
      <c r="E81" s="1307" t="s">
        <v>1352</v>
      </c>
      <c r="F81" s="1310" t="s">
        <v>1353</v>
      </c>
    </row>
  </sheetData>
  <mergeCells count="59">
    <mergeCell ref="A75:F75"/>
    <mergeCell ref="N13:R13"/>
    <mergeCell ref="S13:W13"/>
    <mergeCell ref="A15:B17"/>
    <mergeCell ref="F15:H17"/>
    <mergeCell ref="A18:B20"/>
    <mergeCell ref="F18:H20"/>
    <mergeCell ref="A21:B22"/>
    <mergeCell ref="F21:H22"/>
    <mergeCell ref="A23:B25"/>
    <mergeCell ref="F23:H25"/>
    <mergeCell ref="A26:C26"/>
    <mergeCell ref="F26:H26"/>
    <mergeCell ref="A27:B29"/>
    <mergeCell ref="F27:H29"/>
    <mergeCell ref="A30:B32"/>
    <mergeCell ref="J10:J11"/>
    <mergeCell ref="C10:H10"/>
    <mergeCell ref="A10:B10"/>
    <mergeCell ref="E12:H13"/>
    <mergeCell ref="A14:B14"/>
    <mergeCell ref="F14:H14"/>
    <mergeCell ref="I13:M13"/>
    <mergeCell ref="B2:D2"/>
    <mergeCell ref="B3:D3"/>
    <mergeCell ref="B8:D8"/>
    <mergeCell ref="B4:D4"/>
    <mergeCell ref="B6:D6"/>
    <mergeCell ref="F30:H32"/>
    <mergeCell ref="A33:B33"/>
    <mergeCell ref="F33:H33"/>
    <mergeCell ref="A34:B34"/>
    <mergeCell ref="F34:H34"/>
    <mergeCell ref="A35:B36"/>
    <mergeCell ref="F35:H36"/>
    <mergeCell ref="A37:B39"/>
    <mergeCell ref="F37:H37"/>
    <mergeCell ref="F38:H39"/>
    <mergeCell ref="A40:B42"/>
    <mergeCell ref="F40:H41"/>
    <mergeCell ref="F42:H42"/>
    <mergeCell ref="A43:C43"/>
    <mergeCell ref="F43:H43"/>
    <mergeCell ref="A44:C44"/>
    <mergeCell ref="F44:H44"/>
    <mergeCell ref="A45:B48"/>
    <mergeCell ref="F45:H45"/>
    <mergeCell ref="F46:H46"/>
    <mergeCell ref="F47:H47"/>
    <mergeCell ref="F48:H48"/>
    <mergeCell ref="A54:B54"/>
    <mergeCell ref="F54:H54"/>
    <mergeCell ref="A49:B50"/>
    <mergeCell ref="F49:H49"/>
    <mergeCell ref="F50:H50"/>
    <mergeCell ref="A51:B53"/>
    <mergeCell ref="F51:H51"/>
    <mergeCell ref="F52:H52"/>
    <mergeCell ref="F53:H53"/>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$K$2:$K$3</formula1>
    </dataValidation>
    <dataValidation type="list" allowBlank="1" showErrorMessage="1" sqref="H3">
      <formula1>$K$4:$K$5</formula1>
    </dataValidation>
  </dataValidations>
  <hyperlinks>
    <hyperlink ref="J2" location="SOMMAIRE!A1" display="Retour sommaire"/>
    <hyperlink ref="J4" location="SYNTHESE!A1" display="Retour synthèse"/>
    <hyperlink ref="H7" r:id="rId1"/>
  </hyperlinks>
  <pageMargins left="0.7" right="0.7" top="0.75" bottom="0.75" header="0.3" footer="0.3"/>
  <pageSetup paperSize="9" scale="83" orientation="landscape"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W76"/>
  <sheetViews>
    <sheetView topLeftCell="A16" zoomScale="110" zoomScaleNormal="110" workbookViewId="0">
      <selection activeCell="F49" sqref="F49:H49"/>
    </sheetView>
  </sheetViews>
  <sheetFormatPr baseColWidth="10" defaultRowHeight="15"/>
  <cols>
    <col min="1" max="1" width="20.42578125" style="1" bestFit="1" customWidth="1"/>
    <col min="2" max="2" width="15.7109375" style="1" customWidth="1"/>
    <col min="3" max="3" width="44.140625" style="1" customWidth="1"/>
    <col min="4" max="4" width="9.140625" style="1" customWidth="1"/>
    <col min="5" max="5" width="15.7109375" style="1" customWidth="1"/>
    <col min="6" max="6" width="16.28515625" style="1" bestFit="1" customWidth="1"/>
    <col min="7" max="7" width="17.7109375" style="1" customWidth="1"/>
    <col min="8" max="8" width="15.140625" bestFit="1" customWidth="1"/>
    <col min="10" max="10" width="16.42578125" bestFit="1" customWidth="1"/>
  </cols>
  <sheetData>
    <row r="1" spans="1:23" ht="15.75" thickBot="1">
      <c r="A1"/>
      <c r="B1"/>
      <c r="C1"/>
      <c r="D1"/>
      <c r="E1"/>
      <c r="F1"/>
      <c r="G1"/>
    </row>
    <row r="2" spans="1:23" ht="15.75" thickBot="1">
      <c r="A2" s="109" t="s">
        <v>0</v>
      </c>
      <c r="B2" s="2029" t="s">
        <v>519</v>
      </c>
      <c r="C2" s="2144"/>
      <c r="D2" s="2145"/>
      <c r="E2" s="110"/>
      <c r="F2" s="110"/>
      <c r="G2" s="111" t="s">
        <v>462</v>
      </c>
      <c r="H2" s="185"/>
    </row>
    <row r="3" spans="1:23" ht="15.75" thickBot="1">
      <c r="A3" s="113" t="s">
        <v>344</v>
      </c>
      <c r="B3" s="2029" t="s">
        <v>519</v>
      </c>
      <c r="C3" s="2144"/>
      <c r="D3" s="2145"/>
      <c r="E3" s="110"/>
      <c r="F3" s="110"/>
      <c r="G3" s="114" t="s">
        <v>10</v>
      </c>
      <c r="H3" s="177" t="s">
        <v>16</v>
      </c>
      <c r="J3" s="1247"/>
    </row>
    <row r="4" spans="1:23" ht="15.75" customHeight="1" thickBot="1">
      <c r="A4" s="114" t="s">
        <v>3</v>
      </c>
      <c r="B4" s="1823" t="s">
        <v>520</v>
      </c>
      <c r="C4" s="2144"/>
      <c r="D4" s="2145"/>
      <c r="E4" s="115"/>
      <c r="F4" s="110"/>
      <c r="G4" s="116" t="s">
        <v>26</v>
      </c>
      <c r="H4" s="186">
        <v>7</v>
      </c>
      <c r="J4" s="13" t="s">
        <v>73</v>
      </c>
    </row>
    <row r="5" spans="1:23" ht="15.75" customHeight="1" thickBot="1">
      <c r="A5" s="110"/>
      <c r="B5" s="110"/>
      <c r="C5" s="110"/>
      <c r="D5" s="110"/>
      <c r="E5" s="110"/>
      <c r="F5" s="110"/>
      <c r="G5" s="110"/>
      <c r="H5" s="110"/>
      <c r="J5" s="13"/>
    </row>
    <row r="6" spans="1:23" ht="120.75" thickBot="1">
      <c r="A6" s="109" t="s">
        <v>465</v>
      </c>
      <c r="B6" s="2307" t="s">
        <v>1580</v>
      </c>
      <c r="C6" s="2308"/>
      <c r="D6" s="2309"/>
      <c r="E6" s="110"/>
      <c r="F6" s="110"/>
      <c r="G6" s="118" t="s">
        <v>466</v>
      </c>
      <c r="H6" s="187" t="s">
        <v>521</v>
      </c>
      <c r="J6" s="13" t="s">
        <v>381</v>
      </c>
    </row>
    <row r="7" spans="1:23" ht="15.75" thickBot="1">
      <c r="A7"/>
      <c r="B7" s="110"/>
      <c r="C7" s="110"/>
      <c r="D7" s="110"/>
      <c r="E7" s="110"/>
      <c r="F7" s="110"/>
      <c r="G7" s="120"/>
      <c r="H7" s="110"/>
    </row>
    <row r="8" spans="1:23" ht="30.75" customHeight="1" thickBot="1">
      <c r="A8" s="121" t="s">
        <v>7</v>
      </c>
      <c r="B8" s="1823" t="s">
        <v>507</v>
      </c>
      <c r="C8" s="2144"/>
      <c r="D8" s="2145"/>
      <c r="E8" s="115"/>
      <c r="F8" s="122"/>
      <c r="G8" s="584" t="s">
        <v>469</v>
      </c>
      <c r="H8" s="586" t="s">
        <v>508</v>
      </c>
    </row>
    <row r="9" spans="1:23">
      <c r="A9" s="179"/>
      <c r="B9" s="180"/>
      <c r="C9" s="181"/>
      <c r="D9" s="181"/>
      <c r="E9" s="115"/>
      <c r="F9" s="122"/>
      <c r="G9" s="587"/>
      <c r="H9" s="588"/>
    </row>
    <row r="10" spans="1:23" ht="54" customHeight="1">
      <c r="A10"/>
      <c r="B10" s="110"/>
      <c r="C10" s="110"/>
      <c r="D10" s="110"/>
      <c r="E10" s="110"/>
      <c r="F10" s="110"/>
      <c r="G10" s="587"/>
      <c r="H10" s="588"/>
      <c r="J10" s="1259"/>
    </row>
    <row r="11" spans="1:23" ht="216.75" customHeight="1">
      <c r="A11" s="2174" t="s">
        <v>471</v>
      </c>
      <c r="B11" s="2148"/>
      <c r="C11" s="2306" t="s">
        <v>522</v>
      </c>
      <c r="D11" s="2306"/>
      <c r="E11" s="2306"/>
      <c r="F11" s="2306"/>
      <c r="G11" s="2306"/>
      <c r="H11" s="2306"/>
    </row>
    <row r="12" spans="1:23">
      <c r="A12" s="126"/>
      <c r="B12" s="115"/>
      <c r="C12" s="115"/>
      <c r="D12" s="115"/>
      <c r="E12" s="115"/>
      <c r="F12" s="122"/>
      <c r="G12" s="125"/>
      <c r="H12" s="125"/>
    </row>
    <row r="13" spans="1:23" ht="68.25" customHeight="1">
      <c r="A13" s="126"/>
      <c r="B13" s="115"/>
      <c r="C13" s="115"/>
      <c r="D13" s="115"/>
      <c r="E13" s="2181" t="s">
        <v>473</v>
      </c>
      <c r="F13" s="2148"/>
      <c r="G13" s="2148"/>
      <c r="H13" s="2148"/>
    </row>
    <row r="14" spans="1:23" ht="29.25" customHeight="1">
      <c r="A14" s="110"/>
      <c r="B14" s="110"/>
      <c r="C14" s="110"/>
      <c r="D14" s="110"/>
      <c r="E14" s="2141"/>
      <c r="F14" s="2141"/>
      <c r="G14" s="2141"/>
      <c r="H14" s="2141"/>
      <c r="I14" s="2186">
        <v>2025</v>
      </c>
      <c r="J14" s="2097"/>
      <c r="K14" s="2097"/>
      <c r="L14" s="2097"/>
      <c r="M14" s="2098"/>
      <c r="N14" s="2186">
        <v>2026</v>
      </c>
      <c r="O14" s="2097"/>
      <c r="P14" s="2097"/>
      <c r="Q14" s="2097"/>
      <c r="R14" s="2098"/>
      <c r="S14" s="2186">
        <v>2027</v>
      </c>
      <c r="T14" s="2097"/>
      <c r="U14" s="2097"/>
      <c r="V14" s="2097"/>
      <c r="W14" s="2098"/>
    </row>
    <row r="15" spans="1:23" ht="31.5" customHeight="1" thickBot="1">
      <c r="A15" s="2184" t="s">
        <v>5</v>
      </c>
      <c r="B15" s="2137"/>
      <c r="C15" s="128" t="s">
        <v>1</v>
      </c>
      <c r="D15" s="128" t="s">
        <v>260</v>
      </c>
      <c r="E15" s="129" t="s">
        <v>474</v>
      </c>
      <c r="F15" s="2182" t="s">
        <v>6</v>
      </c>
      <c r="G15" s="2097"/>
      <c r="H15" s="2098"/>
      <c r="I15" s="615" t="s">
        <v>474</v>
      </c>
      <c r="J15" s="616" t="s">
        <v>944</v>
      </c>
      <c r="K15" s="617" t="s">
        <v>945</v>
      </c>
      <c r="L15" s="616" t="s">
        <v>946</v>
      </c>
      <c r="M15" s="618" t="s">
        <v>947</v>
      </c>
      <c r="N15" s="615" t="s">
        <v>474</v>
      </c>
      <c r="O15" s="616" t="s">
        <v>944</v>
      </c>
      <c r="P15" s="617" t="s">
        <v>945</v>
      </c>
      <c r="Q15" s="616" t="s">
        <v>946</v>
      </c>
      <c r="R15" s="618" t="s">
        <v>947</v>
      </c>
      <c r="S15" s="615" t="s">
        <v>474</v>
      </c>
      <c r="T15" s="616" t="s">
        <v>944</v>
      </c>
      <c r="U15" s="617" t="s">
        <v>945</v>
      </c>
      <c r="V15" s="616" t="s">
        <v>946</v>
      </c>
      <c r="W15" s="618" t="s">
        <v>947</v>
      </c>
    </row>
    <row r="16" spans="1:23" ht="52.5" customHeight="1">
      <c r="A16" s="2183" t="s">
        <v>17</v>
      </c>
      <c r="B16" s="2140"/>
      <c r="C16" s="130" t="s">
        <v>59</v>
      </c>
      <c r="D16" s="131" t="s">
        <v>251</v>
      </c>
      <c r="E16" s="132"/>
      <c r="F16" s="1828" t="s">
        <v>475</v>
      </c>
      <c r="G16" s="2140"/>
      <c r="H16" s="2137"/>
      <c r="I16" s="619"/>
      <c r="J16" s="620"/>
      <c r="K16" s="620"/>
      <c r="L16" s="620"/>
      <c r="M16" s="621"/>
      <c r="N16" s="619"/>
      <c r="O16" s="620"/>
      <c r="P16" s="620"/>
      <c r="Q16" s="620"/>
      <c r="R16" s="621"/>
      <c r="S16" s="619"/>
      <c r="T16" s="620"/>
      <c r="U16" s="620"/>
      <c r="V16" s="620"/>
      <c r="W16" s="622"/>
    </row>
    <row r="17" spans="1:23" ht="37.5" customHeight="1">
      <c r="A17" s="2148"/>
      <c r="B17" s="2148"/>
      <c r="C17" s="133" t="s">
        <v>18</v>
      </c>
      <c r="D17" s="134" t="s">
        <v>168</v>
      </c>
      <c r="E17" s="135"/>
      <c r="F17" s="1845"/>
      <c r="G17" s="1845"/>
      <c r="H17" s="2139"/>
      <c r="I17" s="623"/>
      <c r="J17" s="624"/>
      <c r="K17" s="624"/>
      <c r="L17" s="624"/>
      <c r="M17" s="624"/>
      <c r="N17" s="623"/>
      <c r="O17" s="624"/>
      <c r="P17" s="624"/>
      <c r="Q17" s="624"/>
      <c r="R17" s="624"/>
      <c r="S17" s="623"/>
      <c r="T17" s="624"/>
      <c r="U17" s="624"/>
      <c r="V17" s="624"/>
      <c r="W17" s="625"/>
    </row>
    <row r="18" spans="1:23" ht="29.25" customHeight="1" thickBot="1">
      <c r="A18" s="2141"/>
      <c r="B18" s="2141"/>
      <c r="C18" s="136" t="s">
        <v>19</v>
      </c>
      <c r="D18" s="137" t="s">
        <v>233</v>
      </c>
      <c r="E18" s="138"/>
      <c r="F18" s="2141"/>
      <c r="G18" s="2141"/>
      <c r="H18" s="2142"/>
      <c r="I18" s="326"/>
      <c r="J18" s="624"/>
      <c r="K18" s="624"/>
      <c r="L18" s="624"/>
      <c r="M18" s="624"/>
      <c r="N18" s="326"/>
      <c r="O18" s="624"/>
      <c r="P18" s="624"/>
      <c r="Q18" s="624"/>
      <c r="R18" s="624"/>
      <c r="S18" s="326"/>
      <c r="T18" s="624"/>
      <c r="U18" s="624"/>
      <c r="V18" s="624"/>
      <c r="W18" s="625"/>
    </row>
    <row r="19" spans="1:23" ht="29.25" customHeight="1">
      <c r="A19" s="2183" t="s">
        <v>20</v>
      </c>
      <c r="B19" s="2140"/>
      <c r="C19" s="130" t="s">
        <v>54</v>
      </c>
      <c r="D19" s="137" t="s">
        <v>261</v>
      </c>
      <c r="E19" s="138"/>
      <c r="F19" s="1828" t="s">
        <v>475</v>
      </c>
      <c r="G19" s="2140"/>
      <c r="H19" s="2137"/>
      <c r="I19" s="326"/>
      <c r="J19" s="624"/>
      <c r="K19" s="624"/>
      <c r="L19" s="624"/>
      <c r="M19" s="624"/>
      <c r="N19" s="326"/>
      <c r="O19" s="624"/>
      <c r="P19" s="624"/>
      <c r="Q19" s="624"/>
      <c r="R19" s="624"/>
      <c r="S19" s="326"/>
      <c r="T19" s="624"/>
      <c r="U19" s="624"/>
      <c r="V19" s="624"/>
      <c r="W19" s="625"/>
    </row>
    <row r="20" spans="1:23" ht="30" customHeight="1">
      <c r="A20" s="2148"/>
      <c r="B20" s="2148"/>
      <c r="C20" s="139" t="s">
        <v>21</v>
      </c>
      <c r="D20" s="137" t="s">
        <v>234</v>
      </c>
      <c r="E20" s="138"/>
      <c r="F20" s="1845"/>
      <c r="G20" s="1845"/>
      <c r="H20" s="2139"/>
      <c r="I20" s="326"/>
      <c r="J20" s="624"/>
      <c r="K20" s="624"/>
      <c r="L20" s="624"/>
      <c r="M20" s="624"/>
      <c r="N20" s="326"/>
      <c r="O20" s="624"/>
      <c r="P20" s="624"/>
      <c r="Q20" s="624"/>
      <c r="R20" s="624"/>
      <c r="S20" s="326"/>
      <c r="T20" s="624"/>
      <c r="U20" s="624"/>
      <c r="V20" s="624"/>
      <c r="W20" s="625"/>
    </row>
    <row r="21" spans="1:23" ht="29.25" customHeight="1" thickBot="1">
      <c r="A21" s="2148"/>
      <c r="B21" s="2148"/>
      <c r="C21" s="136" t="s">
        <v>22</v>
      </c>
      <c r="D21" s="137" t="s">
        <v>235</v>
      </c>
      <c r="E21" s="138"/>
      <c r="F21" s="2141"/>
      <c r="G21" s="2141"/>
      <c r="H21" s="2142"/>
      <c r="I21" s="326"/>
      <c r="J21" s="624"/>
      <c r="K21" s="624"/>
      <c r="L21" s="624"/>
      <c r="M21" s="624"/>
      <c r="N21" s="326"/>
      <c r="O21" s="624"/>
      <c r="P21" s="624"/>
      <c r="Q21" s="624"/>
      <c r="R21" s="624"/>
      <c r="S21" s="326"/>
      <c r="T21" s="624"/>
      <c r="U21" s="624"/>
      <c r="V21" s="624"/>
      <c r="W21" s="625"/>
    </row>
    <row r="22" spans="1:23">
      <c r="A22" s="2183" t="s">
        <v>23</v>
      </c>
      <c r="B22" s="2140"/>
      <c r="C22" s="140" t="s">
        <v>69</v>
      </c>
      <c r="D22" s="137" t="s">
        <v>267</v>
      </c>
      <c r="E22" s="138"/>
      <c r="F22" s="1828" t="s">
        <v>477</v>
      </c>
      <c r="G22" s="2140"/>
      <c r="H22" s="2137"/>
      <c r="I22" s="326"/>
      <c r="J22" s="624"/>
      <c r="K22" s="624"/>
      <c r="L22" s="624"/>
      <c r="M22" s="624"/>
      <c r="N22" s="326"/>
      <c r="O22" s="624"/>
      <c r="P22" s="624"/>
      <c r="Q22" s="624"/>
      <c r="R22" s="624"/>
      <c r="S22" s="326"/>
      <c r="T22" s="624"/>
      <c r="U22" s="624"/>
      <c r="V22" s="624"/>
      <c r="W22" s="625"/>
    </row>
    <row r="23" spans="1:23" ht="15.75" thickBot="1">
      <c r="A23" s="2141"/>
      <c r="B23" s="2141"/>
      <c r="C23" s="141" t="s">
        <v>24</v>
      </c>
      <c r="D23" s="142" t="s">
        <v>236</v>
      </c>
      <c r="E23" s="138"/>
      <c r="F23" s="2141"/>
      <c r="G23" s="2141"/>
      <c r="H23" s="2142"/>
      <c r="I23" s="326"/>
      <c r="J23" s="624"/>
      <c r="K23" s="624"/>
      <c r="L23" s="624"/>
      <c r="M23" s="624"/>
      <c r="N23" s="326"/>
      <c r="O23" s="624"/>
      <c r="P23" s="624"/>
      <c r="Q23" s="624"/>
      <c r="R23" s="624"/>
      <c r="S23" s="326"/>
      <c r="T23" s="624"/>
      <c r="U23" s="624"/>
      <c r="V23" s="624"/>
      <c r="W23" s="625"/>
    </row>
    <row r="24" spans="1:23" ht="15.75">
      <c r="A24" s="2136" t="s">
        <v>478</v>
      </c>
      <c r="B24" s="2137"/>
      <c r="C24" s="143" t="s">
        <v>360</v>
      </c>
      <c r="D24" s="142" t="s">
        <v>265</v>
      </c>
      <c r="E24" s="138"/>
      <c r="F24" s="1828" t="s">
        <v>477</v>
      </c>
      <c r="G24" s="2140"/>
      <c r="H24" s="2137"/>
      <c r="I24" s="326"/>
      <c r="J24" s="624"/>
      <c r="K24" s="624"/>
      <c r="L24" s="624"/>
      <c r="M24" s="624"/>
      <c r="N24" s="326"/>
      <c r="O24" s="624"/>
      <c r="P24" s="624"/>
      <c r="Q24" s="624"/>
      <c r="R24" s="624"/>
      <c r="S24" s="326"/>
      <c r="T24" s="624"/>
      <c r="U24" s="624"/>
      <c r="V24" s="624"/>
      <c r="W24" s="625"/>
    </row>
    <row r="25" spans="1:23" ht="15.75">
      <c r="A25" s="2138"/>
      <c r="B25" s="2139"/>
      <c r="C25" s="144" t="s">
        <v>361</v>
      </c>
      <c r="D25" s="142" t="s">
        <v>362</v>
      </c>
      <c r="E25" s="138"/>
      <c r="F25" s="1845"/>
      <c r="G25" s="1845"/>
      <c r="H25" s="2139"/>
      <c r="I25" s="326"/>
      <c r="J25" s="624"/>
      <c r="K25" s="624"/>
      <c r="L25" s="624"/>
      <c r="M25" s="624"/>
      <c r="N25" s="326"/>
      <c r="O25" s="624"/>
      <c r="P25" s="624"/>
      <c r="Q25" s="624"/>
      <c r="R25" s="624"/>
      <c r="S25" s="326"/>
      <c r="T25" s="624"/>
      <c r="U25" s="624"/>
      <c r="V25" s="624"/>
      <c r="W25" s="625"/>
    </row>
    <row r="26" spans="1:23" ht="16.5" thickBot="1">
      <c r="A26" s="2138"/>
      <c r="B26" s="2139"/>
      <c r="C26" s="145" t="s">
        <v>479</v>
      </c>
      <c r="D26" s="142" t="s">
        <v>480</v>
      </c>
      <c r="E26" s="138"/>
      <c r="F26" s="2141"/>
      <c r="G26" s="2141"/>
      <c r="H26" s="2142"/>
      <c r="I26" s="326"/>
      <c r="J26" s="624"/>
      <c r="K26" s="624"/>
      <c r="L26" s="624"/>
      <c r="M26" s="624"/>
      <c r="N26" s="326"/>
      <c r="O26" s="624"/>
      <c r="P26" s="624"/>
      <c r="Q26" s="624"/>
      <c r="R26" s="624"/>
      <c r="S26" s="326"/>
      <c r="T26" s="624"/>
      <c r="U26" s="624"/>
      <c r="V26" s="624"/>
      <c r="W26" s="625"/>
    </row>
    <row r="27" spans="1:23" ht="15.75" thickBot="1">
      <c r="A27" s="2143" t="s">
        <v>25</v>
      </c>
      <c r="B27" s="2144"/>
      <c r="C27" s="2145"/>
      <c r="D27" s="146" t="s">
        <v>270</v>
      </c>
      <c r="E27" s="138"/>
      <c r="F27" s="1818" t="s">
        <v>481</v>
      </c>
      <c r="G27" s="2097"/>
      <c r="H27" s="2098"/>
      <c r="I27" s="326"/>
      <c r="J27" s="624"/>
      <c r="K27" s="624"/>
      <c r="L27" s="624"/>
      <c r="M27" s="624"/>
      <c r="N27" s="326"/>
      <c r="O27" s="624"/>
      <c r="P27" s="624"/>
      <c r="Q27" s="624"/>
      <c r="R27" s="624"/>
      <c r="S27" s="326"/>
      <c r="T27" s="624"/>
      <c r="U27" s="624"/>
      <c r="V27" s="624"/>
      <c r="W27" s="625"/>
    </row>
    <row r="28" spans="1:23" ht="15.75">
      <c r="A28" s="2157" t="s">
        <v>153</v>
      </c>
      <c r="B28" s="2158"/>
      <c r="C28" s="147" t="s">
        <v>152</v>
      </c>
      <c r="D28" s="148" t="s">
        <v>268</v>
      </c>
      <c r="E28" s="138"/>
      <c r="F28" s="1828" t="s">
        <v>475</v>
      </c>
      <c r="G28" s="2140"/>
      <c r="H28" s="2137"/>
      <c r="I28" s="326"/>
      <c r="J28" s="624"/>
      <c r="K28" s="624"/>
      <c r="L28" s="624"/>
      <c r="M28" s="624"/>
      <c r="N28" s="326"/>
      <c r="O28" s="624"/>
      <c r="P28" s="624"/>
      <c r="Q28" s="624"/>
      <c r="R28" s="624"/>
      <c r="S28" s="326"/>
      <c r="T28" s="624"/>
      <c r="U28" s="624"/>
      <c r="V28" s="624"/>
      <c r="W28" s="625"/>
    </row>
    <row r="29" spans="1:23" ht="15.75">
      <c r="A29" s="2138"/>
      <c r="B29" s="2158"/>
      <c r="C29" s="149" t="s">
        <v>154</v>
      </c>
      <c r="D29" s="148" t="s">
        <v>392</v>
      </c>
      <c r="E29" s="138"/>
      <c r="F29" s="1845"/>
      <c r="G29" s="1845"/>
      <c r="H29" s="2139"/>
      <c r="I29" s="326"/>
      <c r="J29" s="624"/>
      <c r="K29" s="624"/>
      <c r="L29" s="624"/>
      <c r="M29" s="624"/>
      <c r="N29" s="326"/>
      <c r="O29" s="624"/>
      <c r="P29" s="624"/>
      <c r="Q29" s="624"/>
      <c r="R29" s="624"/>
      <c r="S29" s="326"/>
      <c r="T29" s="624"/>
      <c r="U29" s="624"/>
      <c r="V29" s="624"/>
      <c r="W29" s="625"/>
    </row>
    <row r="30" spans="1:23" ht="16.5" thickBot="1">
      <c r="A30" s="2149"/>
      <c r="B30" s="2152"/>
      <c r="C30" s="150" t="s">
        <v>400</v>
      </c>
      <c r="D30" s="148" t="s">
        <v>393</v>
      </c>
      <c r="E30" s="138"/>
      <c r="F30" s="2141"/>
      <c r="G30" s="2141"/>
      <c r="H30" s="2142"/>
      <c r="I30" s="326"/>
      <c r="J30" s="624"/>
      <c r="K30" s="624"/>
      <c r="L30" s="624"/>
      <c r="M30" s="624"/>
      <c r="N30" s="326"/>
      <c r="O30" s="624"/>
      <c r="P30" s="624"/>
      <c r="Q30" s="624"/>
      <c r="R30" s="624"/>
      <c r="S30" s="326"/>
      <c r="T30" s="624"/>
      <c r="U30" s="624"/>
      <c r="V30" s="624"/>
      <c r="W30" s="625"/>
    </row>
    <row r="31" spans="1:23" ht="15.75">
      <c r="A31" s="2159" t="s">
        <v>153</v>
      </c>
      <c r="B31" s="2151"/>
      <c r="C31" s="151" t="s">
        <v>155</v>
      </c>
      <c r="D31" s="148" t="s">
        <v>266</v>
      </c>
      <c r="E31" s="138"/>
      <c r="F31" s="1828" t="s">
        <v>475</v>
      </c>
      <c r="G31" s="2140"/>
      <c r="H31" s="2137"/>
      <c r="I31" s="326"/>
      <c r="J31" s="624"/>
      <c r="K31" s="624"/>
      <c r="L31" s="624"/>
      <c r="M31" s="624"/>
      <c r="N31" s="326"/>
      <c r="O31" s="624"/>
      <c r="P31" s="624"/>
      <c r="Q31" s="624"/>
      <c r="R31" s="624"/>
      <c r="S31" s="326"/>
      <c r="T31" s="624"/>
      <c r="U31" s="624"/>
      <c r="V31" s="624"/>
      <c r="W31" s="625"/>
    </row>
    <row r="32" spans="1:23" ht="15.75">
      <c r="A32" s="2138"/>
      <c r="B32" s="2158"/>
      <c r="C32" s="149" t="s">
        <v>156</v>
      </c>
      <c r="D32" s="148" t="s">
        <v>394</v>
      </c>
      <c r="E32" s="138"/>
      <c r="F32" s="1845"/>
      <c r="G32" s="1845"/>
      <c r="H32" s="2139"/>
      <c r="I32" s="326"/>
      <c r="J32" s="624"/>
      <c r="K32" s="624"/>
      <c r="L32" s="624"/>
      <c r="M32" s="624"/>
      <c r="N32" s="326"/>
      <c r="O32" s="624"/>
      <c r="P32" s="624"/>
      <c r="Q32" s="624"/>
      <c r="R32" s="624"/>
      <c r="S32" s="326"/>
      <c r="T32" s="624"/>
      <c r="U32" s="624"/>
      <c r="V32" s="624"/>
      <c r="W32" s="625"/>
    </row>
    <row r="33" spans="1:23" ht="16.5" thickBot="1">
      <c r="A33" s="2149"/>
      <c r="B33" s="2152"/>
      <c r="C33" s="150" t="s">
        <v>399</v>
      </c>
      <c r="D33" s="148" t="s">
        <v>395</v>
      </c>
      <c r="E33" s="138"/>
      <c r="F33" s="2141"/>
      <c r="G33" s="2141"/>
      <c r="H33" s="2142"/>
      <c r="I33" s="326"/>
      <c r="J33" s="624"/>
      <c r="K33" s="624"/>
      <c r="L33" s="624"/>
      <c r="M33" s="624"/>
      <c r="N33" s="326"/>
      <c r="O33" s="624"/>
      <c r="P33" s="624"/>
      <c r="Q33" s="624"/>
      <c r="R33" s="624"/>
      <c r="S33" s="326"/>
      <c r="T33" s="624"/>
      <c r="U33" s="624"/>
      <c r="V33" s="624"/>
      <c r="W33" s="625"/>
    </row>
    <row r="34" spans="1:23" ht="16.5" thickBot="1">
      <c r="A34" s="2159" t="s">
        <v>482</v>
      </c>
      <c r="B34" s="2151"/>
      <c r="C34" s="151" t="s">
        <v>365</v>
      </c>
      <c r="D34" s="148" t="s">
        <v>252</v>
      </c>
      <c r="E34" s="138"/>
      <c r="F34" s="1828" t="s">
        <v>483</v>
      </c>
      <c r="G34" s="2140"/>
      <c r="H34" s="2137"/>
      <c r="I34" s="326"/>
      <c r="J34" s="624"/>
      <c r="K34" s="624"/>
      <c r="L34" s="624"/>
      <c r="M34" s="624"/>
      <c r="N34" s="326"/>
      <c r="O34" s="624"/>
      <c r="P34" s="624"/>
      <c r="Q34" s="624"/>
      <c r="R34" s="624"/>
      <c r="S34" s="326"/>
      <c r="T34" s="624"/>
      <c r="U34" s="624"/>
      <c r="V34" s="624"/>
      <c r="W34" s="625"/>
    </row>
    <row r="35" spans="1:23" ht="16.5" thickBot="1">
      <c r="A35" s="2159" t="s">
        <v>484</v>
      </c>
      <c r="B35" s="2151"/>
      <c r="C35" s="151" t="s">
        <v>485</v>
      </c>
      <c r="D35" s="148" t="s">
        <v>264</v>
      </c>
      <c r="E35" s="138"/>
      <c r="F35" s="2160"/>
      <c r="G35" s="2140"/>
      <c r="H35" s="2137"/>
      <c r="I35" s="326"/>
      <c r="J35" s="624"/>
      <c r="K35" s="624"/>
      <c r="L35" s="624"/>
      <c r="M35" s="624"/>
      <c r="N35" s="326"/>
      <c r="O35" s="624"/>
      <c r="P35" s="624"/>
      <c r="Q35" s="624"/>
      <c r="R35" s="624"/>
      <c r="S35" s="326"/>
      <c r="T35" s="624"/>
      <c r="U35" s="624"/>
      <c r="V35" s="624"/>
      <c r="W35" s="625"/>
    </row>
    <row r="36" spans="1:23" ht="15.75">
      <c r="A36" s="2161" t="s">
        <v>486</v>
      </c>
      <c r="B36" s="2151"/>
      <c r="C36" s="152" t="s">
        <v>43</v>
      </c>
      <c r="D36" s="153" t="s">
        <v>256</v>
      </c>
      <c r="E36" s="138"/>
      <c r="F36" s="1828" t="s">
        <v>487</v>
      </c>
      <c r="G36" s="2140"/>
      <c r="H36" s="2137"/>
      <c r="I36" s="326"/>
      <c r="J36" s="624"/>
      <c r="K36" s="624"/>
      <c r="L36" s="624"/>
      <c r="M36" s="624"/>
      <c r="N36" s="326"/>
      <c r="O36" s="624"/>
      <c r="P36" s="624"/>
      <c r="Q36" s="624"/>
      <c r="R36" s="624"/>
      <c r="S36" s="326"/>
      <c r="T36" s="624"/>
      <c r="U36" s="624"/>
      <c r="V36" s="624"/>
      <c r="W36" s="625"/>
    </row>
    <row r="37" spans="1:23" ht="16.5" thickBot="1">
      <c r="A37" s="2149"/>
      <c r="B37" s="2152"/>
      <c r="C37" s="154" t="s">
        <v>60</v>
      </c>
      <c r="D37" s="153" t="s">
        <v>257</v>
      </c>
      <c r="E37" s="138"/>
      <c r="F37" s="2141"/>
      <c r="G37" s="2141"/>
      <c r="H37" s="2142"/>
      <c r="I37" s="326"/>
      <c r="J37" s="624"/>
      <c r="K37" s="624"/>
      <c r="L37" s="624"/>
      <c r="M37" s="624"/>
      <c r="N37" s="326"/>
      <c r="O37" s="624"/>
      <c r="P37" s="624"/>
      <c r="Q37" s="624"/>
      <c r="R37" s="624"/>
      <c r="S37" s="326"/>
      <c r="T37" s="624"/>
      <c r="U37" s="624"/>
      <c r="V37" s="624"/>
      <c r="W37" s="625"/>
    </row>
    <row r="38" spans="1:23" ht="30">
      <c r="A38" s="2165" t="s">
        <v>33</v>
      </c>
      <c r="B38" s="2140"/>
      <c r="C38" s="155" t="s">
        <v>30</v>
      </c>
      <c r="D38" s="156" t="s">
        <v>170</v>
      </c>
      <c r="E38" s="138"/>
      <c r="F38" s="1820" t="s">
        <v>510</v>
      </c>
      <c r="G38" s="2140"/>
      <c r="H38" s="2137"/>
      <c r="I38" s="326"/>
      <c r="J38" s="624"/>
      <c r="K38" s="624"/>
      <c r="L38" s="624"/>
      <c r="M38" s="624"/>
      <c r="N38" s="326"/>
      <c r="O38" s="624"/>
      <c r="P38" s="624"/>
      <c r="Q38" s="624"/>
      <c r="R38" s="624"/>
      <c r="S38" s="326"/>
      <c r="T38" s="624"/>
      <c r="U38" s="624"/>
      <c r="V38" s="624"/>
      <c r="W38" s="625"/>
    </row>
    <row r="39" spans="1:23" ht="30">
      <c r="A39" s="2138"/>
      <c r="B39" s="2148"/>
      <c r="C39" s="157" t="s">
        <v>31</v>
      </c>
      <c r="D39" s="156" t="s">
        <v>169</v>
      </c>
      <c r="E39" s="183"/>
      <c r="F39" s="1820" t="s">
        <v>510</v>
      </c>
      <c r="G39" s="2140"/>
      <c r="H39" s="2137"/>
      <c r="I39" s="183"/>
      <c r="J39" s="624"/>
      <c r="K39" s="624"/>
      <c r="L39" s="624"/>
      <c r="M39" s="640"/>
      <c r="N39" s="183"/>
      <c r="O39" s="624"/>
      <c r="P39" s="624"/>
      <c r="Q39" s="624"/>
      <c r="R39" s="640"/>
      <c r="S39" s="183"/>
      <c r="T39" s="624"/>
      <c r="U39" s="624"/>
      <c r="V39" s="624"/>
      <c r="W39" s="640"/>
    </row>
    <row r="40" spans="1:23" ht="30.75" thickBot="1">
      <c r="A40" s="2138"/>
      <c r="B40" s="2148"/>
      <c r="C40" s="158" t="s">
        <v>32</v>
      </c>
      <c r="D40" s="156" t="s">
        <v>250</v>
      </c>
      <c r="E40" s="183"/>
      <c r="F40" s="1820" t="s">
        <v>510</v>
      </c>
      <c r="G40" s="2140"/>
      <c r="H40" s="2137"/>
      <c r="I40" s="183"/>
      <c r="J40" s="624"/>
      <c r="K40" s="624"/>
      <c r="L40" s="624"/>
      <c r="M40" s="640"/>
      <c r="N40" s="183"/>
      <c r="O40" s="624"/>
      <c r="P40" s="624"/>
      <c r="Q40" s="624"/>
      <c r="R40" s="640"/>
      <c r="S40" s="183"/>
      <c r="T40" s="624"/>
      <c r="U40" s="624"/>
      <c r="V40" s="624"/>
      <c r="W40" s="640"/>
    </row>
    <row r="41" spans="1:23" ht="60.75" customHeight="1">
      <c r="A41" s="2169" t="s">
        <v>491</v>
      </c>
      <c r="B41" s="2170"/>
      <c r="C41" s="159" t="s">
        <v>144</v>
      </c>
      <c r="D41" s="160" t="s">
        <v>253</v>
      </c>
      <c r="E41" s="183" t="s">
        <v>277</v>
      </c>
      <c r="F41" s="2304" t="s">
        <v>523</v>
      </c>
      <c r="G41" s="2292"/>
      <c r="H41" s="2305"/>
      <c r="I41" s="183" t="s">
        <v>277</v>
      </c>
      <c r="J41" s="624">
        <v>1</v>
      </c>
      <c r="K41" s="624"/>
      <c r="L41" s="624">
        <v>2</v>
      </c>
      <c r="M41" s="640">
        <f>(L41*150)*5</f>
        <v>1500</v>
      </c>
      <c r="N41" s="183" t="s">
        <v>277</v>
      </c>
      <c r="O41" s="624"/>
      <c r="P41" s="624"/>
      <c r="Q41" s="624"/>
      <c r="R41" s="640"/>
      <c r="S41" s="183" t="s">
        <v>277</v>
      </c>
      <c r="T41" s="624"/>
      <c r="U41" s="624"/>
      <c r="V41" s="624"/>
      <c r="W41" s="640"/>
    </row>
    <row r="42" spans="1:23" ht="59.25" customHeight="1" thickBot="1">
      <c r="A42" s="2148"/>
      <c r="B42" s="2158"/>
      <c r="C42" s="161" t="s">
        <v>145</v>
      </c>
      <c r="D42" s="160" t="s">
        <v>254</v>
      </c>
      <c r="E42" s="183" t="s">
        <v>277</v>
      </c>
      <c r="F42" s="2162" t="s">
        <v>524</v>
      </c>
      <c r="G42" s="1828"/>
      <c r="H42" s="2274"/>
      <c r="I42" s="183" t="s">
        <v>277</v>
      </c>
      <c r="J42" s="624"/>
      <c r="K42" s="624"/>
      <c r="L42" s="624"/>
      <c r="M42" s="640">
        <f t="shared" ref="M42:M48" si="0">(L42*652)*5</f>
        <v>0</v>
      </c>
      <c r="N42" s="183" t="s">
        <v>277</v>
      </c>
      <c r="O42" s="624">
        <v>1</v>
      </c>
      <c r="P42" s="624"/>
      <c r="Q42" s="624">
        <v>10</v>
      </c>
      <c r="R42" s="640">
        <f>(Q42*201)*5</f>
        <v>10050</v>
      </c>
      <c r="S42" s="183" t="s">
        <v>277</v>
      </c>
      <c r="T42" s="624">
        <v>1</v>
      </c>
      <c r="U42" s="624"/>
      <c r="V42" s="624">
        <v>3</v>
      </c>
      <c r="W42" s="640">
        <f>(V42*201)*5</f>
        <v>3015</v>
      </c>
    </row>
    <row r="43" spans="1:23" ht="48" thickBot="1">
      <c r="A43" s="2171"/>
      <c r="B43" s="2172"/>
      <c r="C43" s="162" t="s">
        <v>128</v>
      </c>
      <c r="D43" s="160" t="s">
        <v>262</v>
      </c>
      <c r="E43" s="183"/>
      <c r="F43" s="2173"/>
      <c r="G43" s="2097"/>
      <c r="H43" s="2098"/>
      <c r="I43" s="183"/>
      <c r="J43" s="624"/>
      <c r="K43" s="624"/>
      <c r="L43" s="624"/>
      <c r="M43" s="640">
        <f t="shared" si="0"/>
        <v>0</v>
      </c>
      <c r="N43" s="183"/>
      <c r="O43" s="624"/>
      <c r="P43" s="624"/>
      <c r="Q43" s="624"/>
      <c r="R43" s="640"/>
      <c r="S43" s="183"/>
      <c r="T43" s="624"/>
      <c r="U43" s="624"/>
      <c r="V43" s="624"/>
      <c r="W43" s="640"/>
    </row>
    <row r="44" spans="1:23" ht="54.75" customHeight="1" thickBot="1">
      <c r="A44" s="2146" t="s">
        <v>493</v>
      </c>
      <c r="B44" s="2144"/>
      <c r="C44" s="2145"/>
      <c r="D44" s="163" t="s">
        <v>237</v>
      </c>
      <c r="E44" s="184" t="s">
        <v>277</v>
      </c>
      <c r="F44" s="2096" t="s">
        <v>525</v>
      </c>
      <c r="G44" s="2097"/>
      <c r="H44" s="2098"/>
      <c r="I44" s="184" t="s">
        <v>277</v>
      </c>
      <c r="J44" s="624">
        <v>2</v>
      </c>
      <c r="K44" s="624"/>
      <c r="L44" s="624">
        <v>26.32</v>
      </c>
      <c r="M44" s="640">
        <f>(L44*652)*5</f>
        <v>85803.199999999997</v>
      </c>
      <c r="N44" s="184" t="s">
        <v>277</v>
      </c>
      <c r="O44" s="624">
        <v>4</v>
      </c>
      <c r="P44" s="624"/>
      <c r="Q44" s="624">
        <v>29.2</v>
      </c>
      <c r="R44" s="640">
        <f>(Q44*652)*5</f>
        <v>95191.999999999985</v>
      </c>
      <c r="S44" s="184" t="s">
        <v>277</v>
      </c>
      <c r="T44" s="624">
        <v>2</v>
      </c>
      <c r="U44" s="624"/>
      <c r="V44" s="624">
        <v>12.67</v>
      </c>
      <c r="W44" s="640">
        <f>(V44*652)*5</f>
        <v>41304.199999999997</v>
      </c>
    </row>
    <row r="45" spans="1:23" ht="15.75" thickBot="1">
      <c r="A45" s="2146" t="s">
        <v>133</v>
      </c>
      <c r="B45" s="2144"/>
      <c r="C45" s="2145"/>
      <c r="D45" s="163" t="s">
        <v>238</v>
      </c>
      <c r="E45" s="183"/>
      <c r="F45" s="1818"/>
      <c r="G45" s="2097"/>
      <c r="H45" s="2098"/>
      <c r="I45" s="183"/>
      <c r="J45" s="624"/>
      <c r="K45" s="624"/>
      <c r="L45" s="624"/>
      <c r="M45" s="640">
        <f t="shared" si="0"/>
        <v>0</v>
      </c>
      <c r="N45" s="183"/>
      <c r="O45" s="624"/>
      <c r="P45" s="624"/>
      <c r="Q45" s="624"/>
      <c r="R45" s="640"/>
      <c r="S45" s="183"/>
      <c r="T45" s="624"/>
      <c r="U45" s="624"/>
      <c r="V45" s="624"/>
      <c r="W45" s="640"/>
    </row>
    <row r="46" spans="1:23" ht="58.5" customHeight="1">
      <c r="A46" s="2147" t="s">
        <v>41</v>
      </c>
      <c r="B46" s="2148"/>
      <c r="C46" s="164" t="s">
        <v>50</v>
      </c>
      <c r="D46" s="165" t="s">
        <v>246</v>
      </c>
      <c r="E46" s="184" t="s">
        <v>277</v>
      </c>
      <c r="F46" s="2116" t="s">
        <v>526</v>
      </c>
      <c r="G46" s="2097"/>
      <c r="H46" s="2098"/>
      <c r="I46" s="184" t="s">
        <v>277</v>
      </c>
      <c r="J46" s="624">
        <v>1</v>
      </c>
      <c r="K46" s="624"/>
      <c r="L46" s="624">
        <v>2</v>
      </c>
      <c r="M46" s="640">
        <f>(L46*82)*5</f>
        <v>820</v>
      </c>
      <c r="N46" s="184" t="s">
        <v>277</v>
      </c>
      <c r="O46" s="624"/>
      <c r="P46" s="624"/>
      <c r="Q46" s="624"/>
      <c r="R46" s="640"/>
      <c r="S46" s="184" t="s">
        <v>277</v>
      </c>
      <c r="T46" s="624">
        <v>1</v>
      </c>
      <c r="U46" s="624"/>
      <c r="V46" s="624">
        <v>5</v>
      </c>
      <c r="W46" s="640">
        <f>(V46*82)*5</f>
        <v>2050</v>
      </c>
    </row>
    <row r="47" spans="1:23">
      <c r="A47" s="2138"/>
      <c r="B47" s="2148"/>
      <c r="C47" s="166" t="s">
        <v>51</v>
      </c>
      <c r="D47" s="165" t="s">
        <v>247</v>
      </c>
      <c r="E47" s="184" t="s">
        <v>277</v>
      </c>
      <c r="F47" s="1785" t="s">
        <v>527</v>
      </c>
      <c r="G47" s="2097"/>
      <c r="H47" s="2098"/>
      <c r="I47" s="184" t="s">
        <v>277</v>
      </c>
      <c r="J47" s="624">
        <v>1</v>
      </c>
      <c r="K47" s="624"/>
      <c r="L47" s="624">
        <v>2</v>
      </c>
      <c r="M47" s="640">
        <f>(L47*145)*5</f>
        <v>1450</v>
      </c>
      <c r="N47" s="184" t="s">
        <v>277</v>
      </c>
      <c r="O47" s="624"/>
      <c r="P47" s="624"/>
      <c r="Q47" s="624"/>
      <c r="R47" s="640"/>
      <c r="S47" s="184" t="s">
        <v>277</v>
      </c>
      <c r="T47" s="624"/>
      <c r="U47" s="624"/>
      <c r="V47" s="624"/>
      <c r="W47" s="640"/>
    </row>
    <row r="48" spans="1:23">
      <c r="A48" s="2138"/>
      <c r="B48" s="2148"/>
      <c r="C48" s="166" t="s">
        <v>39</v>
      </c>
      <c r="D48" s="165" t="s">
        <v>248</v>
      </c>
      <c r="E48" s="184" t="s">
        <v>277</v>
      </c>
      <c r="F48" s="1785" t="s">
        <v>528</v>
      </c>
      <c r="G48" s="2097"/>
      <c r="H48" s="2098"/>
      <c r="I48" s="184" t="s">
        <v>277</v>
      </c>
      <c r="J48" s="624"/>
      <c r="K48" s="624"/>
      <c r="L48" s="624"/>
      <c r="M48" s="640">
        <f t="shared" si="0"/>
        <v>0</v>
      </c>
      <c r="N48" s="184" t="s">
        <v>277</v>
      </c>
      <c r="O48" s="624">
        <v>1</v>
      </c>
      <c r="P48" s="624"/>
      <c r="Q48" s="624">
        <v>2</v>
      </c>
      <c r="R48" s="640">
        <f>(Q48*200)*5</f>
        <v>2000</v>
      </c>
      <c r="S48" s="184" t="s">
        <v>277</v>
      </c>
      <c r="T48" s="624">
        <v>1</v>
      </c>
      <c r="U48" s="624"/>
      <c r="V48" s="624">
        <v>2</v>
      </c>
      <c r="W48" s="640">
        <f>(V48*200)*5</f>
        <v>2000</v>
      </c>
    </row>
    <row r="49" spans="1:23" ht="15.75" thickBot="1">
      <c r="A49" s="2149"/>
      <c r="B49" s="2141"/>
      <c r="C49" s="167" t="s">
        <v>40</v>
      </c>
      <c r="D49" s="165" t="s">
        <v>249</v>
      </c>
      <c r="E49" s="184" t="s">
        <v>277</v>
      </c>
      <c r="F49" s="1785" t="s">
        <v>529</v>
      </c>
      <c r="G49" s="2097"/>
      <c r="H49" s="2098"/>
      <c r="I49" s="184" t="s">
        <v>277</v>
      </c>
      <c r="J49" s="624">
        <v>1</v>
      </c>
      <c r="K49" s="624"/>
      <c r="L49" s="624">
        <v>2</v>
      </c>
      <c r="M49" s="640">
        <f>(L49*254)*5</f>
        <v>2540</v>
      </c>
      <c r="N49" s="184" t="s">
        <v>277</v>
      </c>
      <c r="O49" s="624">
        <v>1</v>
      </c>
      <c r="P49" s="624"/>
      <c r="Q49" s="624">
        <v>0.5</v>
      </c>
      <c r="R49" s="640">
        <f>(Q49*254)*5</f>
        <v>635</v>
      </c>
      <c r="S49" s="184" t="s">
        <v>277</v>
      </c>
      <c r="T49" s="624">
        <v>1</v>
      </c>
      <c r="U49" s="624"/>
      <c r="V49" s="624">
        <v>2</v>
      </c>
      <c r="W49" s="640">
        <f>(V49*254)*5</f>
        <v>2540</v>
      </c>
    </row>
    <row r="50" spans="1:23" ht="15.75">
      <c r="A50" s="2150" t="s">
        <v>130</v>
      </c>
      <c r="B50" s="2151"/>
      <c r="C50" s="159" t="s">
        <v>131</v>
      </c>
      <c r="D50" s="160" t="s">
        <v>255</v>
      </c>
      <c r="E50" s="183"/>
      <c r="F50" s="2153"/>
      <c r="G50" s="2097"/>
      <c r="H50" s="2098"/>
      <c r="I50" s="183"/>
      <c r="J50" s="624"/>
      <c r="K50" s="624"/>
      <c r="L50" s="624"/>
      <c r="M50" s="640"/>
      <c r="N50" s="183"/>
      <c r="O50" s="624"/>
      <c r="P50" s="624"/>
      <c r="Q50" s="624"/>
      <c r="R50" s="640"/>
      <c r="S50" s="183"/>
      <c r="T50" s="624"/>
      <c r="U50" s="624"/>
      <c r="V50" s="624"/>
      <c r="W50" s="640"/>
    </row>
    <row r="51" spans="1:23" ht="48" thickBot="1">
      <c r="A51" s="2149"/>
      <c r="B51" s="2152"/>
      <c r="C51" s="168" t="s">
        <v>132</v>
      </c>
      <c r="D51" s="160" t="s">
        <v>263</v>
      </c>
      <c r="E51" s="183"/>
      <c r="F51" s="2153"/>
      <c r="G51" s="2097"/>
      <c r="H51" s="2098"/>
      <c r="I51" s="183"/>
      <c r="J51" s="624"/>
      <c r="K51" s="624"/>
      <c r="L51" s="624"/>
      <c r="M51" s="640"/>
      <c r="N51" s="183"/>
      <c r="O51" s="624"/>
      <c r="P51" s="624"/>
      <c r="Q51" s="624"/>
      <c r="R51" s="640"/>
      <c r="S51" s="183"/>
      <c r="T51" s="624"/>
      <c r="U51" s="624"/>
      <c r="V51" s="624"/>
      <c r="W51" s="640"/>
    </row>
    <row r="52" spans="1:23">
      <c r="A52" s="2154" t="s">
        <v>42</v>
      </c>
      <c r="B52" s="2140"/>
      <c r="C52" s="169" t="s">
        <v>38</v>
      </c>
      <c r="D52" s="170" t="s">
        <v>239</v>
      </c>
      <c r="E52" s="183"/>
      <c r="F52" s="1818" t="s">
        <v>518</v>
      </c>
      <c r="G52" s="2097"/>
      <c r="H52" s="2098"/>
      <c r="I52" s="183"/>
      <c r="J52" s="624"/>
      <c r="K52" s="624"/>
      <c r="L52" s="624"/>
      <c r="M52" s="640"/>
      <c r="N52" s="183"/>
      <c r="O52" s="624"/>
      <c r="P52" s="624"/>
      <c r="Q52" s="624"/>
      <c r="R52" s="640"/>
      <c r="S52" s="183"/>
      <c r="T52" s="624"/>
      <c r="U52" s="624"/>
      <c r="V52" s="624"/>
      <c r="W52" s="640"/>
    </row>
    <row r="53" spans="1:23">
      <c r="A53" s="2148"/>
      <c r="B53" s="2148"/>
      <c r="C53" s="171" t="s">
        <v>55</v>
      </c>
      <c r="D53" s="170" t="s">
        <v>240</v>
      </c>
      <c r="E53" s="183"/>
      <c r="F53" s="2155"/>
      <c r="G53" s="2097"/>
      <c r="H53" s="2098"/>
      <c r="I53" s="183"/>
      <c r="J53" s="624"/>
      <c r="K53" s="624"/>
      <c r="L53" s="624"/>
      <c r="M53" s="640"/>
      <c r="N53" s="183"/>
      <c r="O53" s="624"/>
      <c r="P53" s="624"/>
      <c r="Q53" s="624"/>
      <c r="R53" s="640"/>
      <c r="S53" s="183"/>
      <c r="T53" s="624"/>
      <c r="U53" s="624"/>
      <c r="V53" s="624"/>
      <c r="W53" s="640"/>
    </row>
    <row r="54" spans="1:23" ht="16.5" thickBot="1">
      <c r="A54" s="2148"/>
      <c r="B54" s="2148"/>
      <c r="C54" s="161" t="s">
        <v>48</v>
      </c>
      <c r="D54" s="172" t="s">
        <v>241</v>
      </c>
      <c r="E54" s="138"/>
      <c r="F54" s="2156"/>
      <c r="G54" s="2097"/>
      <c r="H54" s="2098"/>
      <c r="I54" s="138"/>
      <c r="J54" s="624"/>
      <c r="K54" s="624"/>
      <c r="L54" s="624"/>
      <c r="M54" s="624"/>
      <c r="N54" s="138"/>
      <c r="O54" s="624"/>
      <c r="P54" s="624"/>
      <c r="Q54" s="624"/>
      <c r="R54" s="640"/>
      <c r="S54" s="138"/>
      <c r="T54" s="624"/>
      <c r="U54" s="624"/>
      <c r="V54" s="624"/>
      <c r="W54" s="625"/>
    </row>
    <row r="55" spans="1:23" ht="16.5" thickBot="1">
      <c r="A55" s="2135" t="s">
        <v>500</v>
      </c>
      <c r="B55" s="2097"/>
      <c r="C55" s="173" t="s">
        <v>134</v>
      </c>
      <c r="D55" s="174" t="s">
        <v>269</v>
      </c>
      <c r="E55" s="175"/>
      <c r="F55" s="1818" t="s">
        <v>501</v>
      </c>
      <c r="G55" s="2097"/>
      <c r="H55" s="2098"/>
      <c r="I55" s="175"/>
      <c r="J55" s="627"/>
      <c r="K55" s="627"/>
      <c r="L55" s="627"/>
      <c r="M55" s="627"/>
      <c r="N55" s="175"/>
      <c r="O55" s="627"/>
      <c r="P55" s="627"/>
      <c r="Q55" s="627"/>
      <c r="R55" s="641"/>
      <c r="S55" s="175"/>
      <c r="T55" s="627"/>
      <c r="U55" s="627"/>
      <c r="V55" s="627"/>
      <c r="W55" s="628"/>
    </row>
    <row r="57" spans="1:23">
      <c r="M57" s="1014">
        <f>SUM(M41:M56)</f>
        <v>92113.2</v>
      </c>
    </row>
    <row r="58" spans="1:23" ht="60">
      <c r="A58" s="630" t="s">
        <v>948</v>
      </c>
      <c r="B58" s="630" t="s">
        <v>949</v>
      </c>
      <c r="C58" s="630" t="s">
        <v>950</v>
      </c>
      <c r="D58" s="630" t="s">
        <v>951</v>
      </c>
      <c r="E58" s="630" t="s">
        <v>952</v>
      </c>
      <c r="F58" s="636" t="s">
        <v>975</v>
      </c>
    </row>
    <row r="59" spans="1:23">
      <c r="A59" s="634" t="s">
        <v>953</v>
      </c>
      <c r="B59" s="624" t="s">
        <v>52</v>
      </c>
      <c r="C59" s="637"/>
      <c r="D59" s="624"/>
      <c r="E59" s="638"/>
      <c r="F59" s="639"/>
    </row>
    <row r="60" spans="1:23">
      <c r="A60" s="634" t="s">
        <v>956</v>
      </c>
      <c r="B60" s="624" t="s">
        <v>16</v>
      </c>
      <c r="C60" s="624">
        <v>1</v>
      </c>
      <c r="D60" s="624">
        <v>0.5</v>
      </c>
      <c r="E60" s="638" t="s">
        <v>979</v>
      </c>
      <c r="F60" s="571"/>
    </row>
    <row r="61" spans="1:23" ht="45">
      <c r="A61" s="642" t="s">
        <v>987</v>
      </c>
      <c r="B61" s="624" t="s">
        <v>16</v>
      </c>
      <c r="C61" s="624">
        <v>2</v>
      </c>
      <c r="D61" s="624">
        <v>1</v>
      </c>
      <c r="E61" s="638"/>
      <c r="F61" s="639" t="s">
        <v>988</v>
      </c>
    </row>
    <row r="62" spans="1:23">
      <c r="A62" s="634" t="s">
        <v>959</v>
      </c>
      <c r="B62" s="624" t="s">
        <v>16</v>
      </c>
      <c r="C62" s="624">
        <v>2</v>
      </c>
      <c r="D62" s="624">
        <v>0.5</v>
      </c>
      <c r="E62" s="638"/>
      <c r="F62" s="571"/>
    </row>
    <row r="63" spans="1:23">
      <c r="A63" s="634" t="s">
        <v>961</v>
      </c>
      <c r="B63" s="624" t="s">
        <v>16</v>
      </c>
      <c r="C63" s="624">
        <v>2</v>
      </c>
      <c r="D63" s="624">
        <v>0.5</v>
      </c>
      <c r="E63" s="638" t="s">
        <v>981</v>
      </c>
      <c r="F63" s="571"/>
    </row>
    <row r="64" spans="1:23">
      <c r="A64" s="634" t="s">
        <v>963</v>
      </c>
      <c r="B64" s="624" t="s">
        <v>16</v>
      </c>
      <c r="C64" s="624">
        <v>2</v>
      </c>
      <c r="D64" s="624">
        <v>0.5</v>
      </c>
      <c r="E64" s="638" t="s">
        <v>982</v>
      </c>
      <c r="F64" s="571"/>
    </row>
    <row r="65" spans="1:6">
      <c r="A65" s="634" t="s">
        <v>965</v>
      </c>
      <c r="B65" s="624" t="s">
        <v>16</v>
      </c>
      <c r="C65" s="624">
        <v>2</v>
      </c>
      <c r="D65" s="624">
        <v>1</v>
      </c>
      <c r="E65" s="638" t="s">
        <v>983</v>
      </c>
      <c r="F65" s="571"/>
    </row>
    <row r="66" spans="1:6">
      <c r="A66" s="634" t="s">
        <v>967</v>
      </c>
      <c r="B66" s="624" t="s">
        <v>52</v>
      </c>
      <c r="C66" s="624">
        <v>1</v>
      </c>
      <c r="D66" s="624">
        <v>1</v>
      </c>
      <c r="E66" s="638" t="s">
        <v>989</v>
      </c>
      <c r="F66" s="571"/>
    </row>
    <row r="67" spans="1:6">
      <c r="A67" s="634" t="s">
        <v>969</v>
      </c>
      <c r="B67" s="624" t="s">
        <v>16</v>
      </c>
      <c r="C67" s="624">
        <v>3</v>
      </c>
      <c r="D67" s="624">
        <v>0.5</v>
      </c>
      <c r="E67" s="638"/>
      <c r="F67" s="571"/>
    </row>
    <row r="68" spans="1:6" ht="75">
      <c r="A68" s="634" t="s">
        <v>971</v>
      </c>
      <c r="B68" s="624" t="s">
        <v>16</v>
      </c>
      <c r="C68" s="624">
        <v>2</v>
      </c>
      <c r="D68" s="624">
        <v>0.5</v>
      </c>
      <c r="E68" s="638"/>
      <c r="F68" s="639" t="s">
        <v>985</v>
      </c>
    </row>
    <row r="69" spans="1:6">
      <c r="A69" s="634" t="s">
        <v>986</v>
      </c>
      <c r="B69" s="624"/>
      <c r="C69" s="624"/>
      <c r="D69" s="624"/>
      <c r="E69" s="638"/>
      <c r="F69" s="571"/>
    </row>
    <row r="70" spans="1:6">
      <c r="A70" s="634"/>
      <c r="B70" s="624"/>
      <c r="C70" s="624"/>
      <c r="D70" s="624"/>
      <c r="E70" s="638"/>
      <c r="F70" s="571"/>
    </row>
    <row r="71" spans="1:6">
      <c r="A71" s="634"/>
      <c r="B71" s="624"/>
      <c r="C71" s="624"/>
      <c r="D71" s="624"/>
      <c r="E71" s="638"/>
      <c r="F71" s="571"/>
    </row>
    <row r="72" spans="1:6">
      <c r="A72" s="570"/>
      <c r="B72" s="570"/>
      <c r="C72" s="570"/>
      <c r="D72" s="570">
        <f>SUM(D59:D71)</f>
        <v>6</v>
      </c>
      <c r="E72" s="570"/>
      <c r="F72" s="570"/>
    </row>
    <row r="74" spans="1:6">
      <c r="A74" s="2266" t="s">
        <v>1270</v>
      </c>
      <c r="B74" s="2097"/>
      <c r="C74" s="2097"/>
      <c r="D74" s="2097"/>
      <c r="E74" s="2097"/>
      <c r="F74" s="2097"/>
    </row>
    <row r="75" spans="1:6" ht="75">
      <c r="A75" s="1253" t="s">
        <v>1271</v>
      </c>
      <c r="B75" s="1253" t="s">
        <v>1272</v>
      </c>
      <c r="C75" s="1253" t="s">
        <v>1273</v>
      </c>
      <c r="D75" s="1253" t="s">
        <v>1274</v>
      </c>
      <c r="E75" s="1253" t="s">
        <v>1275</v>
      </c>
      <c r="F75" s="1253" t="s">
        <v>1276</v>
      </c>
    </row>
    <row r="76" spans="1:6" ht="390">
      <c r="A76" s="1262" t="s">
        <v>1310</v>
      </c>
      <c r="B76" s="1263" t="s">
        <v>1306</v>
      </c>
      <c r="C76" s="1264" t="s">
        <v>1307</v>
      </c>
      <c r="D76" s="1264" t="s">
        <v>16</v>
      </c>
      <c r="E76" s="1265" t="s">
        <v>1311</v>
      </c>
      <c r="F76" s="1265" t="s">
        <v>1309</v>
      </c>
    </row>
  </sheetData>
  <mergeCells count="60">
    <mergeCell ref="A74:F74"/>
    <mergeCell ref="A19:B21"/>
    <mergeCell ref="F19:H21"/>
    <mergeCell ref="C11:H11"/>
    <mergeCell ref="B2:D2"/>
    <mergeCell ref="B3:D3"/>
    <mergeCell ref="B4:D4"/>
    <mergeCell ref="B6:D6"/>
    <mergeCell ref="B8:D8"/>
    <mergeCell ref="A11:B11"/>
    <mergeCell ref="E13:H14"/>
    <mergeCell ref="A15:B15"/>
    <mergeCell ref="F15:H15"/>
    <mergeCell ref="A16:B18"/>
    <mergeCell ref="F16:H18"/>
    <mergeCell ref="A22:B23"/>
    <mergeCell ref="F22:H23"/>
    <mergeCell ref="A24:B26"/>
    <mergeCell ref="F24:H26"/>
    <mergeCell ref="A27:C27"/>
    <mergeCell ref="F27:H27"/>
    <mergeCell ref="A28:B30"/>
    <mergeCell ref="F28:H30"/>
    <mergeCell ref="A31:B33"/>
    <mergeCell ref="F31:H33"/>
    <mergeCell ref="A34:B34"/>
    <mergeCell ref="F34:H34"/>
    <mergeCell ref="A35:B35"/>
    <mergeCell ref="F35:H35"/>
    <mergeCell ref="A36:B37"/>
    <mergeCell ref="F36:H37"/>
    <mergeCell ref="A38:B40"/>
    <mergeCell ref="F38:H38"/>
    <mergeCell ref="F39:H39"/>
    <mergeCell ref="F40:H40"/>
    <mergeCell ref="F47:H47"/>
    <mergeCell ref="F48:H48"/>
    <mergeCell ref="F49:H49"/>
    <mergeCell ref="A41:B43"/>
    <mergeCell ref="F41:H41"/>
    <mergeCell ref="F42:H42"/>
    <mergeCell ref="F43:H43"/>
    <mergeCell ref="A44:C44"/>
    <mergeCell ref="F44:H44"/>
    <mergeCell ref="I14:M14"/>
    <mergeCell ref="N14:R14"/>
    <mergeCell ref="S14:W14"/>
    <mergeCell ref="A55:B55"/>
    <mergeCell ref="F55:H55"/>
    <mergeCell ref="A50:B51"/>
    <mergeCell ref="F50:H50"/>
    <mergeCell ref="F51:H51"/>
    <mergeCell ref="A52:B54"/>
    <mergeCell ref="F52:H52"/>
    <mergeCell ref="F53:H53"/>
    <mergeCell ref="F54:H54"/>
    <mergeCell ref="A45:C45"/>
    <mergeCell ref="F45:H45"/>
    <mergeCell ref="A46:B49"/>
    <mergeCell ref="F46:H46"/>
  </mergeCells>
  <conditionalFormatting sqref="A75:F75">
    <cfRule type="notContainsBlanks" dxfId="2" priority="1">
      <formula>LEN(TRIM(A75))&gt;0</formula>
    </cfRule>
  </conditionalFormatting>
  <dataValidations count="3">
    <dataValidation type="list" allowBlank="1" showErrorMessage="1" sqref="H8:H10">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4" location="SOMMAIRE!A1" display="Retour sommaire"/>
    <hyperlink ref="J6" location="SYNTHESE!A1" display="Retour synthèse"/>
  </hyperlinks>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W77"/>
  <sheetViews>
    <sheetView topLeftCell="A43" zoomScale="90" zoomScaleNormal="90" workbookViewId="0">
      <selection activeCell="F49" sqref="F49:H49"/>
    </sheetView>
  </sheetViews>
  <sheetFormatPr baseColWidth="10" defaultRowHeight="15"/>
  <cols>
    <col min="1" max="1" width="20.42578125" style="1" bestFit="1" customWidth="1"/>
    <col min="2" max="2" width="15.7109375" style="1" customWidth="1"/>
    <col min="3" max="3" width="44.140625" style="1" customWidth="1"/>
    <col min="4" max="4" width="11.140625" style="1" customWidth="1"/>
    <col min="5" max="5" width="15.7109375" style="1" customWidth="1"/>
    <col min="6" max="6" width="16.28515625" style="1" bestFit="1" customWidth="1"/>
    <col min="7" max="7" width="23" style="1" customWidth="1"/>
    <col min="8" max="8" width="16.5703125" bestFit="1" customWidth="1"/>
    <col min="10" max="10" width="16.42578125" bestFit="1" customWidth="1"/>
  </cols>
  <sheetData>
    <row r="1" spans="1:23" ht="15.75" thickBot="1">
      <c r="A1"/>
      <c r="B1"/>
      <c r="C1"/>
      <c r="D1"/>
      <c r="E1"/>
      <c r="F1"/>
      <c r="G1"/>
    </row>
    <row r="2" spans="1:23" ht="15.75" thickBot="1">
      <c r="A2" s="109" t="s">
        <v>0</v>
      </c>
      <c r="B2" s="2029" t="s">
        <v>503</v>
      </c>
      <c r="C2" s="2144"/>
      <c r="D2" s="2145"/>
      <c r="E2" s="110"/>
      <c r="F2" s="110"/>
      <c r="G2" s="111" t="s">
        <v>462</v>
      </c>
      <c r="H2" s="112" t="s">
        <v>53</v>
      </c>
      <c r="J2" s="13" t="s">
        <v>73</v>
      </c>
    </row>
    <row r="3" spans="1:23" ht="15.75" thickBot="1">
      <c r="A3" s="113" t="s">
        <v>344</v>
      </c>
      <c r="B3" s="2029" t="s">
        <v>503</v>
      </c>
      <c r="C3" s="2144"/>
      <c r="D3" s="2145"/>
      <c r="E3" s="110"/>
      <c r="F3" s="110"/>
      <c r="G3" s="114" t="s">
        <v>10</v>
      </c>
      <c r="H3" s="177" t="s">
        <v>16</v>
      </c>
      <c r="J3" s="13"/>
    </row>
    <row r="4" spans="1:23" ht="15.75" thickBot="1">
      <c r="A4" s="114" t="s">
        <v>3</v>
      </c>
      <c r="B4" s="1823" t="s">
        <v>530</v>
      </c>
      <c r="C4" s="2144"/>
      <c r="D4" s="2145"/>
      <c r="E4" s="115"/>
      <c r="F4" s="110"/>
      <c r="G4" s="116" t="s">
        <v>26</v>
      </c>
      <c r="H4" s="117">
        <v>11</v>
      </c>
      <c r="J4" s="13" t="s">
        <v>381</v>
      </c>
    </row>
    <row r="5" spans="1:23" ht="15.75" customHeight="1" thickBot="1">
      <c r="A5" s="110"/>
      <c r="B5" s="110"/>
      <c r="C5" s="110"/>
      <c r="D5" s="110"/>
      <c r="E5" s="110"/>
      <c r="F5" s="110"/>
      <c r="G5" s="110"/>
      <c r="H5" s="110"/>
    </row>
    <row r="6" spans="1:23" ht="90.75" thickBot="1">
      <c r="A6" s="109" t="s">
        <v>465</v>
      </c>
      <c r="B6" s="1823" t="s">
        <v>1581</v>
      </c>
      <c r="C6" s="2267"/>
      <c r="D6" s="2268"/>
      <c r="E6" s="110"/>
      <c r="F6" s="110"/>
      <c r="G6" s="118" t="s">
        <v>466</v>
      </c>
      <c r="H6" s="178" t="s">
        <v>506</v>
      </c>
    </row>
    <row r="7" spans="1:23" ht="15.75" thickBot="1">
      <c r="A7"/>
      <c r="B7" s="110"/>
      <c r="C7" s="110"/>
      <c r="D7" s="110"/>
      <c r="E7" s="110"/>
      <c r="F7" s="110"/>
      <c r="G7" s="120"/>
      <c r="H7" s="110"/>
    </row>
    <row r="8" spans="1:23" ht="30.75" thickBot="1">
      <c r="A8" s="121" t="s">
        <v>7</v>
      </c>
      <c r="B8" s="1823" t="s">
        <v>507</v>
      </c>
      <c r="C8" s="2144"/>
      <c r="D8" s="2145"/>
      <c r="E8" s="115"/>
      <c r="F8" s="122"/>
      <c r="G8" s="584" t="s">
        <v>469</v>
      </c>
      <c r="H8" s="586" t="s">
        <v>508</v>
      </c>
    </row>
    <row r="9" spans="1:23">
      <c r="A9" s="179"/>
      <c r="B9" s="180"/>
      <c r="C9" s="181"/>
      <c r="D9" s="181"/>
      <c r="E9" s="115"/>
      <c r="F9" s="122"/>
      <c r="G9" s="587"/>
      <c r="H9" s="588"/>
    </row>
    <row r="10" spans="1:23" ht="54" customHeight="1">
      <c r="A10"/>
      <c r="B10" s="110"/>
      <c r="C10" s="110"/>
      <c r="D10" s="110"/>
      <c r="E10" s="110"/>
      <c r="F10" s="110"/>
      <c r="G10" s="587"/>
      <c r="H10" s="588"/>
      <c r="J10" s="1259"/>
    </row>
    <row r="11" spans="1:23" ht="215.25" customHeight="1">
      <c r="A11" s="2174" t="s">
        <v>471</v>
      </c>
      <c r="B11" s="2148"/>
      <c r="C11" s="1805" t="s">
        <v>531</v>
      </c>
      <c r="D11" s="1805"/>
      <c r="E11" s="1805"/>
      <c r="F11" s="1805"/>
      <c r="G11" s="1805"/>
      <c r="H11" s="1805"/>
    </row>
    <row r="12" spans="1:23">
      <c r="A12" s="126"/>
      <c r="B12" s="115"/>
      <c r="C12" s="115"/>
      <c r="D12" s="115"/>
      <c r="E12" s="115"/>
      <c r="F12" s="122"/>
      <c r="G12" s="125"/>
      <c r="H12" s="125"/>
    </row>
    <row r="13" spans="1:23" ht="30" customHeight="1">
      <c r="A13" s="126"/>
      <c r="B13" s="115"/>
      <c r="C13" s="115"/>
      <c r="D13" s="115"/>
      <c r="E13" s="2181" t="s">
        <v>473</v>
      </c>
      <c r="F13" s="2148"/>
      <c r="G13" s="2148"/>
      <c r="H13" s="2148"/>
    </row>
    <row r="14" spans="1:23" ht="30" customHeight="1">
      <c r="A14" s="110"/>
      <c r="B14" s="110"/>
      <c r="C14" s="110"/>
      <c r="D14" s="110"/>
      <c r="E14" s="2141"/>
      <c r="F14" s="2141"/>
      <c r="G14" s="2141"/>
      <c r="H14" s="2141"/>
      <c r="I14" s="2186">
        <v>2025</v>
      </c>
      <c r="J14" s="2097"/>
      <c r="K14" s="2097"/>
      <c r="L14" s="2097"/>
      <c r="M14" s="2098"/>
      <c r="N14" s="2186">
        <v>2026</v>
      </c>
      <c r="O14" s="2097"/>
      <c r="P14" s="2097"/>
      <c r="Q14" s="2097"/>
      <c r="R14" s="2098"/>
      <c r="S14" s="2186">
        <v>2027</v>
      </c>
      <c r="T14" s="2097"/>
      <c r="U14" s="2097"/>
      <c r="V14" s="2097"/>
      <c r="W14" s="2098"/>
    </row>
    <row r="15" spans="1:23" ht="30" customHeight="1" thickBot="1">
      <c r="A15" s="2184" t="s">
        <v>5</v>
      </c>
      <c r="B15" s="2137"/>
      <c r="C15" s="128" t="s">
        <v>1</v>
      </c>
      <c r="D15" s="128" t="s">
        <v>260</v>
      </c>
      <c r="E15" s="129" t="s">
        <v>474</v>
      </c>
      <c r="F15" s="2182" t="s">
        <v>6</v>
      </c>
      <c r="G15" s="2097"/>
      <c r="H15" s="2098"/>
      <c r="I15" s="615" t="s">
        <v>474</v>
      </c>
      <c r="J15" s="616" t="s">
        <v>944</v>
      </c>
      <c r="K15" s="617" t="s">
        <v>945</v>
      </c>
      <c r="L15" s="616" t="s">
        <v>946</v>
      </c>
      <c r="M15" s="618" t="s">
        <v>947</v>
      </c>
      <c r="N15" s="615" t="s">
        <v>474</v>
      </c>
      <c r="O15" s="616" t="s">
        <v>944</v>
      </c>
      <c r="P15" s="617" t="s">
        <v>945</v>
      </c>
      <c r="Q15" s="616" t="s">
        <v>946</v>
      </c>
      <c r="R15" s="618" t="s">
        <v>947</v>
      </c>
      <c r="S15" s="615" t="s">
        <v>474</v>
      </c>
      <c r="T15" s="616" t="s">
        <v>944</v>
      </c>
      <c r="U15" s="617" t="s">
        <v>945</v>
      </c>
      <c r="V15" s="616" t="s">
        <v>946</v>
      </c>
      <c r="W15" s="618" t="s">
        <v>947</v>
      </c>
    </row>
    <row r="16" spans="1:23" ht="29.25" customHeight="1">
      <c r="A16" s="2183" t="s">
        <v>17</v>
      </c>
      <c r="B16" s="2140"/>
      <c r="C16" s="130" t="s">
        <v>59</v>
      </c>
      <c r="D16" s="131" t="s">
        <v>251</v>
      </c>
      <c r="E16" s="132"/>
      <c r="F16" s="1828" t="s">
        <v>475</v>
      </c>
      <c r="G16" s="2140"/>
      <c r="H16" s="2137"/>
      <c r="I16" s="619"/>
      <c r="J16" s="620"/>
      <c r="K16" s="620"/>
      <c r="L16" s="620"/>
      <c r="M16" s="621"/>
      <c r="N16" s="619"/>
      <c r="O16" s="620"/>
      <c r="P16" s="620"/>
      <c r="Q16" s="620"/>
      <c r="R16" s="621"/>
      <c r="S16" s="619"/>
      <c r="T16" s="620"/>
      <c r="U16" s="620"/>
      <c r="V16" s="620"/>
      <c r="W16" s="622"/>
    </row>
    <row r="17" spans="1:23" ht="30" customHeight="1">
      <c r="A17" s="2148"/>
      <c r="B17" s="2148"/>
      <c r="C17" s="133" t="s">
        <v>18</v>
      </c>
      <c r="D17" s="134" t="s">
        <v>168</v>
      </c>
      <c r="E17" s="135"/>
      <c r="F17" s="1845"/>
      <c r="G17" s="1845"/>
      <c r="H17" s="2139"/>
      <c r="I17" s="623"/>
      <c r="J17" s="624"/>
      <c r="K17" s="624"/>
      <c r="L17" s="624"/>
      <c r="M17" s="624"/>
      <c r="N17" s="623"/>
      <c r="O17" s="624"/>
      <c r="P17" s="624"/>
      <c r="Q17" s="624"/>
      <c r="R17" s="624"/>
      <c r="S17" s="623"/>
      <c r="T17" s="624"/>
      <c r="U17" s="624"/>
      <c r="V17" s="624"/>
      <c r="W17" s="625"/>
    </row>
    <row r="18" spans="1:23" ht="32.25" customHeight="1" thickBot="1">
      <c r="A18" s="2141"/>
      <c r="B18" s="2141"/>
      <c r="C18" s="136" t="s">
        <v>19</v>
      </c>
      <c r="D18" s="137" t="s">
        <v>233</v>
      </c>
      <c r="E18" s="138"/>
      <c r="F18" s="2141"/>
      <c r="G18" s="2141"/>
      <c r="H18" s="2142"/>
      <c r="I18" s="326"/>
      <c r="J18" s="624"/>
      <c r="K18" s="624"/>
      <c r="L18" s="624"/>
      <c r="M18" s="624"/>
      <c r="N18" s="326"/>
      <c r="O18" s="624"/>
      <c r="P18" s="624"/>
      <c r="Q18" s="624"/>
      <c r="R18" s="624"/>
      <c r="S18" s="326"/>
      <c r="T18" s="624"/>
      <c r="U18" s="624"/>
      <c r="V18" s="624"/>
      <c r="W18" s="625"/>
    </row>
    <row r="19" spans="1:23" ht="61.5" customHeight="1">
      <c r="A19" s="2183" t="s">
        <v>20</v>
      </c>
      <c r="B19" s="2140"/>
      <c r="C19" s="130" t="s">
        <v>54</v>
      </c>
      <c r="D19" s="137" t="s">
        <v>261</v>
      </c>
      <c r="E19" s="138"/>
      <c r="F19" s="1828" t="s">
        <v>475</v>
      </c>
      <c r="G19" s="2140"/>
      <c r="H19" s="2137"/>
      <c r="I19" s="326"/>
      <c r="J19" s="624"/>
      <c r="K19" s="624"/>
      <c r="L19" s="624"/>
      <c r="M19" s="624"/>
      <c r="N19" s="326"/>
      <c r="O19" s="624"/>
      <c r="P19" s="624"/>
      <c r="Q19" s="624"/>
      <c r="R19" s="624"/>
      <c r="S19" s="326"/>
      <c r="T19" s="624"/>
      <c r="U19" s="624"/>
      <c r="V19" s="624"/>
      <c r="W19" s="625"/>
    </row>
    <row r="20" spans="1:23" ht="33" customHeight="1">
      <c r="A20" s="2148"/>
      <c r="B20" s="2148"/>
      <c r="C20" s="139" t="s">
        <v>21</v>
      </c>
      <c r="D20" s="137" t="s">
        <v>234</v>
      </c>
      <c r="E20" s="138"/>
      <c r="F20" s="1845"/>
      <c r="G20" s="1845"/>
      <c r="H20" s="2139"/>
      <c r="I20" s="326"/>
      <c r="J20" s="624"/>
      <c r="K20" s="624"/>
      <c r="L20" s="624"/>
      <c r="M20" s="624"/>
      <c r="N20" s="326"/>
      <c r="O20" s="624"/>
      <c r="P20" s="624"/>
      <c r="Q20" s="624"/>
      <c r="R20" s="624"/>
      <c r="S20" s="326"/>
      <c r="T20" s="624"/>
      <c r="U20" s="624"/>
      <c r="V20" s="624"/>
      <c r="W20" s="625"/>
    </row>
    <row r="21" spans="1:23" ht="31.5" customHeight="1" thickBot="1">
      <c r="A21" s="2148"/>
      <c r="B21" s="2148"/>
      <c r="C21" s="136" t="s">
        <v>22</v>
      </c>
      <c r="D21" s="137" t="s">
        <v>235</v>
      </c>
      <c r="E21" s="138"/>
      <c r="F21" s="2141"/>
      <c r="G21" s="2141"/>
      <c r="H21" s="2142"/>
      <c r="I21" s="326"/>
      <c r="J21" s="624"/>
      <c r="K21" s="624"/>
      <c r="L21" s="624"/>
      <c r="M21" s="624"/>
      <c r="N21" s="326"/>
      <c r="O21" s="624"/>
      <c r="P21" s="624"/>
      <c r="Q21" s="624"/>
      <c r="R21" s="624"/>
      <c r="S21" s="326"/>
      <c r="T21" s="624"/>
      <c r="U21" s="624"/>
      <c r="V21" s="624"/>
      <c r="W21" s="625"/>
    </row>
    <row r="22" spans="1:23" ht="28.5" customHeight="1">
      <c r="A22" s="2183" t="s">
        <v>23</v>
      </c>
      <c r="B22" s="2140"/>
      <c r="C22" s="140" t="s">
        <v>69</v>
      </c>
      <c r="D22" s="137" t="s">
        <v>267</v>
      </c>
      <c r="E22" s="138"/>
      <c r="F22" s="1828" t="s">
        <v>477</v>
      </c>
      <c r="G22" s="2140"/>
      <c r="H22" s="2137"/>
      <c r="I22" s="326"/>
      <c r="J22" s="624"/>
      <c r="K22" s="624"/>
      <c r="L22" s="624"/>
      <c r="M22" s="624"/>
      <c r="N22" s="326"/>
      <c r="O22" s="624"/>
      <c r="P22" s="624"/>
      <c r="Q22" s="624"/>
      <c r="R22" s="624"/>
      <c r="S22" s="326"/>
      <c r="T22" s="624"/>
      <c r="U22" s="624"/>
      <c r="V22" s="624"/>
      <c r="W22" s="625"/>
    </row>
    <row r="23" spans="1:23" ht="35.25" customHeight="1" thickBot="1">
      <c r="A23" s="2141"/>
      <c r="B23" s="2141"/>
      <c r="C23" s="141" t="s">
        <v>24</v>
      </c>
      <c r="D23" s="142" t="s">
        <v>236</v>
      </c>
      <c r="E23" s="138"/>
      <c r="F23" s="2141"/>
      <c r="G23" s="2141"/>
      <c r="H23" s="2142"/>
      <c r="I23" s="326"/>
      <c r="J23" s="624"/>
      <c r="K23" s="624"/>
      <c r="L23" s="624"/>
      <c r="M23" s="624"/>
      <c r="N23" s="326"/>
      <c r="O23" s="624"/>
      <c r="P23" s="624"/>
      <c r="Q23" s="624"/>
      <c r="R23" s="624"/>
      <c r="S23" s="326"/>
      <c r="T23" s="624"/>
      <c r="U23" s="624"/>
      <c r="V23" s="624"/>
      <c r="W23" s="625"/>
    </row>
    <row r="24" spans="1:23" ht="36" customHeight="1">
      <c r="A24" s="2136" t="s">
        <v>478</v>
      </c>
      <c r="B24" s="2137"/>
      <c r="C24" s="143" t="s">
        <v>360</v>
      </c>
      <c r="D24" s="142" t="s">
        <v>265</v>
      </c>
      <c r="E24" s="138"/>
      <c r="F24" s="1828" t="s">
        <v>477</v>
      </c>
      <c r="G24" s="2140"/>
      <c r="H24" s="2137"/>
      <c r="I24" s="326"/>
      <c r="J24" s="624"/>
      <c r="K24" s="624"/>
      <c r="L24" s="624"/>
      <c r="M24" s="624"/>
      <c r="N24" s="326"/>
      <c r="O24" s="624"/>
      <c r="P24" s="624"/>
      <c r="Q24" s="624"/>
      <c r="R24" s="624"/>
      <c r="S24" s="326"/>
      <c r="T24" s="624"/>
      <c r="U24" s="624"/>
      <c r="V24" s="624"/>
      <c r="W24" s="625"/>
    </row>
    <row r="25" spans="1:23" ht="15" customHeight="1">
      <c r="A25" s="2138"/>
      <c r="B25" s="2139"/>
      <c r="C25" s="144" t="s">
        <v>361</v>
      </c>
      <c r="D25" s="142" t="s">
        <v>362</v>
      </c>
      <c r="E25" s="138"/>
      <c r="F25" s="1845"/>
      <c r="G25" s="1845"/>
      <c r="H25" s="2139"/>
      <c r="I25" s="326"/>
      <c r="J25" s="624"/>
      <c r="K25" s="624"/>
      <c r="L25" s="624"/>
      <c r="M25" s="624"/>
      <c r="N25" s="326"/>
      <c r="O25" s="624"/>
      <c r="P25" s="624"/>
      <c r="Q25" s="624"/>
      <c r="R25" s="624"/>
      <c r="S25" s="326"/>
      <c r="T25" s="624"/>
      <c r="U25" s="624"/>
      <c r="V25" s="624"/>
      <c r="W25" s="625"/>
    </row>
    <row r="26" spans="1:23" ht="16.5" thickBot="1">
      <c r="A26" s="2138"/>
      <c r="B26" s="2139"/>
      <c r="C26" s="145" t="s">
        <v>479</v>
      </c>
      <c r="D26" s="142" t="s">
        <v>480</v>
      </c>
      <c r="E26" s="138"/>
      <c r="F26" s="2141"/>
      <c r="G26" s="2141"/>
      <c r="H26" s="2142"/>
      <c r="I26" s="326"/>
      <c r="J26" s="624"/>
      <c r="K26" s="624"/>
      <c r="L26" s="624"/>
      <c r="M26" s="624"/>
      <c r="N26" s="326"/>
      <c r="O26" s="624"/>
      <c r="P26" s="624"/>
      <c r="Q26" s="624"/>
      <c r="R26" s="624"/>
      <c r="S26" s="326"/>
      <c r="T26" s="624"/>
      <c r="U26" s="624"/>
      <c r="V26" s="624"/>
      <c r="W26" s="625"/>
    </row>
    <row r="27" spans="1:23" ht="15.75" thickBot="1">
      <c r="A27" s="2143" t="s">
        <v>25</v>
      </c>
      <c r="B27" s="2144"/>
      <c r="C27" s="2145"/>
      <c r="D27" s="146" t="s">
        <v>270</v>
      </c>
      <c r="E27" s="138"/>
      <c r="F27" s="1818" t="s">
        <v>481</v>
      </c>
      <c r="G27" s="2097"/>
      <c r="H27" s="2098"/>
      <c r="I27" s="326"/>
      <c r="J27" s="624"/>
      <c r="K27" s="624"/>
      <c r="L27" s="624"/>
      <c r="M27" s="624"/>
      <c r="N27" s="326"/>
      <c r="O27" s="624"/>
      <c r="P27" s="624"/>
      <c r="Q27" s="624"/>
      <c r="R27" s="624"/>
      <c r="S27" s="326"/>
      <c r="T27" s="624"/>
      <c r="U27" s="624"/>
      <c r="V27" s="624"/>
      <c r="W27" s="625"/>
    </row>
    <row r="28" spans="1:23" ht="15.75">
      <c r="A28" s="2157" t="s">
        <v>153</v>
      </c>
      <c r="B28" s="2158"/>
      <c r="C28" s="147" t="s">
        <v>152</v>
      </c>
      <c r="D28" s="148" t="s">
        <v>268</v>
      </c>
      <c r="E28" s="138"/>
      <c r="F28" s="1828" t="s">
        <v>475</v>
      </c>
      <c r="G28" s="2140"/>
      <c r="H28" s="2137"/>
      <c r="I28" s="326"/>
      <c r="J28" s="624"/>
      <c r="K28" s="624"/>
      <c r="L28" s="624"/>
      <c r="M28" s="624"/>
      <c r="N28" s="326"/>
      <c r="O28" s="624"/>
      <c r="P28" s="624"/>
      <c r="Q28" s="624"/>
      <c r="R28" s="624"/>
      <c r="S28" s="326"/>
      <c r="T28" s="624"/>
      <c r="U28" s="624"/>
      <c r="V28" s="624"/>
      <c r="W28" s="625"/>
    </row>
    <row r="29" spans="1:23" ht="15.75">
      <c r="A29" s="2138"/>
      <c r="B29" s="2158"/>
      <c r="C29" s="149" t="s">
        <v>154</v>
      </c>
      <c r="D29" s="148" t="s">
        <v>392</v>
      </c>
      <c r="E29" s="138"/>
      <c r="F29" s="1845"/>
      <c r="G29" s="1845"/>
      <c r="H29" s="2139"/>
      <c r="I29" s="326"/>
      <c r="J29" s="624"/>
      <c r="K29" s="624"/>
      <c r="L29" s="624"/>
      <c r="M29" s="624"/>
      <c r="N29" s="326"/>
      <c r="O29" s="624"/>
      <c r="P29" s="624"/>
      <c r="Q29" s="624"/>
      <c r="R29" s="624"/>
      <c r="S29" s="326"/>
      <c r="T29" s="624"/>
      <c r="U29" s="624"/>
      <c r="V29" s="624"/>
      <c r="W29" s="625"/>
    </row>
    <row r="30" spans="1:23" ht="16.5" thickBot="1">
      <c r="A30" s="2149"/>
      <c r="B30" s="2152"/>
      <c r="C30" s="150" t="s">
        <v>400</v>
      </c>
      <c r="D30" s="148" t="s">
        <v>393</v>
      </c>
      <c r="E30" s="138"/>
      <c r="F30" s="2141"/>
      <c r="G30" s="2141"/>
      <c r="H30" s="2142"/>
      <c r="I30" s="326"/>
      <c r="J30" s="624"/>
      <c r="K30" s="624"/>
      <c r="L30" s="624"/>
      <c r="M30" s="624"/>
      <c r="N30" s="326"/>
      <c r="O30" s="624"/>
      <c r="P30" s="624"/>
      <c r="Q30" s="624"/>
      <c r="R30" s="624"/>
      <c r="S30" s="326"/>
      <c r="T30" s="624"/>
      <c r="U30" s="624"/>
      <c r="V30" s="624"/>
      <c r="W30" s="625"/>
    </row>
    <row r="31" spans="1:23" ht="15.75">
      <c r="A31" s="2159" t="s">
        <v>153</v>
      </c>
      <c r="B31" s="2151"/>
      <c r="C31" s="151" t="s">
        <v>155</v>
      </c>
      <c r="D31" s="148" t="s">
        <v>266</v>
      </c>
      <c r="E31" s="138"/>
      <c r="F31" s="1828" t="s">
        <v>475</v>
      </c>
      <c r="G31" s="2140"/>
      <c r="H31" s="2137"/>
      <c r="I31" s="326"/>
      <c r="J31" s="624"/>
      <c r="K31" s="624"/>
      <c r="L31" s="624"/>
      <c r="M31" s="624"/>
      <c r="N31" s="326"/>
      <c r="O31" s="624"/>
      <c r="P31" s="624"/>
      <c r="Q31" s="624"/>
      <c r="R31" s="624"/>
      <c r="S31" s="326"/>
      <c r="T31" s="624"/>
      <c r="U31" s="624"/>
      <c r="V31" s="624"/>
      <c r="W31" s="625"/>
    </row>
    <row r="32" spans="1:23" ht="15.75">
      <c r="A32" s="2138"/>
      <c r="B32" s="2158"/>
      <c r="C32" s="149" t="s">
        <v>156</v>
      </c>
      <c r="D32" s="148" t="s">
        <v>394</v>
      </c>
      <c r="E32" s="138"/>
      <c r="F32" s="1845"/>
      <c r="G32" s="1845"/>
      <c r="H32" s="2139"/>
      <c r="I32" s="326"/>
      <c r="J32" s="624"/>
      <c r="K32" s="624"/>
      <c r="L32" s="624"/>
      <c r="M32" s="624"/>
      <c r="N32" s="326"/>
      <c r="O32" s="624"/>
      <c r="P32" s="624"/>
      <c r="Q32" s="624"/>
      <c r="R32" s="624"/>
      <c r="S32" s="326"/>
      <c r="T32" s="624"/>
      <c r="U32" s="624"/>
      <c r="V32" s="624"/>
      <c r="W32" s="625"/>
    </row>
    <row r="33" spans="1:23" ht="16.5" thickBot="1">
      <c r="A33" s="2149"/>
      <c r="B33" s="2152"/>
      <c r="C33" s="150" t="s">
        <v>399</v>
      </c>
      <c r="D33" s="148" t="s">
        <v>395</v>
      </c>
      <c r="E33" s="138"/>
      <c r="F33" s="2141"/>
      <c r="G33" s="2141"/>
      <c r="H33" s="2142"/>
      <c r="I33" s="326"/>
      <c r="J33" s="624"/>
      <c r="K33" s="624"/>
      <c r="L33" s="624"/>
      <c r="M33" s="624"/>
      <c r="N33" s="326"/>
      <c r="O33" s="624"/>
      <c r="P33" s="624"/>
      <c r="Q33" s="624"/>
      <c r="R33" s="624"/>
      <c r="S33" s="326"/>
      <c r="T33" s="624"/>
      <c r="U33" s="624"/>
      <c r="V33" s="624"/>
      <c r="W33" s="625"/>
    </row>
    <row r="34" spans="1:23" ht="16.5" thickBot="1">
      <c r="A34" s="2159" t="s">
        <v>482</v>
      </c>
      <c r="B34" s="2151"/>
      <c r="C34" s="151" t="s">
        <v>365</v>
      </c>
      <c r="D34" s="148" t="s">
        <v>252</v>
      </c>
      <c r="E34" s="138"/>
      <c r="F34" s="1828" t="s">
        <v>483</v>
      </c>
      <c r="G34" s="2140"/>
      <c r="H34" s="2137"/>
      <c r="I34" s="326"/>
      <c r="J34" s="624"/>
      <c r="K34" s="624"/>
      <c r="L34" s="624"/>
      <c r="M34" s="624"/>
      <c r="N34" s="326"/>
      <c r="O34" s="624"/>
      <c r="P34" s="624"/>
      <c r="Q34" s="624"/>
      <c r="R34" s="624"/>
      <c r="S34" s="326"/>
      <c r="T34" s="624"/>
      <c r="U34" s="624"/>
      <c r="V34" s="624"/>
      <c r="W34" s="625"/>
    </row>
    <row r="35" spans="1:23" ht="16.5" thickBot="1">
      <c r="A35" s="2159" t="s">
        <v>484</v>
      </c>
      <c r="B35" s="2151"/>
      <c r="C35" s="151" t="s">
        <v>485</v>
      </c>
      <c r="D35" s="148" t="s">
        <v>264</v>
      </c>
      <c r="E35" s="138"/>
      <c r="F35" s="2160"/>
      <c r="G35" s="2140"/>
      <c r="H35" s="2137"/>
      <c r="I35" s="326"/>
      <c r="J35" s="624"/>
      <c r="K35" s="624"/>
      <c r="L35" s="624"/>
      <c r="M35" s="624"/>
      <c r="N35" s="326"/>
      <c r="O35" s="624"/>
      <c r="P35" s="624"/>
      <c r="Q35" s="624"/>
      <c r="R35" s="624"/>
      <c r="S35" s="326"/>
      <c r="T35" s="624"/>
      <c r="U35" s="624"/>
      <c r="V35" s="624"/>
      <c r="W35" s="625"/>
    </row>
    <row r="36" spans="1:23" ht="15.75">
      <c r="A36" s="2161" t="s">
        <v>486</v>
      </c>
      <c r="B36" s="2151"/>
      <c r="C36" s="152" t="s">
        <v>43</v>
      </c>
      <c r="D36" s="153" t="s">
        <v>256</v>
      </c>
      <c r="E36" s="138"/>
      <c r="F36" s="1828" t="s">
        <v>487</v>
      </c>
      <c r="G36" s="2140"/>
      <c r="H36" s="2137"/>
      <c r="I36" s="326"/>
      <c r="J36" s="624"/>
      <c r="K36" s="624"/>
      <c r="L36" s="624"/>
      <c r="M36" s="624"/>
      <c r="N36" s="326"/>
      <c r="O36" s="624"/>
      <c r="P36" s="624"/>
      <c r="Q36" s="624"/>
      <c r="R36" s="624"/>
      <c r="S36" s="326"/>
      <c r="T36" s="624"/>
      <c r="U36" s="624"/>
      <c r="V36" s="624"/>
      <c r="W36" s="625"/>
    </row>
    <row r="37" spans="1:23" ht="16.5" thickBot="1">
      <c r="A37" s="2149"/>
      <c r="B37" s="2152"/>
      <c r="C37" s="154" t="s">
        <v>60</v>
      </c>
      <c r="D37" s="153" t="s">
        <v>257</v>
      </c>
      <c r="E37" s="138"/>
      <c r="F37" s="2141"/>
      <c r="G37" s="2141"/>
      <c r="H37" s="2142"/>
      <c r="I37" s="326"/>
      <c r="J37" s="624"/>
      <c r="K37" s="624"/>
      <c r="L37" s="624"/>
      <c r="M37" s="624"/>
      <c r="N37" s="326"/>
      <c r="O37" s="624"/>
      <c r="P37" s="624"/>
      <c r="Q37" s="624"/>
      <c r="R37" s="624"/>
      <c r="S37" s="326"/>
      <c r="T37" s="624"/>
      <c r="U37" s="624"/>
      <c r="V37" s="624"/>
      <c r="W37" s="625"/>
    </row>
    <row r="38" spans="1:23" ht="30">
      <c r="A38" s="2165" t="s">
        <v>33</v>
      </c>
      <c r="B38" s="2140"/>
      <c r="C38" s="155" t="s">
        <v>30</v>
      </c>
      <c r="D38" s="156" t="s">
        <v>170</v>
      </c>
      <c r="E38" s="138"/>
      <c r="F38" s="1820" t="s">
        <v>510</v>
      </c>
      <c r="G38" s="2140"/>
      <c r="H38" s="2137"/>
      <c r="I38" s="326"/>
      <c r="J38" s="624"/>
      <c r="K38" s="624"/>
      <c r="L38" s="624"/>
      <c r="M38" s="624"/>
      <c r="N38" s="326"/>
      <c r="O38" s="624"/>
      <c r="P38" s="624"/>
      <c r="Q38" s="624"/>
      <c r="R38" s="624"/>
      <c r="S38" s="326"/>
      <c r="T38" s="624"/>
      <c r="U38" s="624"/>
      <c r="V38" s="624"/>
      <c r="W38" s="625"/>
    </row>
    <row r="39" spans="1:23" ht="30">
      <c r="A39" s="2138"/>
      <c r="B39" s="2148"/>
      <c r="C39" s="157" t="s">
        <v>31</v>
      </c>
      <c r="D39" s="156" t="s">
        <v>169</v>
      </c>
      <c r="E39" s="183" t="s">
        <v>277</v>
      </c>
      <c r="F39" s="2166" t="s">
        <v>511</v>
      </c>
      <c r="G39" s="1820"/>
      <c r="H39" s="2310"/>
      <c r="I39" s="183" t="s">
        <v>277</v>
      </c>
      <c r="J39" s="624">
        <v>1</v>
      </c>
      <c r="K39" s="624"/>
      <c r="L39" s="624">
        <v>100</v>
      </c>
      <c r="M39" s="640">
        <f>(L39*177)*5</f>
        <v>88500</v>
      </c>
      <c r="N39" s="183" t="s">
        <v>277</v>
      </c>
      <c r="O39" s="624">
        <v>1</v>
      </c>
      <c r="P39" s="624"/>
      <c r="Q39" s="624">
        <v>100</v>
      </c>
      <c r="R39" s="640">
        <f>(Q39*233)*5</f>
        <v>116500</v>
      </c>
      <c r="S39" s="183" t="s">
        <v>277</v>
      </c>
      <c r="T39" s="624">
        <v>1</v>
      </c>
      <c r="U39" s="624"/>
      <c r="V39" s="624">
        <v>100</v>
      </c>
      <c r="W39" s="640">
        <f>(V39*233)*5</f>
        <v>116500</v>
      </c>
    </row>
    <row r="40" spans="1:23" ht="30.75" thickBot="1">
      <c r="A40" s="2138"/>
      <c r="B40" s="2148"/>
      <c r="C40" s="158" t="s">
        <v>32</v>
      </c>
      <c r="D40" s="156" t="s">
        <v>250</v>
      </c>
      <c r="E40" s="183" t="s">
        <v>277</v>
      </c>
      <c r="F40" s="2166" t="s">
        <v>512</v>
      </c>
      <c r="G40" s="1820"/>
      <c r="H40" s="2310"/>
      <c r="I40" s="183" t="s">
        <v>277</v>
      </c>
      <c r="J40" s="624">
        <v>1</v>
      </c>
      <c r="K40" s="624"/>
      <c r="L40" s="624">
        <v>100</v>
      </c>
      <c r="M40" s="640">
        <f>(L40*233)*5</f>
        <v>116500</v>
      </c>
      <c r="N40" s="183" t="s">
        <v>277</v>
      </c>
      <c r="O40" s="624"/>
      <c r="P40" s="624"/>
      <c r="Q40" s="624"/>
      <c r="R40" s="640">
        <f>(Q40*177)*5</f>
        <v>0</v>
      </c>
      <c r="S40" s="183" t="s">
        <v>277</v>
      </c>
      <c r="T40" s="624"/>
      <c r="U40" s="624"/>
      <c r="V40" s="624"/>
      <c r="W40" s="640">
        <f>(V40*177)*5</f>
        <v>0</v>
      </c>
    </row>
    <row r="41" spans="1:23" ht="49.5" customHeight="1">
      <c r="A41" s="2169" t="s">
        <v>491</v>
      </c>
      <c r="B41" s="2170"/>
      <c r="C41" s="159" t="s">
        <v>144</v>
      </c>
      <c r="D41" s="160" t="s">
        <v>253</v>
      </c>
      <c r="E41" s="183" t="s">
        <v>277</v>
      </c>
      <c r="F41" s="2162" t="s">
        <v>532</v>
      </c>
      <c r="G41" s="1828"/>
      <c r="H41" s="2274"/>
      <c r="I41" s="183" t="s">
        <v>277</v>
      </c>
      <c r="J41" s="624">
        <v>5</v>
      </c>
      <c r="K41" s="624"/>
      <c r="L41" s="624">
        <v>30</v>
      </c>
      <c r="M41" s="640">
        <f>(L41*201)*5</f>
        <v>30150</v>
      </c>
      <c r="N41" s="183" t="s">
        <v>277</v>
      </c>
      <c r="O41" s="624">
        <v>2</v>
      </c>
      <c r="P41" s="624"/>
      <c r="Q41" s="624">
        <v>10</v>
      </c>
      <c r="R41" s="640">
        <f>(Q41*201)*5</f>
        <v>10050</v>
      </c>
      <c r="S41" s="183" t="s">
        <v>277</v>
      </c>
      <c r="T41" s="624">
        <v>2</v>
      </c>
      <c r="U41" s="624"/>
      <c r="V41" s="624">
        <v>10</v>
      </c>
      <c r="W41" s="640">
        <f>(V41*201)*5</f>
        <v>10050</v>
      </c>
    </row>
    <row r="42" spans="1:23" ht="78.75" customHeight="1" thickBot="1">
      <c r="A42" s="2148"/>
      <c r="B42" s="2158"/>
      <c r="C42" s="161" t="s">
        <v>145</v>
      </c>
      <c r="D42" s="160" t="s">
        <v>254</v>
      </c>
      <c r="E42" s="183" t="s">
        <v>277</v>
      </c>
      <c r="F42" s="2162" t="s">
        <v>533</v>
      </c>
      <c r="G42" s="1828"/>
      <c r="H42" s="2274"/>
      <c r="I42" s="183" t="s">
        <v>277</v>
      </c>
      <c r="J42" s="624">
        <v>4</v>
      </c>
      <c r="K42" s="624"/>
      <c r="L42" s="624">
        <v>20</v>
      </c>
      <c r="M42" s="640">
        <f>(L42*150)*5</f>
        <v>15000</v>
      </c>
      <c r="N42" s="183" t="s">
        <v>277</v>
      </c>
      <c r="O42" s="624">
        <v>2</v>
      </c>
      <c r="P42" s="624"/>
      <c r="Q42" s="624">
        <v>20</v>
      </c>
      <c r="R42" s="640">
        <f>(Q42*150)*5</f>
        <v>15000</v>
      </c>
      <c r="S42" s="183" t="s">
        <v>277</v>
      </c>
      <c r="T42" s="624">
        <v>2</v>
      </c>
      <c r="U42" s="624"/>
      <c r="V42" s="624">
        <v>20</v>
      </c>
      <c r="W42" s="640">
        <f>(V42*150)*5</f>
        <v>15000</v>
      </c>
    </row>
    <row r="43" spans="1:23" ht="48" thickBot="1">
      <c r="A43" s="2171"/>
      <c r="B43" s="2172"/>
      <c r="C43" s="162" t="s">
        <v>128</v>
      </c>
      <c r="D43" s="160" t="s">
        <v>262</v>
      </c>
      <c r="E43" s="183"/>
      <c r="F43" s="2173"/>
      <c r="G43" s="2097"/>
      <c r="H43" s="2098"/>
      <c r="I43" s="183"/>
      <c r="J43" s="624"/>
      <c r="K43" s="624"/>
      <c r="L43" s="624"/>
      <c r="M43" s="640"/>
      <c r="N43" s="183"/>
      <c r="O43" s="624"/>
      <c r="P43" s="624"/>
      <c r="Q43" s="624"/>
      <c r="R43" s="640"/>
      <c r="S43" s="183"/>
      <c r="T43" s="624"/>
      <c r="U43" s="624"/>
      <c r="V43" s="624"/>
      <c r="W43" s="640"/>
    </row>
    <row r="44" spans="1:23" ht="15.75" thickBot="1">
      <c r="A44" s="2146" t="s">
        <v>493</v>
      </c>
      <c r="B44" s="2144"/>
      <c r="C44" s="2145"/>
      <c r="D44" s="163" t="s">
        <v>237</v>
      </c>
      <c r="E44" s="184" t="s">
        <v>277</v>
      </c>
      <c r="F44" s="1818" t="s">
        <v>513</v>
      </c>
      <c r="G44" s="2097"/>
      <c r="H44" s="2098"/>
      <c r="I44" s="184" t="s">
        <v>277</v>
      </c>
      <c r="J44" s="624">
        <v>1</v>
      </c>
      <c r="K44" s="624"/>
      <c r="L44" s="624">
        <v>3</v>
      </c>
      <c r="M44" s="640">
        <f>(L44*652)*5</f>
        <v>9780</v>
      </c>
      <c r="N44" s="184" t="s">
        <v>277</v>
      </c>
      <c r="O44" s="624">
        <v>1</v>
      </c>
      <c r="P44" s="624"/>
      <c r="Q44" s="624">
        <v>3</v>
      </c>
      <c r="R44" s="640">
        <f>(Q44*652)*5</f>
        <v>9780</v>
      </c>
      <c r="S44" s="184" t="s">
        <v>277</v>
      </c>
      <c r="T44" s="624">
        <v>1</v>
      </c>
      <c r="U44" s="624"/>
      <c r="V44" s="624">
        <v>3</v>
      </c>
      <c r="W44" s="640">
        <f>(V44*652)*5</f>
        <v>9780</v>
      </c>
    </row>
    <row r="45" spans="1:23" ht="15.75" thickBot="1">
      <c r="A45" s="2146" t="s">
        <v>133</v>
      </c>
      <c r="B45" s="2144"/>
      <c r="C45" s="2145"/>
      <c r="D45" s="163" t="s">
        <v>238</v>
      </c>
      <c r="E45" s="183"/>
      <c r="F45" s="1818"/>
      <c r="G45" s="2097"/>
      <c r="H45" s="2098"/>
      <c r="I45" s="183"/>
      <c r="J45" s="624"/>
      <c r="K45" s="624"/>
      <c r="L45" s="624"/>
      <c r="M45" s="640"/>
      <c r="N45" s="183"/>
      <c r="O45" s="624"/>
      <c r="P45" s="624"/>
      <c r="Q45" s="624"/>
      <c r="R45" s="640"/>
      <c r="S45" s="183"/>
      <c r="T45" s="624"/>
      <c r="U45" s="624"/>
      <c r="V45" s="624"/>
      <c r="W45" s="640"/>
    </row>
    <row r="46" spans="1:23">
      <c r="A46" s="2147" t="s">
        <v>41</v>
      </c>
      <c r="B46" s="2148"/>
      <c r="C46" s="164" t="s">
        <v>50</v>
      </c>
      <c r="D46" s="165" t="s">
        <v>246</v>
      </c>
      <c r="E46" s="184" t="s">
        <v>277</v>
      </c>
      <c r="F46" s="1785" t="s">
        <v>514</v>
      </c>
      <c r="G46" s="2097"/>
      <c r="H46" s="2098"/>
      <c r="I46" s="184" t="s">
        <v>277</v>
      </c>
      <c r="J46" s="624">
        <v>2</v>
      </c>
      <c r="K46" s="624"/>
      <c r="L46" s="624">
        <v>10</v>
      </c>
      <c r="M46" s="640">
        <f>(L46*82)*5</f>
        <v>4100</v>
      </c>
      <c r="N46" s="184" t="s">
        <v>277</v>
      </c>
      <c r="O46" s="624">
        <v>2</v>
      </c>
      <c r="P46" s="624"/>
      <c r="Q46" s="624">
        <v>10</v>
      </c>
      <c r="R46" s="640">
        <f>(Q46*82)*5</f>
        <v>4100</v>
      </c>
      <c r="S46" s="184" t="s">
        <v>277</v>
      </c>
      <c r="T46" s="624">
        <v>2</v>
      </c>
      <c r="U46" s="624"/>
      <c r="V46" s="624">
        <v>10</v>
      </c>
      <c r="W46" s="640">
        <f>(V46*82)*5</f>
        <v>4100</v>
      </c>
    </row>
    <row r="47" spans="1:23">
      <c r="A47" s="2138"/>
      <c r="B47" s="2148"/>
      <c r="C47" s="166" t="s">
        <v>51</v>
      </c>
      <c r="D47" s="165" t="s">
        <v>247</v>
      </c>
      <c r="E47" s="184" t="s">
        <v>277</v>
      </c>
      <c r="F47" s="1785" t="s">
        <v>515</v>
      </c>
      <c r="G47" s="2097"/>
      <c r="H47" s="2098"/>
      <c r="I47" s="184" t="s">
        <v>277</v>
      </c>
      <c r="J47" s="624">
        <v>5</v>
      </c>
      <c r="K47" s="624"/>
      <c r="L47" s="624">
        <v>30</v>
      </c>
      <c r="M47" s="640">
        <f>(L47*145)*5</f>
        <v>21750</v>
      </c>
      <c r="N47" s="184" t="s">
        <v>277</v>
      </c>
      <c r="O47" s="624">
        <v>2</v>
      </c>
      <c r="P47" s="624"/>
      <c r="Q47" s="624">
        <v>10</v>
      </c>
      <c r="R47" s="640">
        <f>(Q47*145)*5</f>
        <v>7250</v>
      </c>
      <c r="S47" s="184" t="s">
        <v>277</v>
      </c>
      <c r="T47" s="624">
        <v>2</v>
      </c>
      <c r="U47" s="624"/>
      <c r="V47" s="624">
        <v>10</v>
      </c>
      <c r="W47" s="640">
        <f>(V47*145)*5</f>
        <v>7250</v>
      </c>
    </row>
    <row r="48" spans="1:23">
      <c r="A48" s="2138"/>
      <c r="B48" s="2148"/>
      <c r="C48" s="166" t="s">
        <v>39</v>
      </c>
      <c r="D48" s="165" t="s">
        <v>248</v>
      </c>
      <c r="E48" s="184" t="s">
        <v>277</v>
      </c>
      <c r="F48" s="1785" t="s">
        <v>516</v>
      </c>
      <c r="G48" s="2097"/>
      <c r="H48" s="2098"/>
      <c r="I48" s="184" t="s">
        <v>277</v>
      </c>
      <c r="J48" s="624">
        <v>2</v>
      </c>
      <c r="K48" s="624"/>
      <c r="L48" s="624">
        <v>15</v>
      </c>
      <c r="M48" s="640">
        <f>(L48*200)*5</f>
        <v>15000</v>
      </c>
      <c r="N48" s="184" t="s">
        <v>277</v>
      </c>
      <c r="O48" s="624">
        <v>2</v>
      </c>
      <c r="P48" s="624"/>
      <c r="Q48" s="624">
        <v>10</v>
      </c>
      <c r="R48" s="640">
        <f>(Q48*200)*5</f>
        <v>10000</v>
      </c>
      <c r="S48" s="184" t="s">
        <v>277</v>
      </c>
      <c r="T48" s="624">
        <v>2</v>
      </c>
      <c r="U48" s="624"/>
      <c r="V48" s="624">
        <v>10</v>
      </c>
      <c r="W48" s="640">
        <f>(V48*200)*5</f>
        <v>10000</v>
      </c>
    </row>
    <row r="49" spans="1:23" ht="15.75" thickBot="1">
      <c r="A49" s="2149"/>
      <c r="B49" s="2141"/>
      <c r="C49" s="167" t="s">
        <v>40</v>
      </c>
      <c r="D49" s="165" t="s">
        <v>249</v>
      </c>
      <c r="E49" s="184" t="s">
        <v>277</v>
      </c>
      <c r="F49" s="1785" t="s">
        <v>517</v>
      </c>
      <c r="G49" s="2097"/>
      <c r="H49" s="2098"/>
      <c r="I49" s="184" t="s">
        <v>277</v>
      </c>
      <c r="J49" s="624">
        <v>4</v>
      </c>
      <c r="K49" s="624"/>
      <c r="L49" s="624">
        <v>20</v>
      </c>
      <c r="M49" s="640">
        <f>(L49*254)*5</f>
        <v>25400</v>
      </c>
      <c r="N49" s="184" t="s">
        <v>277</v>
      </c>
      <c r="O49" s="624">
        <v>2</v>
      </c>
      <c r="P49" s="624"/>
      <c r="Q49" s="624">
        <v>10</v>
      </c>
      <c r="R49" s="640">
        <f>(Q49*254)*5</f>
        <v>12700</v>
      </c>
      <c r="S49" s="184" t="s">
        <v>277</v>
      </c>
      <c r="T49" s="624">
        <v>2</v>
      </c>
      <c r="U49" s="624"/>
      <c r="V49" s="624">
        <v>10</v>
      </c>
      <c r="W49" s="640">
        <f>(V49*254)*5</f>
        <v>12700</v>
      </c>
    </row>
    <row r="50" spans="1:23" ht="15.75">
      <c r="A50" s="2150" t="s">
        <v>130</v>
      </c>
      <c r="B50" s="2151"/>
      <c r="C50" s="159" t="s">
        <v>131</v>
      </c>
      <c r="D50" s="160" t="s">
        <v>255</v>
      </c>
      <c r="E50" s="183"/>
      <c r="F50" s="2153"/>
      <c r="G50" s="2097"/>
      <c r="H50" s="2098"/>
      <c r="I50" s="183"/>
      <c r="J50" s="624"/>
      <c r="K50" s="624"/>
      <c r="L50" s="624"/>
      <c r="M50" s="640"/>
      <c r="N50" s="183"/>
      <c r="O50" s="624"/>
      <c r="P50" s="624"/>
      <c r="Q50" s="624"/>
      <c r="R50" s="640"/>
      <c r="S50" s="183"/>
      <c r="T50" s="624"/>
      <c r="U50" s="624"/>
      <c r="V50" s="624"/>
      <c r="W50" s="640"/>
    </row>
    <row r="51" spans="1:23" ht="48" thickBot="1">
      <c r="A51" s="2149"/>
      <c r="B51" s="2152"/>
      <c r="C51" s="168" t="s">
        <v>132</v>
      </c>
      <c r="D51" s="160" t="s">
        <v>263</v>
      </c>
      <c r="E51" s="183"/>
      <c r="F51" s="2153"/>
      <c r="G51" s="2097"/>
      <c r="H51" s="2098"/>
      <c r="I51" s="183"/>
      <c r="J51" s="624"/>
      <c r="K51" s="624"/>
      <c r="L51" s="624"/>
      <c r="M51" s="640"/>
      <c r="N51" s="183"/>
      <c r="O51" s="624"/>
      <c r="P51" s="624"/>
      <c r="Q51" s="624"/>
      <c r="R51" s="640"/>
      <c r="S51" s="183"/>
      <c r="T51" s="624"/>
      <c r="U51" s="624"/>
      <c r="V51" s="624"/>
      <c r="W51" s="640"/>
    </row>
    <row r="52" spans="1:23">
      <c r="A52" s="2154" t="s">
        <v>42</v>
      </c>
      <c r="B52" s="2140"/>
      <c r="C52" s="169" t="s">
        <v>38</v>
      </c>
      <c r="D52" s="170" t="s">
        <v>239</v>
      </c>
      <c r="E52" s="183" t="s">
        <v>277</v>
      </c>
      <c r="F52" s="1818" t="s">
        <v>518</v>
      </c>
      <c r="G52" s="2097"/>
      <c r="H52" s="2098"/>
      <c r="I52" s="183" t="s">
        <v>277</v>
      </c>
      <c r="J52" s="624">
        <v>2</v>
      </c>
      <c r="K52" s="624"/>
      <c r="L52" s="624">
        <v>500</v>
      </c>
      <c r="M52" s="640">
        <f>(L52*0.8)*5</f>
        <v>2000</v>
      </c>
      <c r="N52" s="183" t="s">
        <v>277</v>
      </c>
      <c r="O52" s="624">
        <v>1</v>
      </c>
      <c r="P52" s="624"/>
      <c r="Q52" s="624">
        <v>300</v>
      </c>
      <c r="R52" s="640">
        <f>(Q52*0.8)*5</f>
        <v>1200</v>
      </c>
      <c r="S52" s="183" t="s">
        <v>277</v>
      </c>
      <c r="T52" s="624">
        <v>1</v>
      </c>
      <c r="U52" s="624"/>
      <c r="V52" s="624">
        <v>300</v>
      </c>
      <c r="W52" s="640">
        <f>(V52*0.8)*5</f>
        <v>1200</v>
      </c>
    </row>
    <row r="53" spans="1:23">
      <c r="A53" s="2148"/>
      <c r="B53" s="2148"/>
      <c r="C53" s="171" t="s">
        <v>55</v>
      </c>
      <c r="D53" s="170" t="s">
        <v>240</v>
      </c>
      <c r="E53" s="183" t="s">
        <v>277</v>
      </c>
      <c r="F53" s="2155"/>
      <c r="G53" s="2097"/>
      <c r="H53" s="2098"/>
      <c r="I53" s="183" t="s">
        <v>277</v>
      </c>
      <c r="J53" s="624">
        <v>2</v>
      </c>
      <c r="K53" s="624"/>
      <c r="L53" s="624">
        <v>5</v>
      </c>
      <c r="M53" s="640">
        <f>(L53*62)*5</f>
        <v>1550</v>
      </c>
      <c r="N53" s="183" t="s">
        <v>277</v>
      </c>
      <c r="O53" s="624">
        <v>1</v>
      </c>
      <c r="P53" s="624"/>
      <c r="Q53" s="624">
        <v>2</v>
      </c>
      <c r="R53" s="640">
        <f>(Q53*62)*5</f>
        <v>620</v>
      </c>
      <c r="S53" s="183" t="s">
        <v>277</v>
      </c>
      <c r="T53" s="624">
        <v>1</v>
      </c>
      <c r="U53" s="624"/>
      <c r="V53" s="624">
        <v>2</v>
      </c>
      <c r="W53" s="640">
        <f>(V53*62)*5</f>
        <v>620</v>
      </c>
    </row>
    <row r="54" spans="1:23" ht="16.5" thickBot="1">
      <c r="A54" s="2148"/>
      <c r="B54" s="2148"/>
      <c r="C54" s="161" t="s">
        <v>48</v>
      </c>
      <c r="D54" s="172" t="s">
        <v>241</v>
      </c>
      <c r="E54" s="138"/>
      <c r="F54" s="2156"/>
      <c r="G54" s="2097"/>
      <c r="H54" s="2098"/>
      <c r="I54" s="138"/>
      <c r="J54" s="624"/>
      <c r="K54" s="624"/>
      <c r="L54" s="624"/>
      <c r="M54" s="624"/>
      <c r="N54" s="138"/>
      <c r="O54" s="624"/>
      <c r="P54" s="624"/>
      <c r="Q54" s="624"/>
      <c r="R54" s="640"/>
      <c r="S54" s="138"/>
      <c r="T54" s="624"/>
      <c r="U54" s="624"/>
      <c r="V54" s="624"/>
      <c r="W54" s="625"/>
    </row>
    <row r="55" spans="1:23" ht="16.5" thickBot="1">
      <c r="A55" s="2135" t="s">
        <v>500</v>
      </c>
      <c r="B55" s="2097"/>
      <c r="C55" s="173" t="s">
        <v>134</v>
      </c>
      <c r="D55" s="174" t="s">
        <v>269</v>
      </c>
      <c r="E55" s="175"/>
      <c r="F55" s="1818" t="s">
        <v>501</v>
      </c>
      <c r="G55" s="2097"/>
      <c r="H55" s="2098"/>
      <c r="I55" s="175"/>
      <c r="J55" s="627"/>
      <c r="K55" s="627"/>
      <c r="L55" s="627"/>
      <c r="M55" s="627"/>
      <c r="N55" s="175"/>
      <c r="O55" s="627"/>
      <c r="P55" s="627"/>
      <c r="Q55" s="627"/>
      <c r="R55" s="641"/>
      <c r="S55" s="175"/>
      <c r="T55" s="627"/>
      <c r="U55" s="627"/>
      <c r="V55" s="627"/>
      <c r="W55" s="628"/>
    </row>
    <row r="58" spans="1:23" ht="45">
      <c r="A58" s="630" t="s">
        <v>948</v>
      </c>
      <c r="B58" s="630" t="s">
        <v>949</v>
      </c>
      <c r="C58" s="630" t="s">
        <v>950</v>
      </c>
      <c r="D58" s="630" t="s">
        <v>951</v>
      </c>
      <c r="E58" s="630" t="s">
        <v>952</v>
      </c>
      <c r="F58" s="636" t="s">
        <v>975</v>
      </c>
      <c r="M58" s="1014">
        <f>SUM(M39:M54)</f>
        <v>329730</v>
      </c>
    </row>
    <row r="59" spans="1:23">
      <c r="A59" s="634" t="s">
        <v>953</v>
      </c>
      <c r="B59" s="624" t="s">
        <v>16</v>
      </c>
      <c r="C59" s="637" t="s">
        <v>976</v>
      </c>
      <c r="D59" s="624">
        <v>1</v>
      </c>
      <c r="E59" s="638" t="s">
        <v>977</v>
      </c>
      <c r="F59" s="639"/>
    </row>
    <row r="60" spans="1:23">
      <c r="A60" s="634" t="s">
        <v>956</v>
      </c>
      <c r="B60" s="624" t="s">
        <v>16</v>
      </c>
      <c r="C60" s="624">
        <v>1</v>
      </c>
      <c r="D60" s="624">
        <v>1</v>
      </c>
      <c r="E60" s="638" t="s">
        <v>979</v>
      </c>
      <c r="F60" s="1094"/>
    </row>
    <row r="61" spans="1:23" ht="60">
      <c r="A61" s="634" t="s">
        <v>957</v>
      </c>
      <c r="B61" s="624" t="s">
        <v>16</v>
      </c>
      <c r="C61" s="624"/>
      <c r="D61" s="624">
        <v>1</v>
      </c>
      <c r="E61" s="638"/>
      <c r="F61" s="639" t="s">
        <v>980</v>
      </c>
    </row>
    <row r="62" spans="1:23">
      <c r="A62" s="634" t="s">
        <v>959</v>
      </c>
      <c r="B62" s="624" t="s">
        <v>16</v>
      </c>
      <c r="C62" s="624"/>
      <c r="D62" s="624">
        <v>1.5</v>
      </c>
      <c r="E62" s="638"/>
      <c r="F62" s="1094"/>
    </row>
    <row r="63" spans="1:23">
      <c r="A63" s="634" t="s">
        <v>961</v>
      </c>
      <c r="B63" s="624" t="s">
        <v>16</v>
      </c>
      <c r="C63" s="624">
        <v>4</v>
      </c>
      <c r="D63" s="624">
        <v>2.5</v>
      </c>
      <c r="E63" s="638" t="s">
        <v>981</v>
      </c>
      <c r="F63" s="1094"/>
    </row>
    <row r="64" spans="1:23">
      <c r="A64" s="634" t="s">
        <v>963</v>
      </c>
      <c r="B64" s="624" t="s">
        <v>16</v>
      </c>
      <c r="C64" s="624">
        <v>4</v>
      </c>
      <c r="D64" s="624">
        <f>C64*0.5</f>
        <v>2</v>
      </c>
      <c r="E64" s="638" t="s">
        <v>982</v>
      </c>
      <c r="F64" s="1094"/>
    </row>
    <row r="65" spans="1:6">
      <c r="A65" s="634" t="s">
        <v>965</v>
      </c>
      <c r="B65" s="624" t="s">
        <v>16</v>
      </c>
      <c r="C65" s="624">
        <v>4</v>
      </c>
      <c r="D65" s="624">
        <v>1</v>
      </c>
      <c r="E65" s="638" t="s">
        <v>983</v>
      </c>
      <c r="F65" s="1094"/>
    </row>
    <row r="66" spans="1:6">
      <c r="A66" s="634" t="s">
        <v>967</v>
      </c>
      <c r="B66" s="624" t="s">
        <v>52</v>
      </c>
      <c r="C66" s="624">
        <v>2</v>
      </c>
      <c r="D66" s="624">
        <v>4</v>
      </c>
      <c r="E66" s="638" t="s">
        <v>984</v>
      </c>
      <c r="F66" s="1094"/>
    </row>
    <row r="67" spans="1:6">
      <c r="A67" s="634" t="s">
        <v>969</v>
      </c>
      <c r="B67" s="624" t="s">
        <v>16</v>
      </c>
      <c r="C67" s="624">
        <v>3</v>
      </c>
      <c r="D67" s="624">
        <v>1</v>
      </c>
      <c r="E67" s="638"/>
      <c r="F67" s="1094"/>
    </row>
    <row r="68" spans="1:6" ht="75">
      <c r="A68" s="634" t="s">
        <v>971</v>
      </c>
      <c r="B68" s="624" t="s">
        <v>16</v>
      </c>
      <c r="C68" s="624">
        <v>10</v>
      </c>
      <c r="D68" s="624">
        <f>C68*0.3</f>
        <v>3</v>
      </c>
      <c r="E68" s="638"/>
      <c r="F68" s="639" t="s">
        <v>985</v>
      </c>
    </row>
    <row r="69" spans="1:6">
      <c r="A69" s="634" t="s">
        <v>986</v>
      </c>
      <c r="B69" s="624"/>
      <c r="C69" s="624"/>
      <c r="D69" s="624"/>
      <c r="E69" s="638"/>
      <c r="F69" s="1094"/>
    </row>
    <row r="70" spans="1:6">
      <c r="A70" s="634"/>
      <c r="B70" s="624"/>
      <c r="C70" s="624"/>
      <c r="D70" s="624"/>
      <c r="E70" s="638"/>
      <c r="F70" s="1094"/>
    </row>
    <row r="71" spans="1:6">
      <c r="A71" s="634"/>
      <c r="B71" s="624"/>
      <c r="C71" s="624"/>
      <c r="D71" s="624"/>
      <c r="E71" s="638"/>
      <c r="F71" s="1094"/>
    </row>
    <row r="72" spans="1:6">
      <c r="A72" s="1093"/>
      <c r="B72" s="1093"/>
      <c r="C72" s="1093"/>
      <c r="D72" s="1093">
        <f>SUM(D59:D71)</f>
        <v>18</v>
      </c>
      <c r="E72" s="1093"/>
      <c r="F72" s="1093"/>
    </row>
    <row r="75" spans="1:6">
      <c r="A75" s="2311" t="s">
        <v>1270</v>
      </c>
      <c r="B75" s="2312"/>
      <c r="C75" s="2312"/>
      <c r="D75" s="2312"/>
      <c r="E75" s="2312"/>
      <c r="F75" s="2312"/>
    </row>
    <row r="76" spans="1:6" ht="75">
      <c r="A76" s="1270" t="s">
        <v>1271</v>
      </c>
      <c r="B76" s="1266" t="s">
        <v>1272</v>
      </c>
      <c r="C76" s="1266" t="s">
        <v>1273</v>
      </c>
      <c r="D76" s="1266" t="s">
        <v>1274</v>
      </c>
      <c r="E76" s="1266" t="s">
        <v>1275</v>
      </c>
      <c r="F76" s="1266" t="s">
        <v>1276</v>
      </c>
    </row>
    <row r="77" spans="1:6" ht="390">
      <c r="A77" s="1271" t="s">
        <v>1305</v>
      </c>
      <c r="B77" s="1269" t="s">
        <v>1306</v>
      </c>
      <c r="C77" s="1267" t="s">
        <v>1307</v>
      </c>
      <c r="D77" s="1267" t="s">
        <v>16</v>
      </c>
      <c r="E77" s="1268" t="s">
        <v>1308</v>
      </c>
      <c r="F77" s="1268" t="s">
        <v>1309</v>
      </c>
    </row>
  </sheetData>
  <mergeCells count="60">
    <mergeCell ref="A75:F75"/>
    <mergeCell ref="A15:B15"/>
    <mergeCell ref="A19:B21"/>
    <mergeCell ref="F19:H21"/>
    <mergeCell ref="A22:B23"/>
    <mergeCell ref="F22:H23"/>
    <mergeCell ref="A24:B26"/>
    <mergeCell ref="F24:H26"/>
    <mergeCell ref="A27:C27"/>
    <mergeCell ref="F27:H27"/>
    <mergeCell ref="A28:B30"/>
    <mergeCell ref="F28:H30"/>
    <mergeCell ref="A31:B33"/>
    <mergeCell ref="F31:H33"/>
    <mergeCell ref="A34:B34"/>
    <mergeCell ref="F34:H34"/>
    <mergeCell ref="C11:H11"/>
    <mergeCell ref="A11:B11"/>
    <mergeCell ref="E13:H14"/>
    <mergeCell ref="F15:H15"/>
    <mergeCell ref="A16:B18"/>
    <mergeCell ref="F16:H18"/>
    <mergeCell ref="B2:D2"/>
    <mergeCell ref="B3:D3"/>
    <mergeCell ref="B4:D4"/>
    <mergeCell ref="B6:D6"/>
    <mergeCell ref="B8:D8"/>
    <mergeCell ref="A35:B35"/>
    <mergeCell ref="F35:H35"/>
    <mergeCell ref="A36:B37"/>
    <mergeCell ref="F36:H37"/>
    <mergeCell ref="A38:B40"/>
    <mergeCell ref="F38:H38"/>
    <mergeCell ref="F39:H39"/>
    <mergeCell ref="F40:H40"/>
    <mergeCell ref="F47:H47"/>
    <mergeCell ref="F48:H48"/>
    <mergeCell ref="F49:H49"/>
    <mergeCell ref="A41:B43"/>
    <mergeCell ref="F41:H41"/>
    <mergeCell ref="F42:H42"/>
    <mergeCell ref="F43:H43"/>
    <mergeCell ref="A44:C44"/>
    <mergeCell ref="F44:H44"/>
    <mergeCell ref="I14:M14"/>
    <mergeCell ref="N14:R14"/>
    <mergeCell ref="S14:W14"/>
    <mergeCell ref="A55:B55"/>
    <mergeCell ref="F55:H55"/>
    <mergeCell ref="A50:B51"/>
    <mergeCell ref="F50:H50"/>
    <mergeCell ref="F51:H51"/>
    <mergeCell ref="A52:B54"/>
    <mergeCell ref="F52:H52"/>
    <mergeCell ref="F53:H53"/>
    <mergeCell ref="F54:H54"/>
    <mergeCell ref="A45:C45"/>
    <mergeCell ref="F45:H45"/>
    <mergeCell ref="A46:B49"/>
    <mergeCell ref="F46:H46"/>
  </mergeCells>
  <dataValidations count="3">
    <dataValidation type="list" allowBlank="1" showErrorMessage="1" sqref="H8:H10">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2" location="SOMMAIRE!A1" display="Retour sommaire"/>
    <hyperlink ref="J4" location="SYNTHESE!A1" display="Retour synthèse"/>
  </hyperlinks>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W67"/>
  <sheetViews>
    <sheetView topLeftCell="A43" zoomScale="110" zoomScaleNormal="110" workbookViewId="0">
      <selection activeCell="F50" sqref="F50:H50"/>
    </sheetView>
  </sheetViews>
  <sheetFormatPr baseColWidth="10" defaultRowHeight="15"/>
  <cols>
    <col min="1" max="1" width="20.42578125" style="1" bestFit="1" customWidth="1"/>
    <col min="2" max="2" width="17.85546875" style="1" customWidth="1"/>
    <col min="3" max="3" width="44.140625" style="1" customWidth="1"/>
    <col min="4" max="4" width="8.5703125" style="1" customWidth="1"/>
    <col min="5" max="5" width="15.7109375" style="1" customWidth="1"/>
    <col min="6" max="6" width="16.28515625" style="1" bestFit="1" customWidth="1"/>
    <col min="7" max="7" width="18.85546875" style="1" bestFit="1" customWidth="1"/>
    <col min="8" max="8" width="28.7109375" customWidth="1"/>
    <col min="10" max="10" width="16.42578125" bestFit="1" customWidth="1"/>
  </cols>
  <sheetData>
    <row r="1" spans="1:23" ht="15.75" thickBot="1">
      <c r="A1"/>
      <c r="B1"/>
      <c r="C1"/>
      <c r="D1"/>
      <c r="E1"/>
      <c r="F1"/>
      <c r="G1"/>
    </row>
    <row r="2" spans="1:23" ht="15.75" thickBot="1">
      <c r="A2" s="109" t="s">
        <v>0</v>
      </c>
      <c r="B2" s="2029" t="s">
        <v>752</v>
      </c>
      <c r="C2" s="2144"/>
      <c r="D2" s="2145"/>
      <c r="E2" s="110"/>
      <c r="F2" s="110"/>
      <c r="G2" s="111" t="s">
        <v>462</v>
      </c>
      <c r="H2" s="112" t="s">
        <v>14</v>
      </c>
    </row>
    <row r="3" spans="1:23" ht="15.75" thickBot="1">
      <c r="A3" s="113" t="s">
        <v>344</v>
      </c>
      <c r="B3" s="2029" t="s">
        <v>753</v>
      </c>
      <c r="C3" s="2175"/>
      <c r="D3" s="2176"/>
      <c r="E3" s="110"/>
      <c r="F3" s="110"/>
      <c r="G3" s="114" t="s">
        <v>10</v>
      </c>
      <c r="H3" s="112" t="s">
        <v>16</v>
      </c>
      <c r="J3" s="13" t="s">
        <v>73</v>
      </c>
    </row>
    <row r="4" spans="1:23" ht="15.75" thickBot="1">
      <c r="A4" s="114" t="s">
        <v>3</v>
      </c>
      <c r="B4" s="1823" t="s">
        <v>754</v>
      </c>
      <c r="C4" s="2144"/>
      <c r="D4" s="2145"/>
      <c r="E4" s="115"/>
      <c r="F4" s="110"/>
      <c r="G4" s="116" t="s">
        <v>26</v>
      </c>
      <c r="H4" s="514"/>
      <c r="J4" s="13"/>
    </row>
    <row r="5" spans="1:23" ht="15.75" customHeight="1" thickBot="1">
      <c r="A5" s="110"/>
      <c r="B5" s="110"/>
      <c r="C5" s="110"/>
      <c r="D5" s="110"/>
      <c r="E5" s="110"/>
      <c r="F5" s="110"/>
      <c r="G5" s="110"/>
      <c r="H5" s="110"/>
      <c r="J5" s="13" t="s">
        <v>381</v>
      </c>
    </row>
    <row r="6" spans="1:23" ht="100.5" customHeight="1" thickBot="1">
      <c r="A6" s="2313" t="s">
        <v>757</v>
      </c>
      <c r="B6" s="2322" t="s">
        <v>1582</v>
      </c>
      <c r="C6" s="2323"/>
      <c r="D6" s="2324"/>
      <c r="E6" s="110"/>
      <c r="F6" s="110"/>
      <c r="G6" s="118" t="s">
        <v>466</v>
      </c>
      <c r="H6" s="178" t="s">
        <v>756</v>
      </c>
    </row>
    <row r="7" spans="1:23" ht="74.25" customHeight="1" thickBot="1">
      <c r="A7" s="2314"/>
      <c r="B7" s="2325"/>
      <c r="C7" s="2326"/>
      <c r="D7" s="2327"/>
      <c r="E7" s="110"/>
      <c r="F7" s="110"/>
      <c r="G7" s="176"/>
      <c r="H7" s="180"/>
    </row>
    <row r="8" spans="1:23" ht="15.75" thickBot="1">
      <c r="A8"/>
      <c r="B8" s="110"/>
      <c r="C8" s="110"/>
      <c r="D8" s="110"/>
      <c r="E8" s="110"/>
      <c r="F8" s="110"/>
      <c r="G8" s="120"/>
      <c r="H8" s="110"/>
    </row>
    <row r="9" spans="1:23" ht="52.5" customHeight="1" thickBot="1">
      <c r="A9" s="121" t="s">
        <v>7</v>
      </c>
      <c r="B9" s="2307" t="s">
        <v>758</v>
      </c>
      <c r="C9" s="2320"/>
      <c r="D9" s="2321"/>
      <c r="E9" s="115"/>
      <c r="F9" s="122"/>
      <c r="G9" s="589" t="s">
        <v>469</v>
      </c>
      <c r="H9" s="586" t="s">
        <v>470</v>
      </c>
      <c r="J9" s="1259"/>
    </row>
    <row r="10" spans="1:23">
      <c r="A10" s="590"/>
      <c r="B10" s="180"/>
      <c r="C10" s="181"/>
      <c r="D10" s="181"/>
      <c r="E10" s="115"/>
      <c r="F10" s="122"/>
      <c r="G10" s="590"/>
      <c r="H10" s="588"/>
    </row>
    <row r="11" spans="1:23">
      <c r="A11"/>
      <c r="B11" s="110"/>
      <c r="C11" s="110"/>
      <c r="D11" s="110"/>
      <c r="E11" s="110"/>
      <c r="F11" s="110"/>
      <c r="G11" s="590"/>
      <c r="H11" s="588"/>
    </row>
    <row r="12" spans="1:23" ht="102.75" customHeight="1">
      <c r="A12" s="2174" t="s">
        <v>471</v>
      </c>
      <c r="B12" s="2148"/>
      <c r="C12" s="2328" t="s">
        <v>760</v>
      </c>
      <c r="D12" s="2328"/>
      <c r="E12" s="2328"/>
      <c r="F12" s="2328"/>
      <c r="G12" s="2328"/>
      <c r="H12" s="2328"/>
    </row>
    <row r="13" spans="1:23" ht="30" customHeight="1">
      <c r="A13" s="126"/>
      <c r="B13" s="115"/>
      <c r="C13" s="519"/>
      <c r="D13" s="115"/>
      <c r="E13" s="115"/>
      <c r="F13" s="122"/>
      <c r="G13" s="125"/>
      <c r="H13" s="125"/>
    </row>
    <row r="14" spans="1:23" ht="28.5" customHeight="1">
      <c r="A14" s="126"/>
      <c r="B14" s="115"/>
      <c r="C14" s="115"/>
      <c r="D14" s="115"/>
      <c r="E14" s="2181" t="s">
        <v>473</v>
      </c>
      <c r="F14" s="2148"/>
      <c r="G14" s="2148"/>
      <c r="H14" s="2148"/>
    </row>
    <row r="15" spans="1:23" ht="52.5" customHeight="1">
      <c r="A15" s="110"/>
      <c r="B15" s="110"/>
      <c r="C15" s="110"/>
      <c r="D15" s="110"/>
      <c r="E15" s="2141"/>
      <c r="F15" s="2141"/>
      <c r="G15" s="2141"/>
      <c r="H15" s="2141"/>
      <c r="I15" s="2191">
        <v>2025</v>
      </c>
      <c r="J15" s="2193"/>
      <c r="K15" s="2193"/>
      <c r="L15" s="2193"/>
      <c r="M15" s="2194"/>
      <c r="N15" s="2191">
        <v>2026</v>
      </c>
      <c r="O15" s="2193"/>
      <c r="P15" s="2193"/>
      <c r="Q15" s="2193"/>
      <c r="R15" s="2194"/>
      <c r="S15" s="2191">
        <v>2027</v>
      </c>
      <c r="T15" s="2193"/>
      <c r="U15" s="2193"/>
      <c r="V15" s="2193"/>
      <c r="W15" s="2194"/>
    </row>
    <row r="16" spans="1:23" ht="27" customHeight="1" thickBot="1">
      <c r="A16" s="2184" t="s">
        <v>5</v>
      </c>
      <c r="B16" s="2137"/>
      <c r="C16" s="128" t="s">
        <v>1</v>
      </c>
      <c r="D16" s="128" t="s">
        <v>260</v>
      </c>
      <c r="E16" s="129" t="s">
        <v>474</v>
      </c>
      <c r="F16" s="2182" t="s">
        <v>6</v>
      </c>
      <c r="G16" s="2097"/>
      <c r="H16" s="2098"/>
      <c r="I16" s="838" t="s">
        <v>474</v>
      </c>
      <c r="J16" s="839" t="s">
        <v>944</v>
      </c>
      <c r="K16" s="840" t="s">
        <v>945</v>
      </c>
      <c r="L16" s="839" t="s">
        <v>946</v>
      </c>
      <c r="M16" s="841" t="s">
        <v>947</v>
      </c>
      <c r="N16" s="838" t="s">
        <v>474</v>
      </c>
      <c r="O16" s="839" t="s">
        <v>944</v>
      </c>
      <c r="P16" s="840" t="s">
        <v>945</v>
      </c>
      <c r="Q16" s="839" t="s">
        <v>946</v>
      </c>
      <c r="R16" s="841" t="s">
        <v>947</v>
      </c>
      <c r="S16" s="838" t="s">
        <v>474</v>
      </c>
      <c r="T16" s="839" t="s">
        <v>944</v>
      </c>
      <c r="U16" s="840" t="s">
        <v>945</v>
      </c>
      <c r="V16" s="839" t="s">
        <v>946</v>
      </c>
      <c r="W16" s="841" t="s">
        <v>947</v>
      </c>
    </row>
    <row r="17" spans="1:23" ht="30" customHeight="1">
      <c r="A17" s="2183" t="s">
        <v>17</v>
      </c>
      <c r="B17" s="2140"/>
      <c r="C17" s="130" t="s">
        <v>59</v>
      </c>
      <c r="D17" s="131" t="s">
        <v>251</v>
      </c>
      <c r="E17" s="132"/>
      <c r="F17" s="1828" t="s">
        <v>475</v>
      </c>
      <c r="G17" s="2140"/>
      <c r="H17" s="2137"/>
      <c r="I17" s="842"/>
      <c r="J17" s="843"/>
      <c r="K17" s="843"/>
      <c r="L17" s="843"/>
      <c r="M17" s="844"/>
      <c r="N17" s="842"/>
      <c r="O17" s="843"/>
      <c r="P17" s="843"/>
      <c r="Q17" s="843"/>
      <c r="R17" s="844"/>
      <c r="S17" s="842"/>
      <c r="T17" s="843"/>
      <c r="U17" s="843"/>
      <c r="V17" s="843"/>
      <c r="W17" s="845"/>
    </row>
    <row r="18" spans="1:23" ht="30" customHeight="1">
      <c r="A18" s="2148"/>
      <c r="B18" s="2148"/>
      <c r="C18" s="133" t="s">
        <v>18</v>
      </c>
      <c r="D18" s="134" t="s">
        <v>168</v>
      </c>
      <c r="E18" s="135"/>
      <c r="F18" s="1845"/>
      <c r="G18" s="1845"/>
      <c r="H18" s="2139"/>
      <c r="I18" s="846"/>
      <c r="J18" s="847"/>
      <c r="K18" s="847"/>
      <c r="L18" s="847"/>
      <c r="M18" s="847"/>
      <c r="N18" s="846"/>
      <c r="O18" s="847"/>
      <c r="P18" s="847"/>
      <c r="Q18" s="847"/>
      <c r="R18" s="847"/>
      <c r="S18" s="846"/>
      <c r="T18" s="847"/>
      <c r="U18" s="847"/>
      <c r="V18" s="847"/>
      <c r="W18" s="848"/>
    </row>
    <row r="19" spans="1:23" ht="30" customHeight="1" thickBot="1">
      <c r="A19" s="2141"/>
      <c r="B19" s="2141"/>
      <c r="C19" s="136" t="s">
        <v>19</v>
      </c>
      <c r="D19" s="137" t="s">
        <v>233</v>
      </c>
      <c r="E19" s="138"/>
      <c r="F19" s="2141"/>
      <c r="G19" s="2141"/>
      <c r="H19" s="2142"/>
      <c r="I19" s="849"/>
      <c r="J19" s="847"/>
      <c r="K19" s="847"/>
      <c r="L19" s="847"/>
      <c r="M19" s="847"/>
      <c r="N19" s="849"/>
      <c r="O19" s="847"/>
      <c r="P19" s="847"/>
      <c r="Q19" s="847"/>
      <c r="R19" s="847"/>
      <c r="S19" s="849"/>
      <c r="T19" s="847"/>
      <c r="U19" s="847"/>
      <c r="V19" s="847"/>
      <c r="W19" s="848"/>
    </row>
    <row r="20" spans="1:23" ht="15" customHeight="1">
      <c r="A20" s="2183" t="s">
        <v>20</v>
      </c>
      <c r="B20" s="2140"/>
      <c r="C20" s="130" t="s">
        <v>54</v>
      </c>
      <c r="D20" s="137" t="s">
        <v>261</v>
      </c>
      <c r="E20" s="138"/>
      <c r="F20" s="1828" t="s">
        <v>475</v>
      </c>
      <c r="G20" s="2140"/>
      <c r="H20" s="2137"/>
      <c r="I20" s="849"/>
      <c r="J20" s="847"/>
      <c r="K20" s="847"/>
      <c r="L20" s="847"/>
      <c r="M20" s="847"/>
      <c r="N20" s="849"/>
      <c r="O20" s="847"/>
      <c r="P20" s="847"/>
      <c r="Q20" s="847"/>
      <c r="R20" s="847"/>
      <c r="S20" s="849"/>
      <c r="T20" s="847"/>
      <c r="U20" s="847"/>
      <c r="V20" s="847"/>
      <c r="W20" s="848"/>
    </row>
    <row r="21" spans="1:23">
      <c r="A21" s="2148"/>
      <c r="B21" s="2148"/>
      <c r="C21" s="139" t="s">
        <v>21</v>
      </c>
      <c r="D21" s="137" t="s">
        <v>234</v>
      </c>
      <c r="E21" s="138"/>
      <c r="F21" s="1845"/>
      <c r="G21" s="1845"/>
      <c r="H21" s="2139"/>
      <c r="I21" s="849"/>
      <c r="J21" s="847"/>
      <c r="K21" s="847"/>
      <c r="L21" s="847"/>
      <c r="M21" s="847"/>
      <c r="N21" s="849"/>
      <c r="O21" s="847"/>
      <c r="P21" s="847"/>
      <c r="Q21" s="847"/>
      <c r="R21" s="847"/>
      <c r="S21" s="849"/>
      <c r="T21" s="847"/>
      <c r="U21" s="847"/>
      <c r="V21" s="847"/>
      <c r="W21" s="848"/>
    </row>
    <row r="22" spans="1:23" ht="30" customHeight="1" thickBot="1">
      <c r="A22" s="2148"/>
      <c r="B22" s="2148"/>
      <c r="C22" s="136" t="s">
        <v>22</v>
      </c>
      <c r="D22" s="137" t="s">
        <v>235</v>
      </c>
      <c r="E22" s="138"/>
      <c r="F22" s="2141"/>
      <c r="G22" s="2141"/>
      <c r="H22" s="2142"/>
      <c r="I22" s="849"/>
      <c r="J22" s="847"/>
      <c r="K22" s="847"/>
      <c r="L22" s="847"/>
      <c r="M22" s="847"/>
      <c r="N22" s="849"/>
      <c r="O22" s="847"/>
      <c r="P22" s="847"/>
      <c r="Q22" s="847"/>
      <c r="R22" s="847"/>
      <c r="S22" s="849"/>
      <c r="T22" s="847"/>
      <c r="U22" s="847"/>
      <c r="V22" s="847"/>
      <c r="W22" s="848"/>
    </row>
    <row r="23" spans="1:23" ht="30" customHeight="1">
      <c r="A23" s="2183" t="s">
        <v>23</v>
      </c>
      <c r="B23" s="2140"/>
      <c r="C23" s="140" t="s">
        <v>69</v>
      </c>
      <c r="D23" s="137" t="s">
        <v>267</v>
      </c>
      <c r="E23" s="138"/>
      <c r="F23" s="1828" t="s">
        <v>477</v>
      </c>
      <c r="G23" s="2140"/>
      <c r="H23" s="2137"/>
      <c r="I23" s="849"/>
      <c r="J23" s="847"/>
      <c r="K23" s="847"/>
      <c r="L23" s="847"/>
      <c r="M23" s="847"/>
      <c r="N23" s="849"/>
      <c r="O23" s="847"/>
      <c r="P23" s="847"/>
      <c r="Q23" s="847"/>
      <c r="R23" s="847"/>
      <c r="S23" s="849"/>
      <c r="T23" s="847"/>
      <c r="U23" s="847"/>
      <c r="V23" s="847"/>
      <c r="W23" s="848"/>
    </row>
    <row r="24" spans="1:23" ht="15.75" thickBot="1">
      <c r="A24" s="2141"/>
      <c r="B24" s="2141"/>
      <c r="C24" s="141" t="s">
        <v>24</v>
      </c>
      <c r="D24" s="142" t="s">
        <v>236</v>
      </c>
      <c r="E24" s="138"/>
      <c r="F24" s="2141"/>
      <c r="G24" s="2141"/>
      <c r="H24" s="2142"/>
      <c r="I24" s="849"/>
      <c r="J24" s="847"/>
      <c r="K24" s="847"/>
      <c r="L24" s="847"/>
      <c r="M24" s="847"/>
      <c r="N24" s="849"/>
      <c r="O24" s="847"/>
      <c r="P24" s="847"/>
      <c r="Q24" s="847"/>
      <c r="R24" s="847"/>
      <c r="S24" s="849"/>
      <c r="T24" s="847"/>
      <c r="U24" s="847"/>
      <c r="V24" s="847"/>
      <c r="W24" s="848"/>
    </row>
    <row r="25" spans="1:23" ht="15.75">
      <c r="A25" s="2136" t="s">
        <v>478</v>
      </c>
      <c r="B25" s="2137"/>
      <c r="C25" s="143" t="s">
        <v>360</v>
      </c>
      <c r="D25" s="142" t="s">
        <v>265</v>
      </c>
      <c r="E25" s="138"/>
      <c r="F25" s="1828" t="s">
        <v>477</v>
      </c>
      <c r="G25" s="2140"/>
      <c r="H25" s="2137"/>
      <c r="I25" s="849"/>
      <c r="J25" s="847"/>
      <c r="K25" s="847"/>
      <c r="L25" s="847"/>
      <c r="M25" s="847"/>
      <c r="N25" s="849"/>
      <c r="O25" s="847"/>
      <c r="P25" s="847"/>
      <c r="Q25" s="847"/>
      <c r="R25" s="847"/>
      <c r="S25" s="849"/>
      <c r="T25" s="847"/>
      <c r="U25" s="847"/>
      <c r="V25" s="847"/>
      <c r="W25" s="848"/>
    </row>
    <row r="26" spans="1:23" ht="15.75">
      <c r="A26" s="2138"/>
      <c r="B26" s="2139"/>
      <c r="C26" s="144" t="s">
        <v>361</v>
      </c>
      <c r="D26" s="142" t="s">
        <v>362</v>
      </c>
      <c r="E26" s="138"/>
      <c r="F26" s="1845"/>
      <c r="G26" s="1845"/>
      <c r="H26" s="2139"/>
      <c r="I26" s="849"/>
      <c r="J26" s="847"/>
      <c r="K26" s="847"/>
      <c r="L26" s="847"/>
      <c r="M26" s="847"/>
      <c r="N26" s="849"/>
      <c r="O26" s="847"/>
      <c r="P26" s="847"/>
      <c r="Q26" s="847"/>
      <c r="R26" s="847"/>
      <c r="S26" s="849"/>
      <c r="T26" s="847"/>
      <c r="U26" s="847"/>
      <c r="V26" s="847"/>
      <c r="W26" s="848"/>
    </row>
    <row r="27" spans="1:23" ht="16.5" thickBot="1">
      <c r="A27" s="2138"/>
      <c r="B27" s="2139"/>
      <c r="C27" s="145" t="s">
        <v>479</v>
      </c>
      <c r="D27" s="142" t="s">
        <v>480</v>
      </c>
      <c r="E27" s="138"/>
      <c r="F27" s="2141"/>
      <c r="G27" s="2141"/>
      <c r="H27" s="2142"/>
      <c r="I27" s="849"/>
      <c r="J27" s="847"/>
      <c r="K27" s="847"/>
      <c r="L27" s="847"/>
      <c r="M27" s="847"/>
      <c r="N27" s="849"/>
      <c r="O27" s="847"/>
      <c r="P27" s="847"/>
      <c r="Q27" s="847"/>
      <c r="R27" s="847"/>
      <c r="S27" s="849"/>
      <c r="T27" s="847"/>
      <c r="U27" s="847"/>
      <c r="V27" s="847"/>
      <c r="W27" s="848"/>
    </row>
    <row r="28" spans="1:23" ht="15.75" thickBot="1">
      <c r="A28" s="2143" t="s">
        <v>25</v>
      </c>
      <c r="B28" s="2144"/>
      <c r="C28" s="2145"/>
      <c r="D28" s="146" t="s">
        <v>270</v>
      </c>
      <c r="E28" s="138"/>
      <c r="F28" s="1818" t="s">
        <v>481</v>
      </c>
      <c r="G28" s="2097"/>
      <c r="H28" s="2098"/>
      <c r="I28" s="849"/>
      <c r="J28" s="847"/>
      <c r="K28" s="847"/>
      <c r="L28" s="847"/>
      <c r="M28" s="847"/>
      <c r="N28" s="849"/>
      <c r="O28" s="847"/>
      <c r="P28" s="847"/>
      <c r="Q28" s="847"/>
      <c r="R28" s="847"/>
      <c r="S28" s="849"/>
      <c r="T28" s="847"/>
      <c r="U28" s="847"/>
      <c r="V28" s="847"/>
      <c r="W28" s="848"/>
    </row>
    <row r="29" spans="1:23" ht="15.75">
      <c r="A29" s="2157" t="s">
        <v>153</v>
      </c>
      <c r="B29" s="2158"/>
      <c r="C29" s="147" t="s">
        <v>152</v>
      </c>
      <c r="D29" s="148" t="s">
        <v>268</v>
      </c>
      <c r="E29" s="138"/>
      <c r="F29" s="1828" t="s">
        <v>475</v>
      </c>
      <c r="G29" s="2140"/>
      <c r="H29" s="2137"/>
      <c r="I29" s="849"/>
      <c r="J29" s="847"/>
      <c r="K29" s="847"/>
      <c r="L29" s="847"/>
      <c r="M29" s="847"/>
      <c r="N29" s="849"/>
      <c r="O29" s="847"/>
      <c r="P29" s="847"/>
      <c r="Q29" s="847"/>
      <c r="R29" s="847"/>
      <c r="S29" s="849"/>
      <c r="T29" s="847"/>
      <c r="U29" s="847"/>
      <c r="V29" s="847"/>
      <c r="W29" s="848"/>
    </row>
    <row r="30" spans="1:23" ht="15.75">
      <c r="A30" s="2138"/>
      <c r="B30" s="2158"/>
      <c r="C30" s="149" t="s">
        <v>154</v>
      </c>
      <c r="D30" s="148" t="s">
        <v>392</v>
      </c>
      <c r="E30" s="138"/>
      <c r="F30" s="1845"/>
      <c r="G30" s="1845"/>
      <c r="H30" s="2139"/>
      <c r="I30" s="849"/>
      <c r="J30" s="847"/>
      <c r="K30" s="847"/>
      <c r="L30" s="847"/>
      <c r="M30" s="847"/>
      <c r="N30" s="849"/>
      <c r="O30" s="847"/>
      <c r="P30" s="847"/>
      <c r="Q30" s="847"/>
      <c r="R30" s="847"/>
      <c r="S30" s="849"/>
      <c r="T30" s="847"/>
      <c r="U30" s="847"/>
      <c r="V30" s="847"/>
      <c r="W30" s="848"/>
    </row>
    <row r="31" spans="1:23" ht="16.5" thickBot="1">
      <c r="A31" s="2149"/>
      <c r="B31" s="2152"/>
      <c r="C31" s="150" t="s">
        <v>400</v>
      </c>
      <c r="D31" s="148" t="s">
        <v>393</v>
      </c>
      <c r="E31" s="138"/>
      <c r="F31" s="2141"/>
      <c r="G31" s="2141"/>
      <c r="H31" s="2142"/>
      <c r="I31" s="849"/>
      <c r="J31" s="847"/>
      <c r="K31" s="847"/>
      <c r="L31" s="847"/>
      <c r="M31" s="847"/>
      <c r="N31" s="849"/>
      <c r="O31" s="847"/>
      <c r="P31" s="847"/>
      <c r="Q31" s="847"/>
      <c r="R31" s="847"/>
      <c r="S31" s="849"/>
      <c r="T31" s="847"/>
      <c r="U31" s="847"/>
      <c r="V31" s="847"/>
      <c r="W31" s="848"/>
    </row>
    <row r="32" spans="1:23" ht="15.75">
      <c r="A32" s="2159" t="s">
        <v>153</v>
      </c>
      <c r="B32" s="2151"/>
      <c r="C32" s="151" t="s">
        <v>155</v>
      </c>
      <c r="D32" s="148" t="s">
        <v>266</v>
      </c>
      <c r="E32" s="138"/>
      <c r="F32" s="1828" t="s">
        <v>475</v>
      </c>
      <c r="G32" s="2140"/>
      <c r="H32" s="2137"/>
      <c r="I32" s="849"/>
      <c r="J32" s="847"/>
      <c r="K32" s="847"/>
      <c r="L32" s="847"/>
      <c r="M32" s="847"/>
      <c r="N32" s="849"/>
      <c r="O32" s="847"/>
      <c r="P32" s="847"/>
      <c r="Q32" s="847"/>
      <c r="R32" s="847"/>
      <c r="S32" s="849"/>
      <c r="T32" s="847"/>
      <c r="U32" s="847"/>
      <c r="V32" s="847"/>
      <c r="W32" s="848"/>
    </row>
    <row r="33" spans="1:23" ht="15.75">
      <c r="A33" s="2138"/>
      <c r="B33" s="2158"/>
      <c r="C33" s="149" t="s">
        <v>156</v>
      </c>
      <c r="D33" s="148" t="s">
        <v>394</v>
      </c>
      <c r="E33" s="138"/>
      <c r="F33" s="1845"/>
      <c r="G33" s="1845"/>
      <c r="H33" s="2139"/>
      <c r="I33" s="849"/>
      <c r="J33" s="847"/>
      <c r="K33" s="847"/>
      <c r="L33" s="847"/>
      <c r="M33" s="847"/>
      <c r="N33" s="849"/>
      <c r="O33" s="847"/>
      <c r="P33" s="847"/>
      <c r="Q33" s="847"/>
      <c r="R33" s="847"/>
      <c r="S33" s="849"/>
      <c r="T33" s="847"/>
      <c r="U33" s="847"/>
      <c r="V33" s="847"/>
      <c r="W33" s="848"/>
    </row>
    <row r="34" spans="1:23" ht="16.5" thickBot="1">
      <c r="A34" s="2149"/>
      <c r="B34" s="2152"/>
      <c r="C34" s="150" t="s">
        <v>399</v>
      </c>
      <c r="D34" s="148" t="s">
        <v>395</v>
      </c>
      <c r="E34" s="138"/>
      <c r="F34" s="2141"/>
      <c r="G34" s="2141"/>
      <c r="H34" s="2142"/>
      <c r="I34" s="849"/>
      <c r="J34" s="847"/>
      <c r="K34" s="847"/>
      <c r="L34" s="847"/>
      <c r="M34" s="847"/>
      <c r="N34" s="849"/>
      <c r="O34" s="847"/>
      <c r="P34" s="847"/>
      <c r="Q34" s="847"/>
      <c r="R34" s="847"/>
      <c r="S34" s="849"/>
      <c r="T34" s="847"/>
      <c r="U34" s="847"/>
      <c r="V34" s="847"/>
      <c r="W34" s="848"/>
    </row>
    <row r="35" spans="1:23" ht="16.5" thickBot="1">
      <c r="A35" s="2159" t="s">
        <v>482</v>
      </c>
      <c r="B35" s="2151"/>
      <c r="C35" s="151" t="s">
        <v>365</v>
      </c>
      <c r="D35" s="148" t="s">
        <v>252</v>
      </c>
      <c r="E35" s="138"/>
      <c r="F35" s="1828" t="s">
        <v>483</v>
      </c>
      <c r="G35" s="2140"/>
      <c r="H35" s="2137"/>
      <c r="I35" s="849"/>
      <c r="J35" s="847"/>
      <c r="K35" s="847"/>
      <c r="L35" s="847"/>
      <c r="M35" s="847"/>
      <c r="N35" s="849"/>
      <c r="O35" s="847"/>
      <c r="P35" s="847"/>
      <c r="Q35" s="847"/>
      <c r="R35" s="847"/>
      <c r="S35" s="849"/>
      <c r="T35" s="847"/>
      <c r="U35" s="847"/>
      <c r="V35" s="847"/>
      <c r="W35" s="848"/>
    </row>
    <row r="36" spans="1:23" ht="16.5" thickBot="1">
      <c r="A36" s="2159" t="s">
        <v>484</v>
      </c>
      <c r="B36" s="2151"/>
      <c r="C36" s="151" t="s">
        <v>485</v>
      </c>
      <c r="D36" s="148" t="s">
        <v>264</v>
      </c>
      <c r="E36" s="138" t="s">
        <v>554</v>
      </c>
      <c r="F36" s="2160"/>
      <c r="G36" s="2140"/>
      <c r="H36" s="2137"/>
      <c r="I36" s="849"/>
      <c r="J36" s="847"/>
      <c r="K36" s="847"/>
      <c r="L36" s="847"/>
      <c r="M36" s="847"/>
      <c r="N36" s="849"/>
      <c r="O36" s="847"/>
      <c r="P36" s="847"/>
      <c r="Q36" s="847"/>
      <c r="R36" s="847"/>
      <c r="S36" s="849"/>
      <c r="T36" s="847"/>
      <c r="U36" s="847"/>
      <c r="V36" s="847"/>
      <c r="W36" s="848"/>
    </row>
    <row r="37" spans="1:23" ht="15.75">
      <c r="A37" s="2161" t="s">
        <v>486</v>
      </c>
      <c r="B37" s="2151"/>
      <c r="C37" s="152" t="s">
        <v>43</v>
      </c>
      <c r="D37" s="153" t="s">
        <v>256</v>
      </c>
      <c r="E37" s="138"/>
      <c r="F37" s="1828" t="s">
        <v>487</v>
      </c>
      <c r="G37" s="2140"/>
      <c r="H37" s="2137"/>
      <c r="I37" s="849"/>
      <c r="J37" s="847"/>
      <c r="K37" s="847"/>
      <c r="L37" s="847"/>
      <c r="M37" s="847"/>
      <c r="N37" s="849"/>
      <c r="O37" s="847"/>
      <c r="P37" s="847"/>
      <c r="Q37" s="847"/>
      <c r="R37" s="847"/>
      <c r="S37" s="849"/>
      <c r="T37" s="847"/>
      <c r="U37" s="847"/>
      <c r="V37" s="847"/>
      <c r="W37" s="848"/>
    </row>
    <row r="38" spans="1:23" ht="16.5" thickBot="1">
      <c r="A38" s="2149"/>
      <c r="B38" s="2152"/>
      <c r="C38" s="154" t="s">
        <v>60</v>
      </c>
      <c r="D38" s="153" t="s">
        <v>257</v>
      </c>
      <c r="E38" s="138"/>
      <c r="F38" s="2141"/>
      <c r="G38" s="2141"/>
      <c r="H38" s="2142"/>
      <c r="I38" s="849"/>
      <c r="J38" s="847"/>
      <c r="K38" s="847"/>
      <c r="L38" s="847"/>
      <c r="M38" s="847"/>
      <c r="N38" s="849"/>
      <c r="O38" s="847"/>
      <c r="P38" s="847"/>
      <c r="Q38" s="847"/>
      <c r="R38" s="847"/>
      <c r="S38" s="849"/>
      <c r="T38" s="847"/>
      <c r="U38" s="847"/>
      <c r="V38" s="847"/>
      <c r="W38" s="848"/>
    </row>
    <row r="39" spans="1:23" ht="30">
      <c r="A39" s="2165" t="s">
        <v>33</v>
      </c>
      <c r="B39" s="2140"/>
      <c r="C39" s="155" t="s">
        <v>30</v>
      </c>
      <c r="D39" s="156" t="s">
        <v>170</v>
      </c>
      <c r="E39" s="138" t="s">
        <v>554</v>
      </c>
      <c r="F39" s="1828" t="s">
        <v>761</v>
      </c>
      <c r="G39" s="2318"/>
      <c r="H39" s="2319"/>
      <c r="I39" s="849"/>
      <c r="J39" s="847"/>
      <c r="K39" s="847"/>
      <c r="L39" s="847"/>
      <c r="M39" s="847"/>
      <c r="N39" s="849"/>
      <c r="O39" s="847"/>
      <c r="P39" s="847"/>
      <c r="Q39" s="847"/>
      <c r="R39" s="847"/>
      <c r="S39" s="849"/>
      <c r="T39" s="847"/>
      <c r="U39" s="847"/>
      <c r="V39" s="847"/>
      <c r="W39" s="848"/>
    </row>
    <row r="40" spans="1:23" ht="30">
      <c r="A40" s="2138"/>
      <c r="B40" s="2148"/>
      <c r="C40" s="157" t="s">
        <v>31</v>
      </c>
      <c r="D40" s="156" t="s">
        <v>169</v>
      </c>
      <c r="E40" s="138" t="s">
        <v>554</v>
      </c>
      <c r="F40" s="1828" t="s">
        <v>762</v>
      </c>
      <c r="G40" s="2318"/>
      <c r="H40" s="2319"/>
      <c r="I40" s="849"/>
      <c r="J40" s="847"/>
      <c r="K40" s="847"/>
      <c r="L40" s="847"/>
      <c r="M40" s="847"/>
      <c r="N40" s="849"/>
      <c r="O40" s="847"/>
      <c r="P40" s="847"/>
      <c r="Q40" s="847"/>
      <c r="R40" s="847"/>
      <c r="S40" s="849"/>
      <c r="T40" s="847"/>
      <c r="U40" s="847"/>
      <c r="V40" s="847"/>
      <c r="W40" s="848"/>
    </row>
    <row r="41" spans="1:23" ht="30.75" thickBot="1">
      <c r="A41" s="2138"/>
      <c r="B41" s="2148"/>
      <c r="C41" s="158" t="s">
        <v>32</v>
      </c>
      <c r="D41" s="156" t="s">
        <v>250</v>
      </c>
      <c r="E41" s="138" t="s">
        <v>554</v>
      </c>
      <c r="F41" s="1828" t="s">
        <v>763</v>
      </c>
      <c r="G41" s="2318"/>
      <c r="H41" s="2319"/>
      <c r="I41" s="849" t="s">
        <v>554</v>
      </c>
      <c r="J41" s="847">
        <v>1</v>
      </c>
      <c r="K41" s="847" t="s">
        <v>954</v>
      </c>
      <c r="L41" s="847">
        <v>60</v>
      </c>
      <c r="M41" s="853">
        <v>69900</v>
      </c>
      <c r="N41" s="849" t="s">
        <v>554</v>
      </c>
      <c r="O41" s="847">
        <v>1</v>
      </c>
      <c r="P41" s="847" t="s">
        <v>954</v>
      </c>
      <c r="Q41" s="847">
        <v>60</v>
      </c>
      <c r="R41" s="853">
        <v>69900</v>
      </c>
      <c r="S41" s="849" t="s">
        <v>554</v>
      </c>
      <c r="T41" s="847">
        <v>1</v>
      </c>
      <c r="U41" s="847" t="s">
        <v>954</v>
      </c>
      <c r="V41" s="847">
        <v>60</v>
      </c>
      <c r="W41" s="853">
        <v>69900</v>
      </c>
    </row>
    <row r="42" spans="1:23" ht="15.75">
      <c r="A42" s="2169" t="s">
        <v>491</v>
      </c>
      <c r="B42" s="2170"/>
      <c r="C42" s="159" t="s">
        <v>144</v>
      </c>
      <c r="D42" s="160" t="s">
        <v>253</v>
      </c>
      <c r="E42" s="138" t="s">
        <v>554</v>
      </c>
      <c r="F42" s="1828" t="s">
        <v>764</v>
      </c>
      <c r="G42" s="2318"/>
      <c r="H42" s="2319"/>
      <c r="I42" s="849" t="s">
        <v>554</v>
      </c>
      <c r="J42" s="847">
        <v>1</v>
      </c>
      <c r="K42" s="847"/>
      <c r="L42" s="847">
        <v>5</v>
      </c>
      <c r="M42" s="853">
        <v>3750</v>
      </c>
      <c r="N42" s="849" t="s">
        <v>554</v>
      </c>
      <c r="O42" s="847">
        <v>1</v>
      </c>
      <c r="P42" s="847"/>
      <c r="Q42" s="847">
        <v>5</v>
      </c>
      <c r="R42" s="853">
        <v>3750</v>
      </c>
      <c r="S42" s="849" t="s">
        <v>554</v>
      </c>
      <c r="T42" s="847">
        <v>1</v>
      </c>
      <c r="U42" s="847"/>
      <c r="V42" s="847">
        <v>5</v>
      </c>
      <c r="W42" s="853">
        <v>3750</v>
      </c>
    </row>
    <row r="43" spans="1:23" ht="16.5" thickBot="1">
      <c r="A43" s="2148"/>
      <c r="B43" s="2158"/>
      <c r="C43" s="161" t="s">
        <v>145</v>
      </c>
      <c r="D43" s="160" t="s">
        <v>254</v>
      </c>
      <c r="E43" s="138" t="s">
        <v>554</v>
      </c>
      <c r="F43" s="1828" t="s">
        <v>765</v>
      </c>
      <c r="G43" s="2318"/>
      <c r="H43" s="2319"/>
      <c r="I43" s="849" t="s">
        <v>554</v>
      </c>
      <c r="J43" s="847">
        <v>1</v>
      </c>
      <c r="K43" s="847"/>
      <c r="L43" s="847">
        <v>5</v>
      </c>
      <c r="M43" s="853">
        <v>5025</v>
      </c>
      <c r="N43" s="849" t="s">
        <v>554</v>
      </c>
      <c r="O43" s="847">
        <v>1</v>
      </c>
      <c r="P43" s="847"/>
      <c r="Q43" s="847">
        <v>5</v>
      </c>
      <c r="R43" s="853">
        <v>5025</v>
      </c>
      <c r="S43" s="849" t="s">
        <v>554</v>
      </c>
      <c r="T43" s="847">
        <v>1</v>
      </c>
      <c r="U43" s="847"/>
      <c r="V43" s="847">
        <v>5</v>
      </c>
      <c r="W43" s="853">
        <v>5025</v>
      </c>
    </row>
    <row r="44" spans="1:23" ht="48" thickBot="1">
      <c r="A44" s="2171"/>
      <c r="B44" s="2172"/>
      <c r="C44" s="162" t="s">
        <v>128</v>
      </c>
      <c r="D44" s="160" t="s">
        <v>262</v>
      </c>
      <c r="E44" s="520" t="s">
        <v>554</v>
      </c>
      <c r="F44" s="1828" t="s">
        <v>766</v>
      </c>
      <c r="G44" s="2318"/>
      <c r="H44" s="2319"/>
      <c r="I44" s="849"/>
      <c r="J44" s="847"/>
      <c r="K44" s="847"/>
      <c r="L44" s="847"/>
      <c r="M44" s="847"/>
      <c r="N44" s="849"/>
      <c r="O44" s="847"/>
      <c r="P44" s="847"/>
      <c r="Q44" s="847"/>
      <c r="R44" s="847"/>
      <c r="S44" s="849"/>
      <c r="T44" s="847"/>
      <c r="U44" s="847"/>
      <c r="V44" s="847"/>
      <c r="W44" s="848"/>
    </row>
    <row r="45" spans="1:23" ht="15.75" thickBot="1">
      <c r="A45" s="2146" t="s">
        <v>493</v>
      </c>
      <c r="B45" s="2144"/>
      <c r="C45" s="2145"/>
      <c r="D45" s="163" t="s">
        <v>237</v>
      </c>
      <c r="E45" s="138"/>
      <c r="F45" s="1818"/>
      <c r="G45" s="2097"/>
      <c r="H45" s="2098"/>
      <c r="I45" s="849"/>
      <c r="J45" s="847"/>
      <c r="K45" s="847"/>
      <c r="L45" s="847"/>
      <c r="M45" s="847"/>
      <c r="N45" s="849"/>
      <c r="O45" s="847"/>
      <c r="P45" s="847"/>
      <c r="Q45" s="847"/>
      <c r="R45" s="847"/>
      <c r="S45" s="849"/>
      <c r="T45" s="847"/>
      <c r="U45" s="847"/>
      <c r="V45" s="847"/>
      <c r="W45" s="848"/>
    </row>
    <row r="46" spans="1:23" ht="15.75" thickBot="1">
      <c r="A46" s="2146" t="s">
        <v>133</v>
      </c>
      <c r="B46" s="2144"/>
      <c r="C46" s="2145"/>
      <c r="D46" s="163" t="s">
        <v>238</v>
      </c>
      <c r="E46" s="138" t="s">
        <v>554</v>
      </c>
      <c r="F46" s="1818" t="s">
        <v>767</v>
      </c>
      <c r="G46" s="2097"/>
      <c r="H46" s="2098"/>
      <c r="I46" s="849"/>
      <c r="J46" s="847"/>
      <c r="K46" s="847"/>
      <c r="L46" s="847"/>
      <c r="M46" s="847"/>
      <c r="N46" s="849"/>
      <c r="O46" s="847"/>
      <c r="P46" s="847"/>
      <c r="Q46" s="847"/>
      <c r="R46" s="847"/>
      <c r="S46" s="849"/>
      <c r="T46" s="847"/>
      <c r="U46" s="847"/>
      <c r="V46" s="847"/>
      <c r="W46" s="848"/>
    </row>
    <row r="47" spans="1:23">
      <c r="A47" s="2147" t="s">
        <v>41</v>
      </c>
      <c r="B47" s="2148"/>
      <c r="C47" s="164" t="s">
        <v>50</v>
      </c>
      <c r="D47" s="165" t="s">
        <v>246</v>
      </c>
      <c r="E47" s="138"/>
      <c r="F47" s="1785" t="s">
        <v>768</v>
      </c>
      <c r="G47" s="2097"/>
      <c r="H47" s="2098"/>
      <c r="I47" s="849"/>
      <c r="J47" s="847"/>
      <c r="K47" s="847"/>
      <c r="L47" s="847"/>
      <c r="M47" s="847"/>
      <c r="N47" s="849"/>
      <c r="O47" s="847"/>
      <c r="P47" s="847"/>
      <c r="Q47" s="847"/>
      <c r="R47" s="847"/>
      <c r="S47" s="849"/>
      <c r="T47" s="847"/>
      <c r="U47" s="847"/>
      <c r="V47" s="847"/>
      <c r="W47" s="848"/>
    </row>
    <row r="48" spans="1:23">
      <c r="A48" s="2138"/>
      <c r="B48" s="2148"/>
      <c r="C48" s="166" t="s">
        <v>51</v>
      </c>
      <c r="D48" s="165" t="s">
        <v>247</v>
      </c>
      <c r="E48" s="138" t="s">
        <v>554</v>
      </c>
      <c r="F48" s="2315" t="s">
        <v>769</v>
      </c>
      <c r="G48" s="2316"/>
      <c r="H48" s="2317"/>
      <c r="I48" s="849" t="s">
        <v>554</v>
      </c>
      <c r="J48" s="847">
        <v>1</v>
      </c>
      <c r="K48" s="847"/>
      <c r="L48" s="847">
        <v>5</v>
      </c>
      <c r="M48" s="853">
        <v>3625</v>
      </c>
      <c r="N48" s="849" t="s">
        <v>554</v>
      </c>
      <c r="O48" s="847">
        <v>1</v>
      </c>
      <c r="P48" s="847"/>
      <c r="Q48" s="847">
        <v>5</v>
      </c>
      <c r="R48" s="853">
        <v>3625</v>
      </c>
      <c r="S48" s="849" t="s">
        <v>554</v>
      </c>
      <c r="T48" s="847">
        <v>1</v>
      </c>
      <c r="U48" s="847"/>
      <c r="V48" s="847">
        <v>5</v>
      </c>
      <c r="W48" s="853">
        <v>3625</v>
      </c>
    </row>
    <row r="49" spans="1:23">
      <c r="A49" s="2138"/>
      <c r="B49" s="2148"/>
      <c r="C49" s="166" t="s">
        <v>39</v>
      </c>
      <c r="D49" s="165" t="s">
        <v>248</v>
      </c>
      <c r="E49" s="138" t="s">
        <v>554</v>
      </c>
      <c r="F49" s="2315" t="s">
        <v>770</v>
      </c>
      <c r="G49" s="2316"/>
      <c r="H49" s="2317"/>
      <c r="I49" s="849" t="s">
        <v>554</v>
      </c>
      <c r="J49" s="847">
        <v>1</v>
      </c>
      <c r="K49" s="847"/>
      <c r="L49" s="847">
        <v>5</v>
      </c>
      <c r="M49" s="853">
        <v>5000</v>
      </c>
      <c r="N49" s="849" t="s">
        <v>554</v>
      </c>
      <c r="O49" s="847">
        <v>1</v>
      </c>
      <c r="P49" s="847"/>
      <c r="Q49" s="847">
        <v>5</v>
      </c>
      <c r="R49" s="853">
        <v>5000</v>
      </c>
      <c r="S49" s="849" t="s">
        <v>554</v>
      </c>
      <c r="T49" s="847">
        <v>1</v>
      </c>
      <c r="U49" s="847"/>
      <c r="V49" s="847">
        <v>5</v>
      </c>
      <c r="W49" s="853">
        <v>5000</v>
      </c>
    </row>
    <row r="50" spans="1:23" ht="15.75" thickBot="1">
      <c r="A50" s="2149"/>
      <c r="B50" s="2141"/>
      <c r="C50" s="167" t="s">
        <v>40</v>
      </c>
      <c r="D50" s="165" t="s">
        <v>249</v>
      </c>
      <c r="E50" s="138" t="s">
        <v>554</v>
      </c>
      <c r="F50" s="2315" t="s">
        <v>771</v>
      </c>
      <c r="G50" s="2316"/>
      <c r="H50" s="2317"/>
      <c r="I50" s="849"/>
      <c r="J50" s="847"/>
      <c r="K50" s="847"/>
      <c r="L50" s="847"/>
      <c r="M50" s="847"/>
      <c r="N50" s="849"/>
      <c r="O50" s="847"/>
      <c r="P50" s="847"/>
      <c r="Q50" s="847"/>
      <c r="R50" s="847"/>
      <c r="S50" s="849"/>
      <c r="T50" s="847"/>
      <c r="U50" s="847"/>
      <c r="V50" s="847"/>
      <c r="W50" s="848"/>
    </row>
    <row r="51" spans="1:23" ht="15.75">
      <c r="A51" s="2150" t="s">
        <v>130</v>
      </c>
      <c r="B51" s="2151"/>
      <c r="C51" s="159" t="s">
        <v>131</v>
      </c>
      <c r="D51" s="160" t="s">
        <v>255</v>
      </c>
      <c r="E51" s="138"/>
      <c r="F51" s="2153"/>
      <c r="G51" s="2097"/>
      <c r="H51" s="2098"/>
      <c r="I51" s="849"/>
      <c r="J51" s="847"/>
      <c r="K51" s="847"/>
      <c r="L51" s="847"/>
      <c r="M51" s="847"/>
      <c r="N51" s="849"/>
      <c r="O51" s="847"/>
      <c r="P51" s="847"/>
      <c r="Q51" s="847"/>
      <c r="R51" s="847"/>
      <c r="S51" s="849"/>
      <c r="T51" s="847"/>
      <c r="U51" s="847"/>
      <c r="V51" s="847"/>
      <c r="W51" s="848"/>
    </row>
    <row r="52" spans="1:23" ht="48" thickBot="1">
      <c r="A52" s="2149"/>
      <c r="B52" s="2152"/>
      <c r="C52" s="168" t="s">
        <v>132</v>
      </c>
      <c r="D52" s="160" t="s">
        <v>263</v>
      </c>
      <c r="E52" s="138"/>
      <c r="F52" s="2153"/>
      <c r="G52" s="2097"/>
      <c r="H52" s="2098"/>
      <c r="I52" s="849"/>
      <c r="J52" s="847"/>
      <c r="K52" s="847"/>
      <c r="L52" s="847"/>
      <c r="M52" s="847"/>
      <c r="N52" s="849"/>
      <c r="O52" s="847"/>
      <c r="P52" s="847"/>
      <c r="Q52" s="847"/>
      <c r="R52" s="847"/>
      <c r="S52" s="849"/>
      <c r="T52" s="847"/>
      <c r="U52" s="847"/>
      <c r="V52" s="847"/>
      <c r="W52" s="848"/>
    </row>
    <row r="53" spans="1:23">
      <c r="A53" s="2154" t="s">
        <v>42</v>
      </c>
      <c r="B53" s="2140"/>
      <c r="C53" s="169" t="s">
        <v>38</v>
      </c>
      <c r="D53" s="170" t="s">
        <v>239</v>
      </c>
      <c r="E53" s="138" t="s">
        <v>554</v>
      </c>
      <c r="F53" s="1818" t="s">
        <v>772</v>
      </c>
      <c r="G53" s="2097"/>
      <c r="H53" s="2098"/>
      <c r="I53" s="849"/>
      <c r="J53" s="847"/>
      <c r="K53" s="847"/>
      <c r="L53" s="847"/>
      <c r="M53" s="847"/>
      <c r="N53" s="849"/>
      <c r="O53" s="847"/>
      <c r="P53" s="847"/>
      <c r="Q53" s="847"/>
      <c r="R53" s="847"/>
      <c r="S53" s="849"/>
      <c r="T53" s="847"/>
      <c r="U53" s="847"/>
      <c r="V53" s="847"/>
      <c r="W53" s="848"/>
    </row>
    <row r="54" spans="1:23">
      <c r="A54" s="2148"/>
      <c r="B54" s="2148"/>
      <c r="C54" s="171" t="s">
        <v>55</v>
      </c>
      <c r="D54" s="170" t="s">
        <v>240</v>
      </c>
      <c r="E54" s="138"/>
      <c r="F54" s="2155"/>
      <c r="G54" s="2097"/>
      <c r="H54" s="2098"/>
      <c r="I54" s="849"/>
      <c r="J54" s="847"/>
      <c r="K54" s="847"/>
      <c r="L54" s="847"/>
      <c r="M54" s="847"/>
      <c r="N54" s="849"/>
      <c r="O54" s="847"/>
      <c r="P54" s="847"/>
      <c r="Q54" s="847"/>
      <c r="R54" s="847"/>
      <c r="S54" s="849"/>
      <c r="T54" s="847"/>
      <c r="U54" s="847"/>
      <c r="V54" s="847"/>
      <c r="W54" s="848"/>
    </row>
    <row r="55" spans="1:23" ht="16.5" thickBot="1">
      <c r="A55" s="2148"/>
      <c r="B55" s="2148"/>
      <c r="C55" s="161" t="s">
        <v>48</v>
      </c>
      <c r="D55" s="172" t="s">
        <v>241</v>
      </c>
      <c r="E55" s="138"/>
      <c r="F55" s="2156"/>
      <c r="G55" s="2097"/>
      <c r="H55" s="2098"/>
      <c r="I55" s="849"/>
      <c r="J55" s="847"/>
      <c r="K55" s="847"/>
      <c r="L55" s="847"/>
      <c r="M55" s="847"/>
      <c r="N55" s="849"/>
      <c r="O55" s="847"/>
      <c r="P55" s="847"/>
      <c r="Q55" s="847"/>
      <c r="R55" s="847"/>
      <c r="S55" s="849"/>
      <c r="T55" s="847"/>
      <c r="U55" s="847"/>
      <c r="V55" s="847"/>
      <c r="W55" s="848"/>
    </row>
    <row r="56" spans="1:23" ht="16.5" thickBot="1">
      <c r="A56" s="2135" t="s">
        <v>500</v>
      </c>
      <c r="B56" s="2097"/>
      <c r="C56" s="173" t="s">
        <v>134</v>
      </c>
      <c r="D56" s="174" t="s">
        <v>269</v>
      </c>
      <c r="E56" s="175"/>
      <c r="F56" s="1818" t="s">
        <v>501</v>
      </c>
      <c r="G56" s="2097"/>
      <c r="H56" s="2098"/>
      <c r="I56" s="850"/>
      <c r="J56" s="851"/>
      <c r="K56" s="851"/>
      <c r="L56" s="851"/>
      <c r="M56" s="851"/>
      <c r="N56" s="850"/>
      <c r="O56" s="851"/>
      <c r="P56" s="851"/>
      <c r="Q56" s="851"/>
      <c r="R56" s="851"/>
      <c r="S56" s="850"/>
      <c r="T56" s="851"/>
      <c r="U56" s="851"/>
      <c r="V56" s="851"/>
      <c r="W56" s="852"/>
    </row>
    <row r="57" spans="1:23">
      <c r="I57" s="837"/>
      <c r="J57" s="837"/>
      <c r="K57" s="837"/>
      <c r="L57" s="837"/>
      <c r="M57" s="837"/>
      <c r="N57" s="837"/>
      <c r="O57" s="837"/>
      <c r="P57" s="837"/>
      <c r="Q57" s="837"/>
      <c r="R57" s="837"/>
      <c r="S57" s="837"/>
      <c r="T57" s="837"/>
      <c r="U57" s="837"/>
      <c r="V57" s="837"/>
      <c r="W57" s="837"/>
    </row>
    <row r="58" spans="1:23">
      <c r="I58" s="837"/>
      <c r="J58" s="837"/>
      <c r="K58" s="837"/>
      <c r="L58" s="837"/>
      <c r="M58" s="854">
        <v>87300</v>
      </c>
      <c r="N58" s="854"/>
      <c r="O58" s="854"/>
      <c r="P58" s="854"/>
      <c r="Q58" s="854"/>
      <c r="R58" s="854">
        <v>87300</v>
      </c>
      <c r="S58" s="837"/>
      <c r="T58" s="837"/>
      <c r="U58" s="837"/>
      <c r="V58" s="837"/>
      <c r="W58" s="854">
        <v>87300</v>
      </c>
    </row>
    <row r="60" spans="1:23">
      <c r="A60" s="2198" t="s">
        <v>1270</v>
      </c>
      <c r="B60" s="2199"/>
      <c r="C60" s="2199"/>
      <c r="D60" s="2199"/>
      <c r="E60" s="2199"/>
      <c r="F60" s="2199"/>
    </row>
    <row r="61" spans="1:23" ht="75">
      <c r="A61" s="1445" t="s">
        <v>1271</v>
      </c>
      <c r="B61" s="1445" t="s">
        <v>1272</v>
      </c>
      <c r="C61" s="1445" t="s">
        <v>1273</v>
      </c>
      <c r="D61" s="1445" t="s">
        <v>1274</v>
      </c>
      <c r="E61" s="1445" t="s">
        <v>1275</v>
      </c>
      <c r="F61" s="1445" t="s">
        <v>1276</v>
      </c>
    </row>
    <row r="62" spans="1:23">
      <c r="A62" s="1444" t="s">
        <v>1431</v>
      </c>
      <c r="B62" s="1444" t="s">
        <v>1405</v>
      </c>
      <c r="C62" s="1444" t="s">
        <v>1357</v>
      </c>
      <c r="D62" s="1444" t="s">
        <v>16</v>
      </c>
      <c r="E62" s="1444" t="s">
        <v>1432</v>
      </c>
      <c r="F62" s="1444">
        <v>10</v>
      </c>
    </row>
    <row r="63" spans="1:23" ht="105">
      <c r="A63" s="1446" t="s">
        <v>1401</v>
      </c>
      <c r="B63" s="1444" t="s">
        <v>1402</v>
      </c>
      <c r="C63" s="1444" t="s">
        <v>1357</v>
      </c>
      <c r="D63" s="1444" t="s">
        <v>52</v>
      </c>
      <c r="E63" s="1444" t="s">
        <v>1433</v>
      </c>
      <c r="F63" s="1444">
        <v>10</v>
      </c>
    </row>
    <row r="64" spans="1:23">
      <c r="A64" s="1444" t="s">
        <v>1404</v>
      </c>
      <c r="B64" s="1444" t="s">
        <v>1405</v>
      </c>
      <c r="C64" s="1444" t="s">
        <v>1357</v>
      </c>
      <c r="D64" s="1444" t="s">
        <v>52</v>
      </c>
      <c r="E64" s="1444" t="s">
        <v>1433</v>
      </c>
      <c r="F64" s="1444">
        <v>20</v>
      </c>
    </row>
    <row r="65" spans="1:6">
      <c r="A65" s="1444" t="s">
        <v>1406</v>
      </c>
      <c r="B65" s="1444" t="s">
        <v>1402</v>
      </c>
      <c r="C65" s="1444" t="s">
        <v>1357</v>
      </c>
      <c r="D65" s="1444" t="s">
        <v>52</v>
      </c>
      <c r="E65" s="1444" t="s">
        <v>1432</v>
      </c>
      <c r="F65" s="1444">
        <v>20</v>
      </c>
    </row>
    <row r="66" spans="1:6" ht="30">
      <c r="A66" s="1444" t="s">
        <v>1408</v>
      </c>
      <c r="B66" s="1444" t="s">
        <v>1402</v>
      </c>
      <c r="C66" s="1444" t="s">
        <v>1357</v>
      </c>
      <c r="D66" s="1444" t="s">
        <v>52</v>
      </c>
      <c r="E66" s="1446" t="s">
        <v>1434</v>
      </c>
      <c r="F66" s="1444">
        <v>15</v>
      </c>
    </row>
    <row r="67" spans="1:6">
      <c r="A67" s="1444" t="s">
        <v>1410</v>
      </c>
      <c r="B67" s="1444" t="s">
        <v>1405</v>
      </c>
      <c r="C67" s="1444" t="s">
        <v>1357</v>
      </c>
      <c r="D67" s="1444" t="s">
        <v>16</v>
      </c>
      <c r="E67" s="1444" t="s">
        <v>1432</v>
      </c>
      <c r="F67" s="1444">
        <v>15</v>
      </c>
    </row>
  </sheetData>
  <mergeCells count="61">
    <mergeCell ref="A60:F60"/>
    <mergeCell ref="I15:M15"/>
    <mergeCell ref="N15:R15"/>
    <mergeCell ref="S15:W15"/>
    <mergeCell ref="A12:B12"/>
    <mergeCell ref="E14:H15"/>
    <mergeCell ref="A16:B16"/>
    <mergeCell ref="F16:H16"/>
    <mergeCell ref="A17:B19"/>
    <mergeCell ref="F17:H19"/>
    <mergeCell ref="C12:H12"/>
    <mergeCell ref="F20:H22"/>
    <mergeCell ref="A23:B24"/>
    <mergeCell ref="F23:H24"/>
    <mergeCell ref="A25:B27"/>
    <mergeCell ref="F25:H27"/>
    <mergeCell ref="B9:D9"/>
    <mergeCell ref="B2:D2"/>
    <mergeCell ref="B3:D3"/>
    <mergeCell ref="B4:D4"/>
    <mergeCell ref="B6:D7"/>
    <mergeCell ref="A20:B22"/>
    <mergeCell ref="A28:C28"/>
    <mergeCell ref="F28:H28"/>
    <mergeCell ref="A29:B31"/>
    <mergeCell ref="F29:H31"/>
    <mergeCell ref="A32:B34"/>
    <mergeCell ref="F32:H34"/>
    <mergeCell ref="A35:B35"/>
    <mergeCell ref="F35:H35"/>
    <mergeCell ref="A36:B36"/>
    <mergeCell ref="F36:H36"/>
    <mergeCell ref="A37:B38"/>
    <mergeCell ref="F37:H38"/>
    <mergeCell ref="F48:H48"/>
    <mergeCell ref="F49:H49"/>
    <mergeCell ref="F50:H50"/>
    <mergeCell ref="A39:B41"/>
    <mergeCell ref="F39:H39"/>
    <mergeCell ref="F40:H40"/>
    <mergeCell ref="F41:H41"/>
    <mergeCell ref="A42:B44"/>
    <mergeCell ref="F42:H42"/>
    <mergeCell ref="F43:H43"/>
    <mergeCell ref="F44:H44"/>
    <mergeCell ref="A6:A7"/>
    <mergeCell ref="A56:B56"/>
    <mergeCell ref="F56:H56"/>
    <mergeCell ref="A51:B52"/>
    <mergeCell ref="F51:H51"/>
    <mergeCell ref="F52:H52"/>
    <mergeCell ref="A53:B55"/>
    <mergeCell ref="F53:H53"/>
    <mergeCell ref="F54:H54"/>
    <mergeCell ref="F55:H55"/>
    <mergeCell ref="A45:C45"/>
    <mergeCell ref="F45:H45"/>
    <mergeCell ref="A46:C46"/>
    <mergeCell ref="F46:H46"/>
    <mergeCell ref="A47:B50"/>
    <mergeCell ref="F47:H47"/>
  </mergeCells>
  <dataValidations count="3">
    <dataValidation type="list" allowBlank="1" showErrorMessage="1" sqref="H9:H11">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G4" r:id="rId1" display="sguegan@somme.fr"/>
    <hyperlink ref="J3" location="SOMMAIRE!A1" display="Retour sommaire"/>
    <hyperlink ref="J5" location="SYNTHESE!A1" display="Retour synthèse"/>
  </hyperlinks>
  <pageMargins left="0.7" right="0.7" top="0.75" bottom="0.75" header="0.3" footer="0.3"/>
  <pageSetup paperSize="9" orientation="portrait"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DCFED"/>
  </sheetPr>
  <dimension ref="A1:W68"/>
  <sheetViews>
    <sheetView topLeftCell="A46" workbookViewId="0">
      <selection activeCell="M51" sqref="M51"/>
    </sheetView>
  </sheetViews>
  <sheetFormatPr baseColWidth="10" defaultRowHeight="15"/>
  <cols>
    <col min="3" max="3" width="46.5703125" customWidth="1"/>
    <col min="7" max="7" width="13.42578125" customWidth="1"/>
    <col min="8" max="8" width="26.28515625" customWidth="1"/>
  </cols>
  <sheetData>
    <row r="1" spans="1:23" ht="15.75" thickBot="1"/>
    <row r="2" spans="1:23" ht="15.75" thickBot="1">
      <c r="A2" s="109" t="s">
        <v>0</v>
      </c>
      <c r="B2" s="2029" t="s">
        <v>752</v>
      </c>
      <c r="C2" s="2144"/>
      <c r="D2" s="2145"/>
      <c r="E2" s="110"/>
      <c r="F2" s="110"/>
      <c r="G2" s="111" t="s">
        <v>462</v>
      </c>
      <c r="H2" s="112" t="s">
        <v>14</v>
      </c>
      <c r="J2" s="13" t="s">
        <v>73</v>
      </c>
    </row>
    <row r="3" spans="1:23" ht="15.75" thickBot="1">
      <c r="A3" s="113" t="s">
        <v>344</v>
      </c>
      <c r="B3" s="2029" t="s">
        <v>753</v>
      </c>
      <c r="C3" s="2175"/>
      <c r="D3" s="2176"/>
      <c r="E3" s="110"/>
      <c r="F3" s="110"/>
      <c r="G3" s="114" t="s">
        <v>10</v>
      </c>
      <c r="H3" s="112" t="s">
        <v>16</v>
      </c>
      <c r="J3" s="13"/>
    </row>
    <row r="4" spans="1:23" ht="15.75" thickBot="1">
      <c r="A4" s="114" t="s">
        <v>3</v>
      </c>
      <c r="B4" s="1823" t="s">
        <v>754</v>
      </c>
      <c r="C4" s="2144"/>
      <c r="D4" s="2145"/>
      <c r="E4" s="115"/>
      <c r="F4" s="110"/>
      <c r="G4" s="116" t="s">
        <v>26</v>
      </c>
      <c r="H4" s="514"/>
      <c r="J4" s="13" t="s">
        <v>381</v>
      </c>
    </row>
    <row r="5" spans="1:23" ht="15.75" thickBot="1">
      <c r="A5" s="110"/>
      <c r="B5" s="110"/>
      <c r="C5" s="110"/>
      <c r="D5" s="110"/>
      <c r="E5" s="110"/>
      <c r="F5" s="110"/>
      <c r="G5" s="110"/>
      <c r="H5" s="110"/>
    </row>
    <row r="6" spans="1:23" ht="148.5" customHeight="1" thickBot="1">
      <c r="A6" s="118" t="s">
        <v>755</v>
      </c>
      <c r="B6" s="1810" t="s">
        <v>1583</v>
      </c>
      <c r="C6" s="2103"/>
      <c r="D6" s="2104"/>
      <c r="E6" s="110"/>
      <c r="F6" s="110"/>
      <c r="G6" s="118" t="s">
        <v>466</v>
      </c>
      <c r="H6" s="178" t="s">
        <v>756</v>
      </c>
    </row>
    <row r="7" spans="1:23" ht="15.75" thickBot="1">
      <c r="A7" s="176"/>
      <c r="B7" s="1810"/>
      <c r="C7" s="2103"/>
      <c r="D7" s="2104"/>
      <c r="E7" s="110"/>
      <c r="F7" s="110"/>
      <c r="G7" s="176"/>
      <c r="H7" s="180"/>
    </row>
    <row r="8" spans="1:23" ht="15.75" thickBot="1">
      <c r="A8" s="176"/>
      <c r="B8" s="1810"/>
      <c r="C8" s="2103"/>
      <c r="D8" s="2104"/>
      <c r="E8" s="110"/>
      <c r="F8" s="110"/>
      <c r="G8" s="176"/>
      <c r="H8" s="180"/>
    </row>
    <row r="9" spans="1:23" ht="15.75" thickBot="1">
      <c r="B9" s="110"/>
      <c r="C9" s="110"/>
      <c r="D9" s="110"/>
      <c r="E9" s="110"/>
      <c r="F9" s="110"/>
      <c r="G9" s="120"/>
      <c r="H9" s="110"/>
    </row>
    <row r="10" spans="1:23" ht="60.75" thickBot="1">
      <c r="A10" s="121" t="s">
        <v>7</v>
      </c>
      <c r="B10" s="2307" t="s">
        <v>758</v>
      </c>
      <c r="C10" s="2320"/>
      <c r="D10" s="2321"/>
      <c r="E10" s="115"/>
      <c r="F10" s="122"/>
      <c r="G10" s="121" t="s">
        <v>469</v>
      </c>
      <c r="H10" s="123" t="s">
        <v>537</v>
      </c>
    </row>
    <row r="11" spans="1:23" ht="15.75" thickBot="1">
      <c r="A11" s="176"/>
      <c r="B11" s="180"/>
      <c r="C11" s="181"/>
      <c r="D11" s="181"/>
      <c r="E11" s="115"/>
      <c r="F11" s="122"/>
      <c r="G11" s="121"/>
      <c r="H11" s="518" t="s">
        <v>759</v>
      </c>
    </row>
    <row r="12" spans="1:23" ht="15.75" thickBot="1">
      <c r="B12" s="110"/>
      <c r="C12" s="110"/>
      <c r="D12" s="110"/>
      <c r="E12" s="110"/>
      <c r="F12" s="110"/>
      <c r="G12" s="121"/>
      <c r="H12" s="518"/>
    </row>
    <row r="13" spans="1:23" ht="122.25" customHeight="1">
      <c r="A13" s="2174" t="s">
        <v>471</v>
      </c>
      <c r="B13" s="2148"/>
      <c r="C13" s="2328" t="s">
        <v>760</v>
      </c>
      <c r="D13" s="2328"/>
      <c r="E13" s="2328"/>
      <c r="F13" s="2328"/>
      <c r="G13" s="2328"/>
      <c r="H13" s="2328"/>
    </row>
    <row r="14" spans="1:23">
      <c r="A14" s="126"/>
      <c r="B14" s="115"/>
      <c r="C14" s="519"/>
      <c r="D14" s="115"/>
      <c r="E14" s="115"/>
      <c r="F14" s="122"/>
      <c r="G14" s="125"/>
      <c r="H14" s="125"/>
    </row>
    <row r="15" spans="1:23">
      <c r="A15" s="126"/>
      <c r="B15" s="115"/>
      <c r="C15" s="115"/>
      <c r="D15" s="115"/>
      <c r="E15" s="2181" t="s">
        <v>473</v>
      </c>
      <c r="F15" s="2148"/>
      <c r="G15" s="2148"/>
      <c r="H15" s="2148"/>
    </row>
    <row r="16" spans="1:23">
      <c r="A16" s="110"/>
      <c r="B16" s="110"/>
      <c r="C16" s="110"/>
      <c r="D16" s="110"/>
      <c r="E16" s="2141"/>
      <c r="F16" s="2141"/>
      <c r="G16" s="2141"/>
      <c r="H16" s="2141"/>
      <c r="I16" s="2191">
        <v>2025</v>
      </c>
      <c r="J16" s="2193"/>
      <c r="K16" s="2193"/>
      <c r="L16" s="2193"/>
      <c r="M16" s="2194"/>
      <c r="N16" s="2191">
        <v>2026</v>
      </c>
      <c r="O16" s="2193"/>
      <c r="P16" s="2193"/>
      <c r="Q16" s="2193"/>
      <c r="R16" s="2194"/>
      <c r="S16" s="2191">
        <v>2027</v>
      </c>
      <c r="T16" s="2193"/>
      <c r="U16" s="2193"/>
      <c r="V16" s="2193"/>
      <c r="W16" s="2194"/>
    </row>
    <row r="17" spans="1:23" ht="45.75" thickBot="1">
      <c r="A17" s="2184" t="s">
        <v>5</v>
      </c>
      <c r="B17" s="2137"/>
      <c r="C17" s="128" t="s">
        <v>1</v>
      </c>
      <c r="D17" s="128" t="s">
        <v>260</v>
      </c>
      <c r="E17" s="129" t="s">
        <v>474</v>
      </c>
      <c r="F17" s="2182" t="s">
        <v>6</v>
      </c>
      <c r="G17" s="2097"/>
      <c r="H17" s="2098"/>
      <c r="I17" s="856" t="s">
        <v>474</v>
      </c>
      <c r="J17" s="857" t="s">
        <v>944</v>
      </c>
      <c r="K17" s="858" t="s">
        <v>945</v>
      </c>
      <c r="L17" s="857" t="s">
        <v>946</v>
      </c>
      <c r="M17" s="859" t="s">
        <v>947</v>
      </c>
      <c r="N17" s="856" t="s">
        <v>474</v>
      </c>
      <c r="O17" s="857" t="s">
        <v>944</v>
      </c>
      <c r="P17" s="858" t="s">
        <v>945</v>
      </c>
      <c r="Q17" s="857" t="s">
        <v>946</v>
      </c>
      <c r="R17" s="859" t="s">
        <v>947</v>
      </c>
      <c r="S17" s="856" t="s">
        <v>474</v>
      </c>
      <c r="T17" s="857" t="s">
        <v>944</v>
      </c>
      <c r="U17" s="858" t="s">
        <v>945</v>
      </c>
      <c r="V17" s="857" t="s">
        <v>946</v>
      </c>
      <c r="W17" s="859" t="s">
        <v>947</v>
      </c>
    </row>
    <row r="18" spans="1:23">
      <c r="A18" s="2183" t="s">
        <v>17</v>
      </c>
      <c r="B18" s="2140"/>
      <c r="C18" s="130" t="s">
        <v>59</v>
      </c>
      <c r="D18" s="131" t="s">
        <v>251</v>
      </c>
      <c r="E18" s="132"/>
      <c r="F18" s="1828" t="s">
        <v>475</v>
      </c>
      <c r="G18" s="2140"/>
      <c r="H18" s="2137"/>
      <c r="I18" s="860"/>
      <c r="J18" s="861"/>
      <c r="K18" s="861"/>
      <c r="L18" s="861"/>
      <c r="M18" s="862"/>
      <c r="N18" s="860"/>
      <c r="O18" s="861"/>
      <c r="P18" s="861"/>
      <c r="Q18" s="861"/>
      <c r="R18" s="862"/>
      <c r="S18" s="860"/>
      <c r="T18" s="861"/>
      <c r="U18" s="861"/>
      <c r="V18" s="861"/>
      <c r="W18" s="863"/>
    </row>
    <row r="19" spans="1:23">
      <c r="A19" s="2148"/>
      <c r="B19" s="2148"/>
      <c r="C19" s="133" t="s">
        <v>18</v>
      </c>
      <c r="D19" s="134" t="s">
        <v>168</v>
      </c>
      <c r="E19" s="135"/>
      <c r="F19" s="1845"/>
      <c r="G19" s="1845"/>
      <c r="H19" s="2139"/>
      <c r="I19" s="864"/>
      <c r="J19" s="865"/>
      <c r="K19" s="865"/>
      <c r="L19" s="865"/>
      <c r="M19" s="865"/>
      <c r="N19" s="864"/>
      <c r="O19" s="865"/>
      <c r="P19" s="865"/>
      <c r="Q19" s="865"/>
      <c r="R19" s="865"/>
      <c r="S19" s="864"/>
      <c r="T19" s="865"/>
      <c r="U19" s="865"/>
      <c r="V19" s="865"/>
      <c r="W19" s="866"/>
    </row>
    <row r="20" spans="1:23" ht="15.75" thickBot="1">
      <c r="A20" s="2141"/>
      <c r="B20" s="2141"/>
      <c r="C20" s="136" t="s">
        <v>19</v>
      </c>
      <c r="D20" s="137" t="s">
        <v>233</v>
      </c>
      <c r="E20" s="138"/>
      <c r="F20" s="2141"/>
      <c r="G20" s="2141"/>
      <c r="H20" s="2142"/>
      <c r="I20" s="867"/>
      <c r="J20" s="865"/>
      <c r="K20" s="865"/>
      <c r="L20" s="865"/>
      <c r="M20" s="865"/>
      <c r="N20" s="867"/>
      <c r="O20" s="865"/>
      <c r="P20" s="865"/>
      <c r="Q20" s="865"/>
      <c r="R20" s="865"/>
      <c r="S20" s="867"/>
      <c r="T20" s="865"/>
      <c r="U20" s="865"/>
      <c r="V20" s="865"/>
      <c r="W20" s="866"/>
    </row>
    <row r="21" spans="1:23">
      <c r="A21" s="2183" t="s">
        <v>20</v>
      </c>
      <c r="B21" s="2140"/>
      <c r="C21" s="130" t="s">
        <v>54</v>
      </c>
      <c r="D21" s="137" t="s">
        <v>261</v>
      </c>
      <c r="E21" s="138"/>
      <c r="F21" s="1828" t="s">
        <v>475</v>
      </c>
      <c r="G21" s="2140"/>
      <c r="H21" s="2137"/>
      <c r="I21" s="867"/>
      <c r="J21" s="865"/>
      <c r="K21" s="865"/>
      <c r="L21" s="865"/>
      <c r="M21" s="865"/>
      <c r="N21" s="867"/>
      <c r="O21" s="865"/>
      <c r="P21" s="865"/>
      <c r="Q21" s="865"/>
      <c r="R21" s="865"/>
      <c r="S21" s="867"/>
      <c r="T21" s="865"/>
      <c r="U21" s="865"/>
      <c r="V21" s="865"/>
      <c r="W21" s="866"/>
    </row>
    <row r="22" spans="1:23">
      <c r="A22" s="2148"/>
      <c r="B22" s="2148"/>
      <c r="C22" s="139" t="s">
        <v>21</v>
      </c>
      <c r="D22" s="137" t="s">
        <v>234</v>
      </c>
      <c r="E22" s="138"/>
      <c r="F22" s="1845"/>
      <c r="G22" s="1845"/>
      <c r="H22" s="2139"/>
      <c r="I22" s="867"/>
      <c r="J22" s="865"/>
      <c r="K22" s="865"/>
      <c r="L22" s="865"/>
      <c r="M22" s="865"/>
      <c r="N22" s="867"/>
      <c r="O22" s="865"/>
      <c r="P22" s="865"/>
      <c r="Q22" s="865"/>
      <c r="R22" s="865"/>
      <c r="S22" s="867"/>
      <c r="T22" s="865"/>
      <c r="U22" s="865"/>
      <c r="V22" s="865"/>
      <c r="W22" s="866"/>
    </row>
    <row r="23" spans="1:23" ht="15.75" thickBot="1">
      <c r="A23" s="2148"/>
      <c r="B23" s="2148"/>
      <c r="C23" s="136" t="s">
        <v>22</v>
      </c>
      <c r="D23" s="137" t="s">
        <v>235</v>
      </c>
      <c r="E23" s="138"/>
      <c r="F23" s="2141"/>
      <c r="G23" s="2141"/>
      <c r="H23" s="2142"/>
      <c r="I23" s="867"/>
      <c r="J23" s="865"/>
      <c r="K23" s="865"/>
      <c r="L23" s="865"/>
      <c r="M23" s="865"/>
      <c r="N23" s="867"/>
      <c r="O23" s="865"/>
      <c r="P23" s="865"/>
      <c r="Q23" s="865"/>
      <c r="R23" s="865"/>
      <c r="S23" s="867"/>
      <c r="T23" s="865"/>
      <c r="U23" s="865"/>
      <c r="V23" s="865"/>
      <c r="W23" s="866"/>
    </row>
    <row r="24" spans="1:23">
      <c r="A24" s="2183" t="s">
        <v>23</v>
      </c>
      <c r="B24" s="2140"/>
      <c r="C24" s="140" t="s">
        <v>69</v>
      </c>
      <c r="D24" s="137" t="s">
        <v>267</v>
      </c>
      <c r="E24" s="138"/>
      <c r="F24" s="1828" t="s">
        <v>477</v>
      </c>
      <c r="G24" s="2140"/>
      <c r="H24" s="2137"/>
      <c r="I24" s="867"/>
      <c r="J24" s="865"/>
      <c r="K24" s="865"/>
      <c r="L24" s="865"/>
      <c r="M24" s="865"/>
      <c r="N24" s="867"/>
      <c r="O24" s="865"/>
      <c r="P24" s="865"/>
      <c r="Q24" s="865"/>
      <c r="R24" s="865"/>
      <c r="S24" s="867"/>
      <c r="T24" s="865"/>
      <c r="U24" s="865"/>
      <c r="V24" s="865"/>
      <c r="W24" s="866"/>
    </row>
    <row r="25" spans="1:23" ht="15.75" thickBot="1">
      <c r="A25" s="2141"/>
      <c r="B25" s="2141"/>
      <c r="C25" s="141" t="s">
        <v>24</v>
      </c>
      <c r="D25" s="142" t="s">
        <v>236</v>
      </c>
      <c r="E25" s="138"/>
      <c r="F25" s="2141"/>
      <c r="G25" s="2141"/>
      <c r="H25" s="2142"/>
      <c r="I25" s="867"/>
      <c r="J25" s="865"/>
      <c r="K25" s="865"/>
      <c r="L25" s="865"/>
      <c r="M25" s="865"/>
      <c r="N25" s="867"/>
      <c r="O25" s="865"/>
      <c r="P25" s="865"/>
      <c r="Q25" s="865"/>
      <c r="R25" s="865"/>
      <c r="S25" s="867"/>
      <c r="T25" s="865"/>
      <c r="U25" s="865"/>
      <c r="V25" s="865"/>
      <c r="W25" s="866"/>
    </row>
    <row r="26" spans="1:23" ht="15.75">
      <c r="A26" s="2136" t="s">
        <v>478</v>
      </c>
      <c r="B26" s="2137"/>
      <c r="C26" s="143" t="s">
        <v>360</v>
      </c>
      <c r="D26" s="142" t="s">
        <v>265</v>
      </c>
      <c r="E26" s="138"/>
      <c r="F26" s="1828" t="s">
        <v>477</v>
      </c>
      <c r="G26" s="2140"/>
      <c r="H26" s="2137"/>
      <c r="I26" s="867"/>
      <c r="J26" s="865"/>
      <c r="K26" s="865"/>
      <c r="L26" s="865"/>
      <c r="M26" s="865"/>
      <c r="N26" s="867"/>
      <c r="O26" s="865"/>
      <c r="P26" s="865"/>
      <c r="Q26" s="865"/>
      <c r="R26" s="865"/>
      <c r="S26" s="867"/>
      <c r="T26" s="865"/>
      <c r="U26" s="865"/>
      <c r="V26" s="865"/>
      <c r="W26" s="866"/>
    </row>
    <row r="27" spans="1:23" ht="15.75">
      <c r="A27" s="2138"/>
      <c r="B27" s="2139"/>
      <c r="C27" s="144" t="s">
        <v>361</v>
      </c>
      <c r="D27" s="142" t="s">
        <v>362</v>
      </c>
      <c r="E27" s="138"/>
      <c r="F27" s="1845"/>
      <c r="G27" s="1845"/>
      <c r="H27" s="2139"/>
      <c r="I27" s="867"/>
      <c r="J27" s="865"/>
      <c r="K27" s="865"/>
      <c r="L27" s="865"/>
      <c r="M27" s="865"/>
      <c r="N27" s="867"/>
      <c r="O27" s="865"/>
      <c r="P27" s="865"/>
      <c r="Q27" s="865"/>
      <c r="R27" s="865"/>
      <c r="S27" s="867"/>
      <c r="T27" s="865"/>
      <c r="U27" s="865"/>
      <c r="V27" s="865"/>
      <c r="W27" s="866"/>
    </row>
    <row r="28" spans="1:23" ht="16.5" thickBot="1">
      <c r="A28" s="2138"/>
      <c r="B28" s="2139"/>
      <c r="C28" s="145" t="s">
        <v>479</v>
      </c>
      <c r="D28" s="142" t="s">
        <v>480</v>
      </c>
      <c r="E28" s="138"/>
      <c r="F28" s="2141"/>
      <c r="G28" s="2141"/>
      <c r="H28" s="2142"/>
      <c r="I28" s="867"/>
      <c r="J28" s="865"/>
      <c r="K28" s="865"/>
      <c r="L28" s="865"/>
      <c r="M28" s="865"/>
      <c r="N28" s="867"/>
      <c r="O28" s="865"/>
      <c r="P28" s="865"/>
      <c r="Q28" s="865"/>
      <c r="R28" s="865"/>
      <c r="S28" s="867"/>
      <c r="T28" s="865"/>
      <c r="U28" s="865"/>
      <c r="V28" s="865"/>
      <c r="W28" s="866"/>
    </row>
    <row r="29" spans="1:23" ht="15.75" thickBot="1">
      <c r="A29" s="2143" t="s">
        <v>25</v>
      </c>
      <c r="B29" s="2144"/>
      <c r="C29" s="2145"/>
      <c r="D29" s="146" t="s">
        <v>270</v>
      </c>
      <c r="E29" s="138"/>
      <c r="F29" s="1818" t="s">
        <v>481</v>
      </c>
      <c r="G29" s="2097"/>
      <c r="H29" s="2098"/>
      <c r="I29" s="867"/>
      <c r="J29" s="865"/>
      <c r="K29" s="865"/>
      <c r="L29" s="865"/>
      <c r="M29" s="865"/>
      <c r="N29" s="867"/>
      <c r="O29" s="865"/>
      <c r="P29" s="865"/>
      <c r="Q29" s="865"/>
      <c r="R29" s="865"/>
      <c r="S29" s="867"/>
      <c r="T29" s="865"/>
      <c r="U29" s="865"/>
      <c r="V29" s="865"/>
      <c r="W29" s="866"/>
    </row>
    <row r="30" spans="1:23" ht="15.75">
      <c r="A30" s="2157" t="s">
        <v>153</v>
      </c>
      <c r="B30" s="2158"/>
      <c r="C30" s="147" t="s">
        <v>152</v>
      </c>
      <c r="D30" s="148" t="s">
        <v>268</v>
      </c>
      <c r="E30" s="138"/>
      <c r="F30" s="1828" t="s">
        <v>475</v>
      </c>
      <c r="G30" s="2140"/>
      <c r="H30" s="2137"/>
      <c r="I30" s="867"/>
      <c r="J30" s="865"/>
      <c r="K30" s="865"/>
      <c r="L30" s="865"/>
      <c r="M30" s="865"/>
      <c r="N30" s="867"/>
      <c r="O30" s="865"/>
      <c r="P30" s="865"/>
      <c r="Q30" s="865"/>
      <c r="R30" s="865"/>
      <c r="S30" s="867"/>
      <c r="T30" s="865"/>
      <c r="U30" s="865"/>
      <c r="V30" s="865"/>
      <c r="W30" s="866"/>
    </row>
    <row r="31" spans="1:23" ht="15.75">
      <c r="A31" s="2138"/>
      <c r="B31" s="2158"/>
      <c r="C31" s="149" t="s">
        <v>154</v>
      </c>
      <c r="D31" s="148" t="s">
        <v>392</v>
      </c>
      <c r="E31" s="138"/>
      <c r="F31" s="1845"/>
      <c r="G31" s="1845"/>
      <c r="H31" s="2139"/>
      <c r="I31" s="867"/>
      <c r="J31" s="865"/>
      <c r="K31" s="865"/>
      <c r="L31" s="865"/>
      <c r="M31" s="865"/>
      <c r="N31" s="867"/>
      <c r="O31" s="865"/>
      <c r="P31" s="865"/>
      <c r="Q31" s="865"/>
      <c r="R31" s="865"/>
      <c r="S31" s="867"/>
      <c r="T31" s="865"/>
      <c r="U31" s="865"/>
      <c r="V31" s="865"/>
      <c r="W31" s="866"/>
    </row>
    <row r="32" spans="1:23" ht="16.5" thickBot="1">
      <c r="A32" s="2149"/>
      <c r="B32" s="2152"/>
      <c r="C32" s="150" t="s">
        <v>400</v>
      </c>
      <c r="D32" s="148" t="s">
        <v>393</v>
      </c>
      <c r="E32" s="138"/>
      <c r="F32" s="2141"/>
      <c r="G32" s="2141"/>
      <c r="H32" s="2142"/>
      <c r="I32" s="867"/>
      <c r="J32" s="865"/>
      <c r="K32" s="865"/>
      <c r="L32" s="865"/>
      <c r="M32" s="865"/>
      <c r="N32" s="867"/>
      <c r="O32" s="865"/>
      <c r="P32" s="865"/>
      <c r="Q32" s="865"/>
      <c r="R32" s="865"/>
      <c r="S32" s="867"/>
      <c r="T32" s="865"/>
      <c r="U32" s="865"/>
      <c r="V32" s="865"/>
      <c r="W32" s="866"/>
    </row>
    <row r="33" spans="1:23" ht="15.75">
      <c r="A33" s="2159" t="s">
        <v>153</v>
      </c>
      <c r="B33" s="2151"/>
      <c r="C33" s="151" t="s">
        <v>155</v>
      </c>
      <c r="D33" s="148" t="s">
        <v>266</v>
      </c>
      <c r="E33" s="138"/>
      <c r="F33" s="1828" t="s">
        <v>475</v>
      </c>
      <c r="G33" s="2140"/>
      <c r="H33" s="2137"/>
      <c r="I33" s="867"/>
      <c r="J33" s="865"/>
      <c r="K33" s="865"/>
      <c r="L33" s="865"/>
      <c r="M33" s="865"/>
      <c r="N33" s="867"/>
      <c r="O33" s="865"/>
      <c r="P33" s="865"/>
      <c r="Q33" s="865"/>
      <c r="R33" s="865"/>
      <c r="S33" s="867"/>
      <c r="T33" s="865"/>
      <c r="U33" s="865"/>
      <c r="V33" s="865"/>
      <c r="W33" s="866"/>
    </row>
    <row r="34" spans="1:23" ht="15.75">
      <c r="A34" s="2138"/>
      <c r="B34" s="2158"/>
      <c r="C34" s="149" t="s">
        <v>156</v>
      </c>
      <c r="D34" s="148" t="s">
        <v>394</v>
      </c>
      <c r="E34" s="138"/>
      <c r="F34" s="1845"/>
      <c r="G34" s="1845"/>
      <c r="H34" s="2139"/>
      <c r="I34" s="867"/>
      <c r="J34" s="865"/>
      <c r="K34" s="865"/>
      <c r="L34" s="865"/>
      <c r="M34" s="865"/>
      <c r="N34" s="867"/>
      <c r="O34" s="865"/>
      <c r="P34" s="865"/>
      <c r="Q34" s="865"/>
      <c r="R34" s="865"/>
      <c r="S34" s="867"/>
      <c r="T34" s="865"/>
      <c r="U34" s="865"/>
      <c r="V34" s="865"/>
      <c r="W34" s="866"/>
    </row>
    <row r="35" spans="1:23" ht="16.5" thickBot="1">
      <c r="A35" s="2149"/>
      <c r="B35" s="2152"/>
      <c r="C35" s="150" t="s">
        <v>399</v>
      </c>
      <c r="D35" s="148" t="s">
        <v>395</v>
      </c>
      <c r="E35" s="138"/>
      <c r="F35" s="2141"/>
      <c r="G35" s="2141"/>
      <c r="H35" s="2142"/>
      <c r="I35" s="867"/>
      <c r="J35" s="865"/>
      <c r="K35" s="865"/>
      <c r="L35" s="865"/>
      <c r="M35" s="865"/>
      <c r="N35" s="867"/>
      <c r="O35" s="865"/>
      <c r="P35" s="865"/>
      <c r="Q35" s="865"/>
      <c r="R35" s="865"/>
      <c r="S35" s="867"/>
      <c r="T35" s="865"/>
      <c r="U35" s="865"/>
      <c r="V35" s="865"/>
      <c r="W35" s="866"/>
    </row>
    <row r="36" spans="1:23" ht="16.5" thickBot="1">
      <c r="A36" s="2159" t="s">
        <v>482</v>
      </c>
      <c r="B36" s="2151"/>
      <c r="C36" s="151" t="s">
        <v>365</v>
      </c>
      <c r="D36" s="148" t="s">
        <v>252</v>
      </c>
      <c r="E36" s="138"/>
      <c r="F36" s="1828" t="s">
        <v>483</v>
      </c>
      <c r="G36" s="2140"/>
      <c r="H36" s="2137"/>
      <c r="I36" s="867"/>
      <c r="J36" s="865"/>
      <c r="K36" s="865"/>
      <c r="L36" s="865"/>
      <c r="M36" s="865"/>
      <c r="N36" s="867"/>
      <c r="O36" s="865"/>
      <c r="P36" s="865"/>
      <c r="Q36" s="865"/>
      <c r="R36" s="865"/>
      <c r="S36" s="867"/>
      <c r="T36" s="865"/>
      <c r="U36" s="865"/>
      <c r="V36" s="865"/>
      <c r="W36" s="866"/>
    </row>
    <row r="37" spans="1:23" ht="16.5" thickBot="1">
      <c r="A37" s="2159" t="s">
        <v>484</v>
      </c>
      <c r="B37" s="2151"/>
      <c r="C37" s="151" t="s">
        <v>485</v>
      </c>
      <c r="D37" s="148" t="s">
        <v>264</v>
      </c>
      <c r="E37" s="138" t="s">
        <v>554</v>
      </c>
      <c r="F37" s="2160"/>
      <c r="G37" s="2140"/>
      <c r="H37" s="2137"/>
      <c r="I37" s="867"/>
      <c r="J37" s="865"/>
      <c r="K37" s="865"/>
      <c r="L37" s="865"/>
      <c r="M37" s="865"/>
      <c r="N37" s="867"/>
      <c r="O37" s="865"/>
      <c r="P37" s="865"/>
      <c r="Q37" s="865"/>
      <c r="R37" s="865"/>
      <c r="S37" s="867"/>
      <c r="T37" s="865"/>
      <c r="U37" s="865"/>
      <c r="V37" s="865"/>
      <c r="W37" s="866"/>
    </row>
    <row r="38" spans="1:23" ht="15.75">
      <c r="A38" s="2161" t="s">
        <v>486</v>
      </c>
      <c r="B38" s="2151"/>
      <c r="C38" s="152" t="s">
        <v>43</v>
      </c>
      <c r="D38" s="153" t="s">
        <v>256</v>
      </c>
      <c r="E38" s="138"/>
      <c r="F38" s="1828" t="s">
        <v>487</v>
      </c>
      <c r="G38" s="2140"/>
      <c r="H38" s="2137"/>
      <c r="I38" s="867"/>
      <c r="J38" s="865"/>
      <c r="K38" s="865"/>
      <c r="L38" s="865"/>
      <c r="M38" s="865"/>
      <c r="N38" s="867"/>
      <c r="O38" s="865"/>
      <c r="P38" s="865"/>
      <c r="Q38" s="865"/>
      <c r="R38" s="865"/>
      <c r="S38" s="867"/>
      <c r="T38" s="865"/>
      <c r="U38" s="865"/>
      <c r="V38" s="865"/>
      <c r="W38" s="866"/>
    </row>
    <row r="39" spans="1:23" ht="16.5" thickBot="1">
      <c r="A39" s="2149"/>
      <c r="B39" s="2152"/>
      <c r="C39" s="154" t="s">
        <v>60</v>
      </c>
      <c r="D39" s="153" t="s">
        <v>257</v>
      </c>
      <c r="E39" s="138"/>
      <c r="F39" s="2141"/>
      <c r="G39" s="2141"/>
      <c r="H39" s="2142"/>
      <c r="I39" s="867"/>
      <c r="J39" s="865"/>
      <c r="K39" s="865"/>
      <c r="L39" s="865"/>
      <c r="M39" s="865"/>
      <c r="N39" s="867"/>
      <c r="O39" s="865"/>
      <c r="P39" s="865"/>
      <c r="Q39" s="865"/>
      <c r="R39" s="865"/>
      <c r="S39" s="867"/>
      <c r="T39" s="865"/>
      <c r="U39" s="865"/>
      <c r="V39" s="865"/>
      <c r="W39" s="866"/>
    </row>
    <row r="40" spans="1:23" ht="45" customHeight="1">
      <c r="A40" s="2165" t="s">
        <v>33</v>
      </c>
      <c r="B40" s="2140"/>
      <c r="C40" s="155" t="s">
        <v>30</v>
      </c>
      <c r="D40" s="156" t="s">
        <v>170</v>
      </c>
      <c r="E40" s="138" t="s">
        <v>554</v>
      </c>
      <c r="F40" s="1828" t="s">
        <v>761</v>
      </c>
      <c r="G40" s="2318"/>
      <c r="H40" s="2319"/>
      <c r="I40" s="867" t="s">
        <v>554</v>
      </c>
      <c r="J40" s="865">
        <v>1</v>
      </c>
      <c r="K40" s="865"/>
      <c r="L40" s="865">
        <v>100</v>
      </c>
      <c r="M40" s="871">
        <v>60500</v>
      </c>
      <c r="N40" s="867"/>
      <c r="O40" s="865"/>
      <c r="P40" s="865"/>
      <c r="Q40" s="865"/>
      <c r="R40" s="865"/>
      <c r="S40" s="867"/>
      <c r="T40" s="865"/>
      <c r="U40" s="865"/>
      <c r="V40" s="865"/>
      <c r="W40" s="866"/>
    </row>
    <row r="41" spans="1:23" ht="30">
      <c r="A41" s="2138"/>
      <c r="B41" s="2148"/>
      <c r="C41" s="157" t="s">
        <v>31</v>
      </c>
      <c r="D41" s="156" t="s">
        <v>169</v>
      </c>
      <c r="E41" s="138" t="s">
        <v>554</v>
      </c>
      <c r="F41" s="1828" t="s">
        <v>762</v>
      </c>
      <c r="G41" s="2318"/>
      <c r="H41" s="2319"/>
      <c r="I41" s="867"/>
      <c r="J41" s="865"/>
      <c r="K41" s="865"/>
      <c r="L41" s="865"/>
      <c r="M41" s="865"/>
      <c r="N41" s="867" t="s">
        <v>554</v>
      </c>
      <c r="O41" s="865">
        <v>1</v>
      </c>
      <c r="P41" s="865"/>
      <c r="Q41" s="865">
        <v>100</v>
      </c>
      <c r="R41" s="871">
        <v>60500</v>
      </c>
      <c r="S41" s="867"/>
      <c r="T41" s="865"/>
      <c r="U41" s="865"/>
      <c r="V41" s="865"/>
      <c r="W41" s="866"/>
    </row>
    <row r="42" spans="1:23" ht="30.75" thickBot="1">
      <c r="A42" s="2138"/>
      <c r="B42" s="2148"/>
      <c r="C42" s="158" t="s">
        <v>32</v>
      </c>
      <c r="D42" s="156" t="s">
        <v>250</v>
      </c>
      <c r="E42" s="138" t="s">
        <v>554</v>
      </c>
      <c r="F42" s="1828" t="s">
        <v>763</v>
      </c>
      <c r="G42" s="2318"/>
      <c r="H42" s="2319"/>
      <c r="I42" s="867"/>
      <c r="J42" s="865"/>
      <c r="K42" s="865"/>
      <c r="L42" s="865"/>
      <c r="M42" s="865"/>
      <c r="N42" s="867"/>
      <c r="O42" s="865"/>
      <c r="P42" s="865"/>
      <c r="Q42" s="865"/>
      <c r="R42" s="865"/>
      <c r="S42" s="867" t="s">
        <v>554</v>
      </c>
      <c r="T42" s="865">
        <v>1</v>
      </c>
      <c r="U42" s="865"/>
      <c r="V42" s="865">
        <v>100</v>
      </c>
      <c r="W42" s="872">
        <v>60500</v>
      </c>
    </row>
    <row r="43" spans="1:23" ht="39" customHeight="1">
      <c r="A43" s="2169" t="s">
        <v>491</v>
      </c>
      <c r="B43" s="2170"/>
      <c r="C43" s="159" t="s">
        <v>144</v>
      </c>
      <c r="D43" s="160" t="s">
        <v>253</v>
      </c>
      <c r="E43" s="138" t="s">
        <v>554</v>
      </c>
      <c r="F43" s="1828" t="s">
        <v>764</v>
      </c>
      <c r="G43" s="2318"/>
      <c r="H43" s="2319"/>
      <c r="I43" s="867" t="s">
        <v>554</v>
      </c>
      <c r="J43" s="865">
        <v>2</v>
      </c>
      <c r="K43" s="865"/>
      <c r="L43" s="865">
        <v>20</v>
      </c>
      <c r="M43" s="871">
        <v>15000</v>
      </c>
      <c r="N43" s="867" t="s">
        <v>554</v>
      </c>
      <c r="O43" s="865">
        <v>2</v>
      </c>
      <c r="P43" s="865"/>
      <c r="Q43" s="865">
        <v>20</v>
      </c>
      <c r="R43" s="871">
        <v>15000</v>
      </c>
      <c r="S43" s="867" t="s">
        <v>554</v>
      </c>
      <c r="T43" s="865">
        <v>2</v>
      </c>
      <c r="U43" s="865"/>
      <c r="V43" s="865">
        <v>20</v>
      </c>
      <c r="W43" s="871">
        <v>15000</v>
      </c>
    </row>
    <row r="44" spans="1:23" ht="16.5" thickBot="1">
      <c r="A44" s="2148"/>
      <c r="B44" s="2158"/>
      <c r="C44" s="161" t="s">
        <v>145</v>
      </c>
      <c r="D44" s="160" t="s">
        <v>254</v>
      </c>
      <c r="E44" s="138" t="s">
        <v>554</v>
      </c>
      <c r="F44" s="1828" t="s">
        <v>765</v>
      </c>
      <c r="G44" s="2318"/>
      <c r="H44" s="2319"/>
      <c r="I44" s="867" t="s">
        <v>554</v>
      </c>
      <c r="J44" s="865">
        <v>4</v>
      </c>
      <c r="K44" s="865" t="s">
        <v>1005</v>
      </c>
      <c r="L44" s="865">
        <v>55</v>
      </c>
      <c r="M44" s="871">
        <v>55275</v>
      </c>
      <c r="N44" s="867" t="s">
        <v>554</v>
      </c>
      <c r="O44" s="865">
        <v>2</v>
      </c>
      <c r="P44" s="865" t="s">
        <v>1005</v>
      </c>
      <c r="Q44" s="865">
        <v>20</v>
      </c>
      <c r="R44" s="871">
        <v>20100</v>
      </c>
      <c r="S44" s="867" t="s">
        <v>554</v>
      </c>
      <c r="T44" s="865">
        <v>2</v>
      </c>
      <c r="U44" s="855" t="s">
        <v>1005</v>
      </c>
      <c r="V44" s="865">
        <v>20</v>
      </c>
      <c r="W44" s="871">
        <v>20100</v>
      </c>
    </row>
    <row r="45" spans="1:23" ht="48" thickBot="1">
      <c r="A45" s="2171"/>
      <c r="B45" s="2172"/>
      <c r="C45" s="162" t="s">
        <v>128</v>
      </c>
      <c r="D45" s="160" t="s">
        <v>262</v>
      </c>
      <c r="E45" s="520" t="s">
        <v>554</v>
      </c>
      <c r="F45" s="1828" t="s">
        <v>766</v>
      </c>
      <c r="G45" s="2318"/>
      <c r="H45" s="2319"/>
      <c r="I45" s="867" t="s">
        <v>554</v>
      </c>
      <c r="J45" s="865">
        <v>1</v>
      </c>
      <c r="K45" s="865"/>
      <c r="L45" s="865">
        <v>5</v>
      </c>
      <c r="M45" s="871">
        <v>1800</v>
      </c>
      <c r="N45" s="867" t="s">
        <v>554</v>
      </c>
      <c r="O45" s="865">
        <v>1</v>
      </c>
      <c r="P45" s="865"/>
      <c r="Q45" s="865">
        <v>5</v>
      </c>
      <c r="R45" s="871">
        <v>1800</v>
      </c>
      <c r="S45" s="867" t="s">
        <v>554</v>
      </c>
      <c r="T45" s="865">
        <v>1</v>
      </c>
      <c r="U45" s="865"/>
      <c r="V45" s="865">
        <v>5</v>
      </c>
      <c r="W45" s="871">
        <v>1800</v>
      </c>
    </row>
    <row r="46" spans="1:23" ht="15.75" thickBot="1">
      <c r="A46" s="2146" t="s">
        <v>493</v>
      </c>
      <c r="B46" s="2144"/>
      <c r="C46" s="2145"/>
      <c r="D46" s="163" t="s">
        <v>237</v>
      </c>
      <c r="E46" s="138"/>
      <c r="F46" s="1818"/>
      <c r="G46" s="2097"/>
      <c r="H46" s="2098"/>
      <c r="I46" s="867"/>
      <c r="J46" s="865"/>
      <c r="K46" s="865"/>
      <c r="L46" s="865"/>
      <c r="M46" s="865"/>
      <c r="N46" s="867"/>
      <c r="O46" s="865"/>
      <c r="P46" s="865"/>
      <c r="Q46" s="865"/>
      <c r="R46" s="865"/>
      <c r="S46" s="867"/>
      <c r="T46" s="865"/>
      <c r="U46" s="865"/>
      <c r="V46" s="865"/>
      <c r="W46" s="866"/>
    </row>
    <row r="47" spans="1:23" ht="24" customHeight="1" thickBot="1">
      <c r="A47" s="2146" t="s">
        <v>133</v>
      </c>
      <c r="B47" s="2144"/>
      <c r="C47" s="2145"/>
      <c r="D47" s="163" t="s">
        <v>238</v>
      </c>
      <c r="E47" s="138" t="s">
        <v>554</v>
      </c>
      <c r="F47" s="1818" t="s">
        <v>767</v>
      </c>
      <c r="G47" s="2097"/>
      <c r="H47" s="2098"/>
      <c r="I47" s="867" t="s">
        <v>554</v>
      </c>
      <c r="J47" s="865">
        <v>1</v>
      </c>
      <c r="K47" s="865"/>
      <c r="L47" s="865">
        <v>5</v>
      </c>
      <c r="M47" s="871">
        <v>8950</v>
      </c>
      <c r="N47" s="867" t="s">
        <v>554</v>
      </c>
      <c r="O47" s="865">
        <v>1</v>
      </c>
      <c r="P47" s="865"/>
      <c r="Q47" s="865">
        <v>5</v>
      </c>
      <c r="R47" s="871">
        <v>8950</v>
      </c>
      <c r="S47" s="867" t="s">
        <v>554</v>
      </c>
      <c r="T47" s="865">
        <v>1</v>
      </c>
      <c r="U47" s="865"/>
      <c r="V47" s="865">
        <v>5</v>
      </c>
      <c r="W47" s="871">
        <v>8950</v>
      </c>
    </row>
    <row r="48" spans="1:23">
      <c r="A48" s="2147" t="s">
        <v>41</v>
      </c>
      <c r="B48" s="2148"/>
      <c r="C48" s="164" t="s">
        <v>50</v>
      </c>
      <c r="D48" s="165" t="s">
        <v>246</v>
      </c>
      <c r="E48" s="138"/>
      <c r="F48" s="1785" t="s">
        <v>768</v>
      </c>
      <c r="G48" s="2097"/>
      <c r="H48" s="2098"/>
      <c r="I48" s="867"/>
      <c r="J48" s="865"/>
      <c r="K48" s="865"/>
      <c r="L48" s="865"/>
      <c r="M48" s="865"/>
      <c r="N48" s="867"/>
      <c r="O48" s="865"/>
      <c r="P48" s="865"/>
      <c r="Q48" s="865"/>
      <c r="R48" s="865"/>
      <c r="S48" s="867"/>
      <c r="T48" s="865"/>
      <c r="U48" s="865"/>
      <c r="V48" s="865"/>
      <c r="W48" s="866"/>
    </row>
    <row r="49" spans="1:23" ht="60.75" customHeight="1">
      <c r="A49" s="2138"/>
      <c r="B49" s="2148"/>
      <c r="C49" s="166" t="s">
        <v>51</v>
      </c>
      <c r="D49" s="165" t="s">
        <v>247</v>
      </c>
      <c r="E49" s="138" t="s">
        <v>554</v>
      </c>
      <c r="F49" s="2315" t="s">
        <v>769</v>
      </c>
      <c r="G49" s="2316"/>
      <c r="H49" s="2317"/>
      <c r="I49" s="867" t="s">
        <v>554</v>
      </c>
      <c r="J49" s="865">
        <v>1</v>
      </c>
      <c r="K49" s="865"/>
      <c r="L49" s="865">
        <v>5</v>
      </c>
      <c r="M49" s="871">
        <v>3625</v>
      </c>
      <c r="N49" s="867" t="s">
        <v>554</v>
      </c>
      <c r="O49" s="865">
        <v>1</v>
      </c>
      <c r="P49" s="865"/>
      <c r="Q49" s="865">
        <v>5</v>
      </c>
      <c r="R49" s="871">
        <v>3625</v>
      </c>
      <c r="S49" s="867" t="s">
        <v>554</v>
      </c>
      <c r="T49" s="865">
        <v>1</v>
      </c>
      <c r="U49" s="865"/>
      <c r="V49" s="865">
        <v>5</v>
      </c>
      <c r="W49" s="871">
        <v>3625</v>
      </c>
    </row>
    <row r="50" spans="1:23">
      <c r="A50" s="2138"/>
      <c r="B50" s="2148"/>
      <c r="C50" s="166" t="s">
        <v>39</v>
      </c>
      <c r="D50" s="165" t="s">
        <v>248</v>
      </c>
      <c r="E50" s="138" t="s">
        <v>554</v>
      </c>
      <c r="F50" s="2315" t="s">
        <v>770</v>
      </c>
      <c r="G50" s="2316"/>
      <c r="H50" s="2317"/>
      <c r="I50" s="867" t="s">
        <v>554</v>
      </c>
      <c r="J50" s="865">
        <v>1</v>
      </c>
      <c r="K50" s="865"/>
      <c r="L50" s="865">
        <v>5</v>
      </c>
      <c r="M50" s="871">
        <v>5000</v>
      </c>
      <c r="N50" s="867" t="s">
        <v>554</v>
      </c>
      <c r="O50" s="865">
        <v>1</v>
      </c>
      <c r="P50" s="865"/>
      <c r="Q50" s="865">
        <v>5</v>
      </c>
      <c r="R50" s="871">
        <v>5000</v>
      </c>
      <c r="S50" s="867" t="s">
        <v>554</v>
      </c>
      <c r="T50" s="865">
        <v>1</v>
      </c>
      <c r="U50" s="865"/>
      <c r="V50" s="865">
        <v>5</v>
      </c>
      <c r="W50" s="871">
        <v>5000</v>
      </c>
    </row>
    <row r="51" spans="1:23" ht="15.75" thickBot="1">
      <c r="A51" s="2149"/>
      <c r="B51" s="2141"/>
      <c r="C51" s="167" t="s">
        <v>40</v>
      </c>
      <c r="D51" s="165" t="s">
        <v>249</v>
      </c>
      <c r="E51" s="138" t="s">
        <v>554</v>
      </c>
      <c r="F51" s="2315" t="s">
        <v>771</v>
      </c>
      <c r="G51" s="2316"/>
      <c r="H51" s="2317"/>
      <c r="I51" s="867" t="s">
        <v>554</v>
      </c>
      <c r="J51" s="865">
        <v>1</v>
      </c>
      <c r="K51" s="865"/>
      <c r="L51" s="865">
        <v>10</v>
      </c>
      <c r="M51" s="871">
        <v>12700</v>
      </c>
      <c r="N51" s="867" t="s">
        <v>554</v>
      </c>
      <c r="O51" s="865">
        <v>1</v>
      </c>
      <c r="P51" s="865"/>
      <c r="Q51" s="865">
        <v>10</v>
      </c>
      <c r="R51" s="871">
        <v>12700</v>
      </c>
      <c r="S51" s="867" t="s">
        <v>554</v>
      </c>
      <c r="T51" s="865">
        <v>1</v>
      </c>
      <c r="U51" s="865"/>
      <c r="V51" s="865">
        <v>10</v>
      </c>
      <c r="W51" s="871">
        <v>12700</v>
      </c>
    </row>
    <row r="52" spans="1:23" ht="15.75">
      <c r="A52" s="2150" t="s">
        <v>130</v>
      </c>
      <c r="B52" s="2151"/>
      <c r="C52" s="159" t="s">
        <v>131</v>
      </c>
      <c r="D52" s="160" t="s">
        <v>255</v>
      </c>
      <c r="E52" s="138"/>
      <c r="F52" s="2153"/>
      <c r="G52" s="2097"/>
      <c r="H52" s="2098"/>
      <c r="I52" s="867"/>
      <c r="J52" s="865"/>
      <c r="K52" s="865"/>
      <c r="L52" s="865"/>
      <c r="M52" s="871"/>
      <c r="N52" s="867"/>
      <c r="O52" s="865"/>
      <c r="P52" s="865"/>
      <c r="Q52" s="865"/>
      <c r="R52" s="865"/>
      <c r="S52" s="867"/>
      <c r="T52" s="865"/>
      <c r="U52" s="865"/>
      <c r="V52" s="865"/>
      <c r="W52" s="866"/>
    </row>
    <row r="53" spans="1:23" ht="48" thickBot="1">
      <c r="A53" s="2149"/>
      <c r="B53" s="2152"/>
      <c r="C53" s="168" t="s">
        <v>132</v>
      </c>
      <c r="D53" s="160" t="s">
        <v>263</v>
      </c>
      <c r="E53" s="138"/>
      <c r="F53" s="2153"/>
      <c r="G53" s="2097"/>
      <c r="H53" s="2098"/>
      <c r="I53" s="867"/>
      <c r="J53" s="865"/>
      <c r="K53" s="865"/>
      <c r="L53" s="865"/>
      <c r="M53" s="871"/>
      <c r="N53" s="867"/>
      <c r="O53" s="865"/>
      <c r="P53" s="865"/>
      <c r="Q53" s="865"/>
      <c r="R53" s="865"/>
      <c r="S53" s="867"/>
      <c r="T53" s="865"/>
      <c r="U53" s="865"/>
      <c r="V53" s="865"/>
      <c r="W53" s="866"/>
    </row>
    <row r="54" spans="1:23">
      <c r="A54" s="2154" t="s">
        <v>42</v>
      </c>
      <c r="B54" s="2140"/>
      <c r="C54" s="169" t="s">
        <v>38</v>
      </c>
      <c r="D54" s="170" t="s">
        <v>239</v>
      </c>
      <c r="E54" s="138" t="s">
        <v>554</v>
      </c>
      <c r="F54" s="1818" t="s">
        <v>772</v>
      </c>
      <c r="G54" s="2097"/>
      <c r="H54" s="2098"/>
      <c r="I54" s="867" t="s">
        <v>554</v>
      </c>
      <c r="J54" s="865">
        <v>1</v>
      </c>
      <c r="K54" s="865"/>
      <c r="L54" s="865">
        <v>0.1</v>
      </c>
      <c r="M54" s="871">
        <v>400</v>
      </c>
      <c r="N54" s="867" t="s">
        <v>554</v>
      </c>
      <c r="O54" s="865">
        <v>1</v>
      </c>
      <c r="P54" s="865"/>
      <c r="Q54" s="865">
        <v>0.1</v>
      </c>
      <c r="R54" s="871">
        <v>400</v>
      </c>
      <c r="S54" s="867" t="s">
        <v>554</v>
      </c>
      <c r="T54" s="865">
        <v>1</v>
      </c>
      <c r="U54" s="865"/>
      <c r="V54" s="865">
        <v>0.1</v>
      </c>
      <c r="W54" s="871">
        <v>400</v>
      </c>
    </row>
    <row r="55" spans="1:23">
      <c r="A55" s="2148"/>
      <c r="B55" s="2148"/>
      <c r="C55" s="171" t="s">
        <v>55</v>
      </c>
      <c r="D55" s="170" t="s">
        <v>240</v>
      </c>
      <c r="E55" s="138"/>
      <c r="F55" s="2155"/>
      <c r="G55" s="2097"/>
      <c r="H55" s="2098"/>
      <c r="I55" s="867" t="s">
        <v>554</v>
      </c>
      <c r="J55" s="865">
        <v>1</v>
      </c>
      <c r="K55" s="865"/>
      <c r="L55" s="865">
        <v>2</v>
      </c>
      <c r="M55" s="871">
        <v>620</v>
      </c>
      <c r="N55" s="867" t="s">
        <v>554</v>
      </c>
      <c r="O55" s="865">
        <v>1</v>
      </c>
      <c r="P55" s="865"/>
      <c r="Q55" s="865">
        <v>2</v>
      </c>
      <c r="R55" s="871">
        <v>620</v>
      </c>
      <c r="S55" s="867" t="s">
        <v>554</v>
      </c>
      <c r="T55" s="865">
        <v>1</v>
      </c>
      <c r="U55" s="865"/>
      <c r="V55" s="865">
        <v>2</v>
      </c>
      <c r="W55" s="871">
        <v>620</v>
      </c>
    </row>
    <row r="56" spans="1:23" ht="16.5" thickBot="1">
      <c r="A56" s="2148"/>
      <c r="B56" s="2148"/>
      <c r="C56" s="161" t="s">
        <v>48</v>
      </c>
      <c r="D56" s="172" t="s">
        <v>241</v>
      </c>
      <c r="E56" s="138"/>
      <c r="F56" s="2156"/>
      <c r="G56" s="2097"/>
      <c r="H56" s="2098"/>
      <c r="I56" s="867"/>
      <c r="J56" s="865"/>
      <c r="K56" s="865"/>
      <c r="L56" s="865"/>
      <c r="M56" s="865"/>
      <c r="N56" s="867"/>
      <c r="O56" s="865"/>
      <c r="P56" s="865"/>
      <c r="Q56" s="865"/>
      <c r="R56" s="865"/>
      <c r="S56" s="867"/>
      <c r="T56" s="865"/>
      <c r="U56" s="865"/>
      <c r="V56" s="865"/>
      <c r="W56" s="866"/>
    </row>
    <row r="57" spans="1:23" ht="16.5" thickBot="1">
      <c r="A57" s="2135" t="s">
        <v>500</v>
      </c>
      <c r="B57" s="2097"/>
      <c r="C57" s="173" t="s">
        <v>134</v>
      </c>
      <c r="D57" s="174" t="s">
        <v>269</v>
      </c>
      <c r="E57" s="175"/>
      <c r="F57" s="1818" t="s">
        <v>501</v>
      </c>
      <c r="G57" s="2097"/>
      <c r="H57" s="2098"/>
      <c r="I57" s="868"/>
      <c r="J57" s="869"/>
      <c r="K57" s="869"/>
      <c r="L57" s="869"/>
      <c r="M57" s="869"/>
      <c r="N57" s="868"/>
      <c r="O57" s="869"/>
      <c r="P57" s="869"/>
      <c r="Q57" s="869"/>
      <c r="R57" s="869"/>
      <c r="S57" s="868"/>
      <c r="T57" s="869"/>
      <c r="U57" s="869"/>
      <c r="V57" s="869"/>
      <c r="W57" s="870"/>
    </row>
    <row r="58" spans="1:23">
      <c r="I58" s="855"/>
      <c r="J58" s="855"/>
      <c r="K58" s="855"/>
      <c r="L58" s="855"/>
      <c r="M58" s="855"/>
      <c r="N58" s="855"/>
      <c r="O58" s="855"/>
      <c r="P58" s="855"/>
      <c r="Q58" s="855"/>
      <c r="R58" s="855"/>
      <c r="S58" s="855"/>
      <c r="T58" s="855"/>
      <c r="U58" s="855"/>
      <c r="V58" s="855"/>
      <c r="W58" s="855"/>
    </row>
    <row r="59" spans="1:23">
      <c r="I59" s="855"/>
      <c r="J59" s="855"/>
      <c r="K59" s="855"/>
      <c r="L59" s="855"/>
      <c r="M59" s="873">
        <v>163870</v>
      </c>
      <c r="N59" s="873"/>
      <c r="O59" s="873"/>
      <c r="P59" s="873"/>
      <c r="Q59" s="873"/>
      <c r="R59" s="873">
        <v>128695</v>
      </c>
      <c r="S59" s="855"/>
      <c r="T59" s="855"/>
      <c r="U59" s="855"/>
      <c r="V59" s="855"/>
      <c r="W59" s="873">
        <v>128695</v>
      </c>
    </row>
    <row r="61" spans="1:23">
      <c r="A61" s="2198" t="s">
        <v>1270</v>
      </c>
      <c r="B61" s="2199"/>
      <c r="C61" s="2199"/>
      <c r="D61" s="2199"/>
      <c r="E61" s="2199"/>
      <c r="F61" s="2199"/>
    </row>
    <row r="62" spans="1:23" ht="105">
      <c r="A62" s="1448" t="s">
        <v>1271</v>
      </c>
      <c r="B62" s="1448" t="s">
        <v>1272</v>
      </c>
      <c r="C62" s="1448" t="s">
        <v>1273</v>
      </c>
      <c r="D62" s="1448" t="s">
        <v>1274</v>
      </c>
      <c r="E62" s="1448" t="s">
        <v>1275</v>
      </c>
      <c r="F62" s="1448" t="s">
        <v>1276</v>
      </c>
    </row>
    <row r="63" spans="1:23">
      <c r="A63" s="1447" t="s">
        <v>1431</v>
      </c>
      <c r="B63" s="1447" t="s">
        <v>1405</v>
      </c>
      <c r="C63" s="1447" t="s">
        <v>1357</v>
      </c>
      <c r="D63" s="1447" t="s">
        <v>16</v>
      </c>
      <c r="E63" s="1447" t="s">
        <v>1432</v>
      </c>
      <c r="F63" s="1447">
        <v>10</v>
      </c>
    </row>
    <row r="64" spans="1:23" ht="195">
      <c r="A64" s="1449" t="s">
        <v>1401</v>
      </c>
      <c r="B64" s="1447" t="s">
        <v>1402</v>
      </c>
      <c r="C64" s="1447" t="s">
        <v>1357</v>
      </c>
      <c r="D64" s="1447" t="s">
        <v>52</v>
      </c>
      <c r="E64" s="1447" t="s">
        <v>1433</v>
      </c>
      <c r="F64" s="1447">
        <v>10</v>
      </c>
    </row>
    <row r="65" spans="1:6">
      <c r="A65" s="1447" t="s">
        <v>1404</v>
      </c>
      <c r="B65" s="1447" t="s">
        <v>1405</v>
      </c>
      <c r="C65" s="1447" t="s">
        <v>1357</v>
      </c>
      <c r="D65" s="1447" t="s">
        <v>52</v>
      </c>
      <c r="E65" s="1447" t="s">
        <v>1433</v>
      </c>
      <c r="F65" s="1447">
        <v>20</v>
      </c>
    </row>
    <row r="66" spans="1:6">
      <c r="A66" s="1447" t="s">
        <v>1406</v>
      </c>
      <c r="B66" s="1447" t="s">
        <v>1402</v>
      </c>
      <c r="C66" s="1447" t="s">
        <v>1357</v>
      </c>
      <c r="D66" s="1447" t="s">
        <v>52</v>
      </c>
      <c r="E66" s="1447" t="s">
        <v>1432</v>
      </c>
      <c r="F66" s="1447">
        <v>20</v>
      </c>
    </row>
    <row r="67" spans="1:6" ht="45">
      <c r="A67" s="1447" t="s">
        <v>1408</v>
      </c>
      <c r="B67" s="1447" t="s">
        <v>1402</v>
      </c>
      <c r="C67" s="1447" t="s">
        <v>1357</v>
      </c>
      <c r="D67" s="1447" t="s">
        <v>52</v>
      </c>
      <c r="E67" s="1449" t="s">
        <v>1434</v>
      </c>
      <c r="F67" s="1447">
        <v>15</v>
      </c>
    </row>
    <row r="68" spans="1:6">
      <c r="A68" s="1447" t="s">
        <v>1410</v>
      </c>
      <c r="B68" s="1447" t="s">
        <v>1405</v>
      </c>
      <c r="C68" s="1447" t="s">
        <v>1357</v>
      </c>
      <c r="D68" s="1447" t="s">
        <v>16</v>
      </c>
      <c r="E68" s="1447" t="s">
        <v>1432</v>
      </c>
      <c r="F68" s="1447">
        <v>15</v>
      </c>
    </row>
  </sheetData>
  <mergeCells count="62">
    <mergeCell ref="A61:F61"/>
    <mergeCell ref="I16:M16"/>
    <mergeCell ref="N16:R16"/>
    <mergeCell ref="S16:W16"/>
    <mergeCell ref="A18:B20"/>
    <mergeCell ref="F18:H20"/>
    <mergeCell ref="A17:B17"/>
    <mergeCell ref="F17:H17"/>
    <mergeCell ref="A21:B23"/>
    <mergeCell ref="F21:H23"/>
    <mergeCell ref="A24:B25"/>
    <mergeCell ref="F24:H25"/>
    <mergeCell ref="A26:B28"/>
    <mergeCell ref="F26:H28"/>
    <mergeCell ref="A29:C29"/>
    <mergeCell ref="F29:H29"/>
    <mergeCell ref="B2:D2"/>
    <mergeCell ref="B3:D3"/>
    <mergeCell ref="B4:D4"/>
    <mergeCell ref="B6:D6"/>
    <mergeCell ref="B7:D7"/>
    <mergeCell ref="B8:D8"/>
    <mergeCell ref="C13:H13"/>
    <mergeCell ref="B10:D10"/>
    <mergeCell ref="A13:B13"/>
    <mergeCell ref="E15:H16"/>
    <mergeCell ref="A30:B32"/>
    <mergeCell ref="F30:H32"/>
    <mergeCell ref="A33:B35"/>
    <mergeCell ref="F33:H35"/>
    <mergeCell ref="A36:B36"/>
    <mergeCell ref="F36:H36"/>
    <mergeCell ref="A37:B37"/>
    <mergeCell ref="F37:H37"/>
    <mergeCell ref="A38:B39"/>
    <mergeCell ref="F38:H39"/>
    <mergeCell ref="A40:B42"/>
    <mergeCell ref="F40:H40"/>
    <mergeCell ref="F41:H41"/>
    <mergeCell ref="F42:H42"/>
    <mergeCell ref="A43:B45"/>
    <mergeCell ref="F43:H43"/>
    <mergeCell ref="F44:H44"/>
    <mergeCell ref="F45:H45"/>
    <mergeCell ref="A46:C46"/>
    <mergeCell ref="F46:H46"/>
    <mergeCell ref="A47:C47"/>
    <mergeCell ref="F47:H47"/>
    <mergeCell ref="A48:B51"/>
    <mergeCell ref="F48:H48"/>
    <mergeCell ref="F49:H49"/>
    <mergeCell ref="F50:H50"/>
    <mergeCell ref="F51:H51"/>
    <mergeCell ref="A57:B57"/>
    <mergeCell ref="F57:H57"/>
    <mergeCell ref="A52:B53"/>
    <mergeCell ref="F52:H52"/>
    <mergeCell ref="F53:H53"/>
    <mergeCell ref="A54:B56"/>
    <mergeCell ref="F54:H54"/>
    <mergeCell ref="F55:H55"/>
    <mergeCell ref="F56:H56"/>
  </mergeCells>
  <dataValidations count="3">
    <dataValidation type="list" allowBlank="1" showErrorMessage="1" sqref="H3">
      <formula1>$N$4:$N$5</formula1>
    </dataValidation>
    <dataValidation type="list" allowBlank="1" showErrorMessage="1" sqref="H2">
      <formula1>$N$2:$N$3</formula1>
    </dataValidation>
    <dataValidation type="list" allowBlank="1" showErrorMessage="1" sqref="H10:H12">
      <formula1>"Enjeu EAU AESN,Enjeu EAU AEAP,Enjeu ZH et prairies AEAP,Enjeu Erosion AEAP,Enjeu Biodiversité MASA"</formula1>
    </dataValidation>
  </dataValidations>
  <hyperlinks>
    <hyperlink ref="G4" r:id="rId1" display="sguegan@somme.fr"/>
    <hyperlink ref="J2" location="SOMMAIRE!A1" display="Retour sommaire"/>
    <hyperlink ref="J4" location="SYNTHESE!A1" display="Retour synthèse"/>
  </hyperlinks>
  <pageMargins left="0.7" right="0.7" top="0.75" bottom="0.75" header="0.3" footer="0.3"/>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78"/>
  <sheetViews>
    <sheetView topLeftCell="A42" workbookViewId="0">
      <selection activeCell="I62" sqref="I62"/>
    </sheetView>
  </sheetViews>
  <sheetFormatPr baseColWidth="10" defaultRowHeight="15"/>
  <cols>
    <col min="3" max="3" width="50.85546875" customWidth="1"/>
    <col min="8" max="8" width="22.28515625" customWidth="1"/>
  </cols>
  <sheetData>
    <row r="1" spans="1:23" ht="15.75" thickBot="1"/>
    <row r="2" spans="1:23" ht="15.75" thickBot="1">
      <c r="A2" s="260" t="s">
        <v>0</v>
      </c>
      <c r="B2" s="2369" t="s">
        <v>562</v>
      </c>
      <c r="C2" s="2358"/>
      <c r="D2" s="2359"/>
      <c r="E2" s="261"/>
      <c r="F2" s="261"/>
      <c r="G2" s="262" t="s">
        <v>462</v>
      </c>
      <c r="H2" s="322" t="s">
        <v>14</v>
      </c>
      <c r="J2" s="13" t="s">
        <v>73</v>
      </c>
    </row>
    <row r="3" spans="1:23" ht="15.75" thickBot="1">
      <c r="A3" s="263" t="s">
        <v>344</v>
      </c>
      <c r="B3" s="2369" t="s">
        <v>562</v>
      </c>
      <c r="C3" s="2358"/>
      <c r="D3" s="2359"/>
      <c r="E3" s="261"/>
      <c r="F3" s="261"/>
      <c r="G3" s="264" t="s">
        <v>10</v>
      </c>
      <c r="H3" s="322" t="s">
        <v>16</v>
      </c>
      <c r="J3" s="13"/>
    </row>
    <row r="4" spans="1:23" ht="15.75" thickBot="1">
      <c r="A4" s="264" t="s">
        <v>3</v>
      </c>
      <c r="B4" s="1982" t="s">
        <v>563</v>
      </c>
      <c r="C4" s="2358"/>
      <c r="D4" s="2359"/>
      <c r="E4" s="265"/>
      <c r="F4" s="261"/>
      <c r="G4" s="266" t="s">
        <v>26</v>
      </c>
      <c r="H4" s="323">
        <v>10</v>
      </c>
      <c r="J4" s="13" t="s">
        <v>381</v>
      </c>
    </row>
    <row r="5" spans="1:23" ht="15.75" thickBot="1">
      <c r="A5" s="261"/>
      <c r="B5" s="261"/>
      <c r="C5" s="261"/>
      <c r="D5" s="261"/>
      <c r="E5" s="261"/>
      <c r="F5" s="261"/>
      <c r="G5" s="261"/>
      <c r="H5" s="261"/>
    </row>
    <row r="6" spans="1:23" ht="90.75" thickBot="1">
      <c r="A6" s="260" t="s">
        <v>465</v>
      </c>
      <c r="B6" s="2370" t="s">
        <v>1584</v>
      </c>
      <c r="C6" s="2358"/>
      <c r="D6" s="2359"/>
      <c r="E6" s="261"/>
      <c r="F6" s="261"/>
      <c r="G6" s="267" t="s">
        <v>466</v>
      </c>
      <c r="H6" s="325" t="s">
        <v>564</v>
      </c>
    </row>
    <row r="7" spans="1:23" ht="15.75" thickBot="1">
      <c r="A7" s="259"/>
      <c r="B7" s="261"/>
      <c r="C7" s="261"/>
      <c r="D7" s="261"/>
      <c r="E7" s="261"/>
      <c r="F7" s="261"/>
      <c r="G7" s="268"/>
      <c r="H7" s="261"/>
    </row>
    <row r="8" spans="1:23" ht="60.75" thickBot="1">
      <c r="A8" s="269" t="s">
        <v>7</v>
      </c>
      <c r="B8" s="1982" t="s">
        <v>565</v>
      </c>
      <c r="C8" s="2358"/>
      <c r="D8" s="2359"/>
      <c r="E8" s="265"/>
      <c r="F8" s="270"/>
      <c r="G8" s="269" t="s">
        <v>469</v>
      </c>
      <c r="H8" s="324" t="s">
        <v>470</v>
      </c>
    </row>
    <row r="9" spans="1:23">
      <c r="A9" s="259"/>
      <c r="B9" s="261"/>
      <c r="C9" s="261"/>
      <c r="D9" s="261"/>
      <c r="E9" s="261"/>
      <c r="F9" s="261"/>
      <c r="G9" s="268"/>
      <c r="H9" s="261"/>
    </row>
    <row r="10" spans="1:23" ht="138" customHeight="1">
      <c r="A10" s="2371" t="s">
        <v>471</v>
      </c>
      <c r="B10" s="2332"/>
      <c r="C10" s="2375" t="s">
        <v>566</v>
      </c>
      <c r="D10" s="2375"/>
      <c r="E10" s="2375"/>
      <c r="F10" s="2375"/>
      <c r="G10" s="2375"/>
      <c r="H10" s="2375"/>
    </row>
    <row r="11" spans="1:23">
      <c r="A11" s="272"/>
      <c r="B11" s="265"/>
      <c r="C11" s="265"/>
      <c r="D11" s="265"/>
      <c r="E11" s="265"/>
      <c r="F11" s="270"/>
      <c r="G11" s="271"/>
      <c r="H11" s="271"/>
    </row>
    <row r="12" spans="1:23">
      <c r="A12" s="272"/>
      <c r="B12" s="265"/>
      <c r="C12" s="265"/>
      <c r="D12" s="265"/>
      <c r="E12" s="2373" t="s">
        <v>473</v>
      </c>
      <c r="F12" s="2332"/>
      <c r="G12" s="2332"/>
      <c r="H12" s="2332"/>
    </row>
    <row r="13" spans="1:23">
      <c r="A13" s="261"/>
      <c r="B13" s="261"/>
      <c r="C13" s="261"/>
      <c r="D13" s="261"/>
      <c r="E13" s="2334"/>
      <c r="F13" s="2334"/>
      <c r="G13" s="2334"/>
      <c r="H13" s="2334"/>
      <c r="I13" s="2191">
        <v>2025</v>
      </c>
      <c r="J13" s="2193"/>
      <c r="K13" s="2193"/>
      <c r="L13" s="2193"/>
      <c r="M13" s="2194"/>
      <c r="N13" s="2191">
        <v>2026</v>
      </c>
      <c r="O13" s="2193"/>
      <c r="P13" s="2193"/>
      <c r="Q13" s="2193"/>
      <c r="R13" s="2194"/>
      <c r="S13" s="2191">
        <v>2027</v>
      </c>
      <c r="T13" s="2193"/>
      <c r="U13" s="2193"/>
      <c r="V13" s="2193"/>
      <c r="W13" s="2194"/>
    </row>
    <row r="14" spans="1:23" ht="45.75" thickBot="1">
      <c r="A14" s="2372" t="s">
        <v>5</v>
      </c>
      <c r="B14" s="2361"/>
      <c r="C14" s="273" t="s">
        <v>1</v>
      </c>
      <c r="D14" s="273" t="s">
        <v>260</v>
      </c>
      <c r="E14" s="274" t="s">
        <v>474</v>
      </c>
      <c r="F14" s="2374" t="s">
        <v>6</v>
      </c>
      <c r="G14" s="2193"/>
      <c r="H14" s="2194"/>
      <c r="I14" s="664" t="s">
        <v>474</v>
      </c>
      <c r="J14" s="665" t="s">
        <v>944</v>
      </c>
      <c r="K14" s="666" t="s">
        <v>945</v>
      </c>
      <c r="L14" s="665" t="s">
        <v>946</v>
      </c>
      <c r="M14" s="667" t="s">
        <v>947</v>
      </c>
      <c r="N14" s="664" t="s">
        <v>474</v>
      </c>
      <c r="O14" s="665" t="s">
        <v>944</v>
      </c>
      <c r="P14" s="666" t="s">
        <v>945</v>
      </c>
      <c r="Q14" s="665" t="s">
        <v>946</v>
      </c>
      <c r="R14" s="667" t="s">
        <v>947</v>
      </c>
      <c r="S14" s="664" t="s">
        <v>474</v>
      </c>
      <c r="T14" s="665" t="s">
        <v>944</v>
      </c>
      <c r="U14" s="666" t="s">
        <v>945</v>
      </c>
      <c r="V14" s="665" t="s">
        <v>946</v>
      </c>
      <c r="W14" s="667" t="s">
        <v>947</v>
      </c>
    </row>
    <row r="15" spans="1:23">
      <c r="A15" s="2366" t="s">
        <v>17</v>
      </c>
      <c r="B15" s="2346"/>
      <c r="C15" s="275" t="s">
        <v>59</v>
      </c>
      <c r="D15" s="276" t="s">
        <v>251</v>
      </c>
      <c r="E15" s="277"/>
      <c r="F15" s="1974" t="s">
        <v>475</v>
      </c>
      <c r="G15" s="2346"/>
      <c r="H15" s="2361"/>
      <c r="I15" s="668"/>
      <c r="J15" s="669"/>
      <c r="K15" s="669"/>
      <c r="L15" s="669"/>
      <c r="M15" s="670"/>
      <c r="N15" s="668"/>
      <c r="O15" s="669"/>
      <c r="P15" s="669"/>
      <c r="Q15" s="669"/>
      <c r="R15" s="670"/>
      <c r="S15" s="668"/>
      <c r="T15" s="669"/>
      <c r="U15" s="669"/>
      <c r="V15" s="669"/>
      <c r="W15" s="671"/>
    </row>
    <row r="16" spans="1:23">
      <c r="A16" s="2332"/>
      <c r="B16" s="2332"/>
      <c r="C16" s="278" t="s">
        <v>18</v>
      </c>
      <c r="D16" s="279" t="s">
        <v>168</v>
      </c>
      <c r="E16" s="280"/>
      <c r="F16" s="1971"/>
      <c r="G16" s="1971"/>
      <c r="H16" s="2333"/>
      <c r="I16" s="672"/>
      <c r="J16" s="673"/>
      <c r="K16" s="673"/>
      <c r="L16" s="673"/>
      <c r="M16" s="673"/>
      <c r="N16" s="672"/>
      <c r="O16" s="673"/>
      <c r="P16" s="673"/>
      <c r="Q16" s="673"/>
      <c r="R16" s="673"/>
      <c r="S16" s="672"/>
      <c r="T16" s="673"/>
      <c r="U16" s="673"/>
      <c r="V16" s="673"/>
      <c r="W16" s="674"/>
    </row>
    <row r="17" spans="1:23" ht="15.75" thickBot="1">
      <c r="A17" s="2334"/>
      <c r="B17" s="2334"/>
      <c r="C17" s="281" t="s">
        <v>19</v>
      </c>
      <c r="D17" s="282" t="s">
        <v>233</v>
      </c>
      <c r="E17" s="283"/>
      <c r="F17" s="2334"/>
      <c r="G17" s="2334"/>
      <c r="H17" s="2335"/>
      <c r="I17" s="675"/>
      <c r="J17" s="673"/>
      <c r="K17" s="673"/>
      <c r="L17" s="673"/>
      <c r="M17" s="673"/>
      <c r="N17" s="675"/>
      <c r="O17" s="673"/>
      <c r="P17" s="673"/>
      <c r="Q17" s="673"/>
      <c r="R17" s="673"/>
      <c r="S17" s="675"/>
      <c r="T17" s="673"/>
      <c r="U17" s="673"/>
      <c r="V17" s="673"/>
      <c r="W17" s="674"/>
    </row>
    <row r="18" spans="1:23">
      <c r="A18" s="2366" t="s">
        <v>20</v>
      </c>
      <c r="B18" s="2346"/>
      <c r="C18" s="275" t="s">
        <v>54</v>
      </c>
      <c r="D18" s="282" t="s">
        <v>261</v>
      </c>
      <c r="E18" s="283" t="s">
        <v>277</v>
      </c>
      <c r="F18" s="1974" t="s">
        <v>567</v>
      </c>
      <c r="G18" s="2346"/>
      <c r="H18" s="2361"/>
      <c r="I18" s="675" t="s">
        <v>277</v>
      </c>
      <c r="J18" s="673">
        <v>3</v>
      </c>
      <c r="K18" s="673"/>
      <c r="L18" s="673">
        <v>150</v>
      </c>
      <c r="M18" s="673">
        <v>102750</v>
      </c>
      <c r="N18" s="675" t="s">
        <v>277</v>
      </c>
      <c r="O18" s="673">
        <v>3</v>
      </c>
      <c r="P18" s="673"/>
      <c r="Q18" s="673">
        <v>150</v>
      </c>
      <c r="R18" s="673">
        <v>102750</v>
      </c>
      <c r="S18" s="675" t="s">
        <v>277</v>
      </c>
      <c r="T18" s="673">
        <v>3</v>
      </c>
      <c r="U18" s="673"/>
      <c r="V18" s="673">
        <v>150</v>
      </c>
      <c r="W18" s="673">
        <v>102750</v>
      </c>
    </row>
    <row r="19" spans="1:23">
      <c r="A19" s="2332"/>
      <c r="B19" s="2332"/>
      <c r="C19" s="284" t="s">
        <v>21</v>
      </c>
      <c r="D19" s="282" t="s">
        <v>234</v>
      </c>
      <c r="E19" s="283"/>
      <c r="F19" s="1971"/>
      <c r="G19" s="1971"/>
      <c r="H19" s="2333"/>
      <c r="I19" s="675"/>
      <c r="J19" s="673"/>
      <c r="K19" s="673"/>
      <c r="L19" s="673"/>
      <c r="M19" s="673"/>
      <c r="N19" s="675"/>
      <c r="O19" s="673"/>
      <c r="P19" s="673"/>
      <c r="Q19" s="673"/>
      <c r="R19" s="673"/>
      <c r="S19" s="675"/>
      <c r="T19" s="673"/>
      <c r="U19" s="673"/>
      <c r="V19" s="673"/>
      <c r="W19" s="673"/>
    </row>
    <row r="20" spans="1:23" ht="15.75" thickBot="1">
      <c r="A20" s="2332"/>
      <c r="B20" s="2332"/>
      <c r="C20" s="281" t="s">
        <v>22</v>
      </c>
      <c r="D20" s="282" t="s">
        <v>235</v>
      </c>
      <c r="E20" s="283" t="s">
        <v>277</v>
      </c>
      <c r="F20" s="2334"/>
      <c r="G20" s="2334"/>
      <c r="H20" s="2335"/>
      <c r="I20" s="675" t="s">
        <v>277</v>
      </c>
      <c r="J20" s="673">
        <v>3</v>
      </c>
      <c r="K20" s="673">
        <v>3</v>
      </c>
      <c r="L20" s="673">
        <v>150</v>
      </c>
      <c r="M20" s="673">
        <v>229500</v>
      </c>
      <c r="N20" s="675" t="s">
        <v>277</v>
      </c>
      <c r="O20" s="673">
        <v>3</v>
      </c>
      <c r="P20" s="673">
        <v>3</v>
      </c>
      <c r="Q20" s="673">
        <v>150</v>
      </c>
      <c r="R20" s="673">
        <v>229500</v>
      </c>
      <c r="S20" s="675" t="s">
        <v>277</v>
      </c>
      <c r="T20" s="673">
        <v>3</v>
      </c>
      <c r="U20" s="673">
        <v>3</v>
      </c>
      <c r="V20" s="673">
        <v>150</v>
      </c>
      <c r="W20" s="673">
        <v>229500</v>
      </c>
    </row>
    <row r="21" spans="1:23">
      <c r="A21" s="2366" t="s">
        <v>23</v>
      </c>
      <c r="B21" s="2346"/>
      <c r="C21" s="285" t="s">
        <v>69</v>
      </c>
      <c r="D21" s="282" t="s">
        <v>267</v>
      </c>
      <c r="E21" s="283"/>
      <c r="F21" s="1974" t="s">
        <v>477</v>
      </c>
      <c r="G21" s="2346"/>
      <c r="H21" s="2361"/>
      <c r="I21" s="675"/>
      <c r="J21" s="673"/>
      <c r="K21" s="673"/>
      <c r="L21" s="673"/>
      <c r="M21" s="673"/>
      <c r="N21" s="675"/>
      <c r="O21" s="673"/>
      <c r="P21" s="673"/>
      <c r="Q21" s="673"/>
      <c r="R21" s="673"/>
      <c r="S21" s="675"/>
      <c r="T21" s="673"/>
      <c r="U21" s="673"/>
      <c r="V21" s="673"/>
      <c r="W21" s="674"/>
    </row>
    <row r="22" spans="1:23" ht="15.75" thickBot="1">
      <c r="A22" s="2334"/>
      <c r="B22" s="2334"/>
      <c r="C22" s="286" t="s">
        <v>24</v>
      </c>
      <c r="D22" s="287" t="s">
        <v>236</v>
      </c>
      <c r="E22" s="283"/>
      <c r="F22" s="2334"/>
      <c r="G22" s="2334"/>
      <c r="H22" s="2335"/>
      <c r="I22" s="675"/>
      <c r="J22" s="673"/>
      <c r="K22" s="673"/>
      <c r="L22" s="673"/>
      <c r="M22" s="673"/>
      <c r="N22" s="675"/>
      <c r="O22" s="673"/>
      <c r="P22" s="673"/>
      <c r="Q22" s="673"/>
      <c r="R22" s="673"/>
      <c r="S22" s="675"/>
      <c r="T22" s="673"/>
      <c r="U22" s="673"/>
      <c r="V22" s="673"/>
      <c r="W22" s="674"/>
    </row>
    <row r="23" spans="1:23" ht="15.75">
      <c r="A23" s="2367" t="s">
        <v>478</v>
      </c>
      <c r="B23" s="2361"/>
      <c r="C23" s="288" t="s">
        <v>360</v>
      </c>
      <c r="D23" s="287" t="s">
        <v>265</v>
      </c>
      <c r="E23" s="283"/>
      <c r="F23" s="1974" t="s">
        <v>477</v>
      </c>
      <c r="G23" s="2346"/>
      <c r="H23" s="2361"/>
      <c r="I23" s="675"/>
      <c r="J23" s="673"/>
      <c r="K23" s="673"/>
      <c r="L23" s="673"/>
      <c r="M23" s="673"/>
      <c r="N23" s="675"/>
      <c r="O23" s="673"/>
      <c r="P23" s="673"/>
      <c r="Q23" s="673"/>
      <c r="R23" s="673"/>
      <c r="S23" s="675"/>
      <c r="T23" s="673"/>
      <c r="U23" s="673"/>
      <c r="V23" s="673"/>
      <c r="W23" s="674"/>
    </row>
    <row r="24" spans="1:23" ht="15.75">
      <c r="A24" s="2351"/>
      <c r="B24" s="2333"/>
      <c r="C24" s="289" t="s">
        <v>361</v>
      </c>
      <c r="D24" s="287" t="s">
        <v>362</v>
      </c>
      <c r="E24" s="283"/>
      <c r="F24" s="1971"/>
      <c r="G24" s="1971"/>
      <c r="H24" s="2333"/>
      <c r="I24" s="675"/>
      <c r="J24" s="673"/>
      <c r="K24" s="673"/>
      <c r="L24" s="673"/>
      <c r="M24" s="673"/>
      <c r="N24" s="675"/>
      <c r="O24" s="673"/>
      <c r="P24" s="673"/>
      <c r="Q24" s="673"/>
      <c r="R24" s="673"/>
      <c r="S24" s="675"/>
      <c r="T24" s="673"/>
      <c r="U24" s="673"/>
      <c r="V24" s="673"/>
      <c r="W24" s="674"/>
    </row>
    <row r="25" spans="1:23" ht="16.5" thickBot="1">
      <c r="A25" s="2351"/>
      <c r="B25" s="2333"/>
      <c r="C25" s="290" t="s">
        <v>479</v>
      </c>
      <c r="D25" s="287" t="s">
        <v>480</v>
      </c>
      <c r="E25" s="283"/>
      <c r="F25" s="2334"/>
      <c r="G25" s="2334"/>
      <c r="H25" s="2335"/>
      <c r="I25" s="675"/>
      <c r="J25" s="673"/>
      <c r="K25" s="673"/>
      <c r="L25" s="673"/>
      <c r="M25" s="673"/>
      <c r="N25" s="675"/>
      <c r="O25" s="673"/>
      <c r="P25" s="673"/>
      <c r="Q25" s="673"/>
      <c r="R25" s="673"/>
      <c r="S25" s="675"/>
      <c r="T25" s="673"/>
      <c r="U25" s="673"/>
      <c r="V25" s="673"/>
      <c r="W25" s="674"/>
    </row>
    <row r="26" spans="1:23" ht="15.75" thickBot="1">
      <c r="A26" s="2368" t="s">
        <v>25</v>
      </c>
      <c r="B26" s="2358"/>
      <c r="C26" s="2359"/>
      <c r="D26" s="291" t="s">
        <v>270</v>
      </c>
      <c r="E26" s="283"/>
      <c r="F26" s="1947" t="s">
        <v>481</v>
      </c>
      <c r="G26" s="2193"/>
      <c r="H26" s="2194"/>
      <c r="I26" s="675"/>
      <c r="J26" s="673"/>
      <c r="K26" s="673"/>
      <c r="L26" s="673"/>
      <c r="M26" s="673"/>
      <c r="N26" s="675"/>
      <c r="O26" s="673"/>
      <c r="P26" s="673"/>
      <c r="Q26" s="673"/>
      <c r="R26" s="673"/>
      <c r="S26" s="675"/>
      <c r="T26" s="673"/>
      <c r="U26" s="673"/>
      <c r="V26" s="673"/>
      <c r="W26" s="674"/>
    </row>
    <row r="27" spans="1:23" ht="15.75">
      <c r="A27" s="2365" t="s">
        <v>153</v>
      </c>
      <c r="B27" s="2354"/>
      <c r="C27" s="292" t="s">
        <v>152</v>
      </c>
      <c r="D27" s="293" t="s">
        <v>268</v>
      </c>
      <c r="E27" s="283"/>
      <c r="F27" s="1974" t="s">
        <v>475</v>
      </c>
      <c r="G27" s="2346"/>
      <c r="H27" s="2361"/>
      <c r="I27" s="675"/>
      <c r="J27" s="673"/>
      <c r="K27" s="673"/>
      <c r="L27" s="673"/>
      <c r="M27" s="673"/>
      <c r="N27" s="675"/>
      <c r="O27" s="673"/>
      <c r="P27" s="673"/>
      <c r="Q27" s="673"/>
      <c r="R27" s="673"/>
      <c r="S27" s="675"/>
      <c r="T27" s="673"/>
      <c r="U27" s="673"/>
      <c r="V27" s="673"/>
      <c r="W27" s="674"/>
    </row>
    <row r="28" spans="1:23" ht="15.75">
      <c r="A28" s="2351"/>
      <c r="B28" s="2354"/>
      <c r="C28" s="294" t="s">
        <v>154</v>
      </c>
      <c r="D28" s="293" t="s">
        <v>392</v>
      </c>
      <c r="E28" s="283"/>
      <c r="F28" s="1971"/>
      <c r="G28" s="1971"/>
      <c r="H28" s="2333"/>
      <c r="I28" s="675"/>
      <c r="J28" s="673"/>
      <c r="K28" s="673"/>
      <c r="L28" s="673"/>
      <c r="M28" s="673"/>
      <c r="N28" s="675"/>
      <c r="O28" s="673"/>
      <c r="P28" s="673"/>
      <c r="Q28" s="673"/>
      <c r="R28" s="673"/>
      <c r="S28" s="675"/>
      <c r="T28" s="673"/>
      <c r="U28" s="673"/>
      <c r="V28" s="673"/>
      <c r="W28" s="674"/>
    </row>
    <row r="29" spans="1:23" ht="16.5" thickBot="1">
      <c r="A29" s="2343"/>
      <c r="B29" s="2344"/>
      <c r="C29" s="295" t="s">
        <v>400</v>
      </c>
      <c r="D29" s="293" t="s">
        <v>393</v>
      </c>
      <c r="E29" s="283"/>
      <c r="F29" s="2334"/>
      <c r="G29" s="2334"/>
      <c r="H29" s="2335"/>
      <c r="I29" s="675"/>
      <c r="J29" s="673"/>
      <c r="K29" s="673"/>
      <c r="L29" s="673"/>
      <c r="M29" s="673"/>
      <c r="N29" s="675"/>
      <c r="O29" s="673"/>
      <c r="P29" s="673"/>
      <c r="Q29" s="673"/>
      <c r="R29" s="673"/>
      <c r="S29" s="675"/>
      <c r="T29" s="673"/>
      <c r="U29" s="673"/>
      <c r="V29" s="673"/>
      <c r="W29" s="674"/>
    </row>
    <row r="30" spans="1:23" ht="15.75">
      <c r="A30" s="2348" t="s">
        <v>153</v>
      </c>
      <c r="B30" s="2342"/>
      <c r="C30" s="296" t="s">
        <v>155</v>
      </c>
      <c r="D30" s="293" t="s">
        <v>266</v>
      </c>
      <c r="E30" s="283"/>
      <c r="F30" s="1974" t="s">
        <v>475</v>
      </c>
      <c r="G30" s="2346"/>
      <c r="H30" s="2361"/>
      <c r="I30" s="675"/>
      <c r="J30" s="673"/>
      <c r="K30" s="673"/>
      <c r="L30" s="673"/>
      <c r="M30" s="673"/>
      <c r="N30" s="675"/>
      <c r="O30" s="673"/>
      <c r="P30" s="673"/>
      <c r="Q30" s="673"/>
      <c r="R30" s="673"/>
      <c r="S30" s="675"/>
      <c r="T30" s="673"/>
      <c r="U30" s="673"/>
      <c r="V30" s="673"/>
      <c r="W30" s="674"/>
    </row>
    <row r="31" spans="1:23" ht="15.75">
      <c r="A31" s="2351"/>
      <c r="B31" s="2354"/>
      <c r="C31" s="294" t="s">
        <v>156</v>
      </c>
      <c r="D31" s="293" t="s">
        <v>394</v>
      </c>
      <c r="E31" s="283"/>
      <c r="F31" s="1971"/>
      <c r="G31" s="1971"/>
      <c r="H31" s="2333"/>
      <c r="I31" s="675"/>
      <c r="J31" s="673"/>
      <c r="K31" s="673"/>
      <c r="L31" s="673"/>
      <c r="M31" s="673"/>
      <c r="N31" s="675"/>
      <c r="O31" s="673"/>
      <c r="P31" s="673"/>
      <c r="Q31" s="673"/>
      <c r="R31" s="673"/>
      <c r="S31" s="675"/>
      <c r="T31" s="673"/>
      <c r="U31" s="673"/>
      <c r="V31" s="673"/>
      <c r="W31" s="674"/>
    </row>
    <row r="32" spans="1:23" ht="16.5" thickBot="1">
      <c r="A32" s="2343"/>
      <c r="B32" s="2344"/>
      <c r="C32" s="295" t="s">
        <v>399</v>
      </c>
      <c r="D32" s="293" t="s">
        <v>395</v>
      </c>
      <c r="E32" s="283"/>
      <c r="F32" s="2334"/>
      <c r="G32" s="2334"/>
      <c r="H32" s="2335"/>
      <c r="I32" s="675"/>
      <c r="J32" s="673"/>
      <c r="K32" s="673"/>
      <c r="L32" s="673"/>
      <c r="M32" s="673"/>
      <c r="N32" s="675"/>
      <c r="O32" s="673"/>
      <c r="P32" s="673"/>
      <c r="Q32" s="673"/>
      <c r="R32" s="673"/>
      <c r="S32" s="675"/>
      <c r="T32" s="673"/>
      <c r="U32" s="673"/>
      <c r="V32" s="673"/>
      <c r="W32" s="674"/>
    </row>
    <row r="33" spans="1:23" ht="16.5" thickBot="1">
      <c r="A33" s="2348" t="s">
        <v>482</v>
      </c>
      <c r="B33" s="2342"/>
      <c r="C33" s="296" t="s">
        <v>365</v>
      </c>
      <c r="D33" s="293" t="s">
        <v>252</v>
      </c>
      <c r="E33" s="283"/>
      <c r="F33" s="1974" t="s">
        <v>483</v>
      </c>
      <c r="G33" s="2346"/>
      <c r="H33" s="2361"/>
      <c r="I33" s="675"/>
      <c r="J33" s="673"/>
      <c r="K33" s="673"/>
      <c r="L33" s="673"/>
      <c r="M33" s="673"/>
      <c r="N33" s="675"/>
      <c r="O33" s="673"/>
      <c r="P33" s="673"/>
      <c r="Q33" s="673"/>
      <c r="R33" s="673"/>
      <c r="S33" s="675"/>
      <c r="T33" s="673"/>
      <c r="U33" s="673"/>
      <c r="V33" s="673"/>
      <c r="W33" s="674"/>
    </row>
    <row r="34" spans="1:23" ht="16.5" thickBot="1">
      <c r="A34" s="2348" t="s">
        <v>484</v>
      </c>
      <c r="B34" s="2342"/>
      <c r="C34" s="296" t="s">
        <v>485</v>
      </c>
      <c r="D34" s="293" t="s">
        <v>264</v>
      </c>
      <c r="E34" s="283"/>
      <c r="F34" s="2360"/>
      <c r="G34" s="2346"/>
      <c r="H34" s="2361"/>
      <c r="I34" s="675"/>
      <c r="J34" s="673"/>
      <c r="K34" s="673"/>
      <c r="L34" s="673"/>
      <c r="M34" s="673"/>
      <c r="N34" s="675"/>
      <c r="O34" s="673"/>
      <c r="P34" s="673"/>
      <c r="Q34" s="673"/>
      <c r="R34" s="673"/>
      <c r="S34" s="675"/>
      <c r="T34" s="673"/>
      <c r="U34" s="673"/>
      <c r="V34" s="673"/>
      <c r="W34" s="674"/>
    </row>
    <row r="35" spans="1:23" ht="15.75">
      <c r="A35" s="2349" t="s">
        <v>486</v>
      </c>
      <c r="B35" s="2342"/>
      <c r="C35" s="297" t="s">
        <v>43</v>
      </c>
      <c r="D35" s="298" t="s">
        <v>256</v>
      </c>
      <c r="E35" s="283"/>
      <c r="F35" s="1974" t="s">
        <v>487</v>
      </c>
      <c r="G35" s="2346"/>
      <c r="H35" s="2361"/>
      <c r="I35" s="675"/>
      <c r="J35" s="673"/>
      <c r="K35" s="673"/>
      <c r="L35" s="673"/>
      <c r="M35" s="673"/>
      <c r="N35" s="675"/>
      <c r="O35" s="673"/>
      <c r="P35" s="673"/>
      <c r="Q35" s="673"/>
      <c r="R35" s="673"/>
      <c r="S35" s="675"/>
      <c r="T35" s="673"/>
      <c r="U35" s="673"/>
      <c r="V35" s="673"/>
      <c r="W35" s="674"/>
    </row>
    <row r="36" spans="1:23" ht="16.5" thickBot="1">
      <c r="A36" s="2343"/>
      <c r="B36" s="2344"/>
      <c r="C36" s="299" t="s">
        <v>60</v>
      </c>
      <c r="D36" s="298" t="s">
        <v>257</v>
      </c>
      <c r="E36" s="283"/>
      <c r="F36" s="2334"/>
      <c r="G36" s="2334"/>
      <c r="H36" s="2335"/>
      <c r="I36" s="675"/>
      <c r="J36" s="673"/>
      <c r="K36" s="673"/>
      <c r="L36" s="673"/>
      <c r="M36" s="673"/>
      <c r="N36" s="675"/>
      <c r="O36" s="673"/>
      <c r="P36" s="673"/>
      <c r="Q36" s="673"/>
      <c r="R36" s="673"/>
      <c r="S36" s="675"/>
      <c r="T36" s="673"/>
      <c r="U36" s="673"/>
      <c r="V36" s="673"/>
      <c r="W36" s="674"/>
    </row>
    <row r="37" spans="1:23" ht="30">
      <c r="A37" s="2350" t="s">
        <v>33</v>
      </c>
      <c r="B37" s="2346"/>
      <c r="C37" s="300" t="s">
        <v>30</v>
      </c>
      <c r="D37" s="301" t="s">
        <v>170</v>
      </c>
      <c r="E37" s="283" t="s">
        <v>277</v>
      </c>
      <c r="F37" s="2362" t="s">
        <v>568</v>
      </c>
      <c r="G37" s="2363"/>
      <c r="H37" s="2363"/>
      <c r="I37" s="675" t="s">
        <v>277</v>
      </c>
      <c r="J37" s="673">
        <v>5</v>
      </c>
      <c r="K37" s="673"/>
      <c r="L37" s="673">
        <v>250</v>
      </c>
      <c r="M37" s="673">
        <v>151250</v>
      </c>
      <c r="N37" s="675" t="s">
        <v>277</v>
      </c>
      <c r="O37" s="673">
        <v>5</v>
      </c>
      <c r="P37" s="673"/>
      <c r="Q37" s="673">
        <v>250</v>
      </c>
      <c r="R37" s="673">
        <v>151250</v>
      </c>
      <c r="S37" s="675" t="s">
        <v>277</v>
      </c>
      <c r="T37" s="673">
        <v>5</v>
      </c>
      <c r="U37" s="673"/>
      <c r="V37" s="673">
        <v>250</v>
      </c>
      <c r="W37" s="673">
        <v>151250</v>
      </c>
    </row>
    <row r="38" spans="1:23" ht="30">
      <c r="A38" s="2351"/>
      <c r="B38" s="2332"/>
      <c r="C38" s="302" t="s">
        <v>31</v>
      </c>
      <c r="D38" s="301" t="s">
        <v>169</v>
      </c>
      <c r="E38" s="321" t="s">
        <v>277</v>
      </c>
      <c r="F38" s="2362" t="s">
        <v>569</v>
      </c>
      <c r="G38" s="2363"/>
      <c r="H38" s="2363"/>
      <c r="I38" s="675" t="s">
        <v>277</v>
      </c>
      <c r="J38" s="673">
        <v>5</v>
      </c>
      <c r="K38" s="673"/>
      <c r="L38" s="673">
        <v>250</v>
      </c>
      <c r="M38" s="673">
        <v>221250</v>
      </c>
      <c r="N38" s="675" t="s">
        <v>277</v>
      </c>
      <c r="O38" s="673">
        <v>5</v>
      </c>
      <c r="P38" s="673"/>
      <c r="Q38" s="673">
        <v>250</v>
      </c>
      <c r="R38" s="673">
        <v>221250</v>
      </c>
      <c r="S38" s="675" t="s">
        <v>277</v>
      </c>
      <c r="T38" s="673">
        <v>5</v>
      </c>
      <c r="U38" s="673"/>
      <c r="V38" s="673">
        <v>250</v>
      </c>
      <c r="W38" s="673">
        <v>221250</v>
      </c>
    </row>
    <row r="39" spans="1:23" ht="30.75" thickBot="1">
      <c r="A39" s="2351"/>
      <c r="B39" s="2332"/>
      <c r="C39" s="303" t="s">
        <v>32</v>
      </c>
      <c r="D39" s="301" t="s">
        <v>250</v>
      </c>
      <c r="E39" s="321" t="s">
        <v>277</v>
      </c>
      <c r="F39" s="2362" t="s">
        <v>570</v>
      </c>
      <c r="G39" s="2363"/>
      <c r="H39" s="2363"/>
      <c r="I39" s="675" t="s">
        <v>277</v>
      </c>
      <c r="J39" s="673">
        <v>5</v>
      </c>
      <c r="K39" s="673"/>
      <c r="L39" s="673">
        <v>250</v>
      </c>
      <c r="M39" s="673">
        <v>291250</v>
      </c>
      <c r="N39" s="675" t="s">
        <v>277</v>
      </c>
      <c r="O39" s="673">
        <v>5</v>
      </c>
      <c r="P39" s="673"/>
      <c r="Q39" s="673">
        <v>250</v>
      </c>
      <c r="R39" s="673">
        <v>291250</v>
      </c>
      <c r="S39" s="675" t="s">
        <v>277</v>
      </c>
      <c r="T39" s="673">
        <v>5</v>
      </c>
      <c r="U39" s="673"/>
      <c r="V39" s="673">
        <v>250</v>
      </c>
      <c r="W39" s="673">
        <v>291250</v>
      </c>
    </row>
    <row r="40" spans="1:23" ht="15.75">
      <c r="A40" s="2352" t="s">
        <v>491</v>
      </c>
      <c r="B40" s="2353"/>
      <c r="C40" s="304" t="s">
        <v>144</v>
      </c>
      <c r="D40" s="305" t="s">
        <v>253</v>
      </c>
      <c r="E40" s="283"/>
      <c r="F40" s="2331" t="s">
        <v>492</v>
      </c>
      <c r="G40" s="2332"/>
      <c r="H40" s="2333"/>
      <c r="I40" s="675"/>
      <c r="J40" s="673"/>
      <c r="K40" s="673"/>
      <c r="L40" s="673"/>
      <c r="M40" s="673"/>
      <c r="N40" s="675"/>
      <c r="O40" s="673"/>
      <c r="P40" s="673"/>
      <c r="Q40" s="673"/>
      <c r="R40" s="673"/>
      <c r="S40" s="675"/>
      <c r="T40" s="673"/>
      <c r="U40" s="673"/>
      <c r="V40" s="673"/>
      <c r="W40" s="674"/>
    </row>
    <row r="41" spans="1:23" ht="16.5" thickBot="1">
      <c r="A41" s="2332"/>
      <c r="B41" s="2354"/>
      <c r="C41" s="306" t="s">
        <v>145</v>
      </c>
      <c r="D41" s="305" t="s">
        <v>254</v>
      </c>
      <c r="E41" s="283"/>
      <c r="F41" s="2334"/>
      <c r="G41" s="2334"/>
      <c r="H41" s="2335"/>
      <c r="I41" s="675"/>
      <c r="J41" s="673"/>
      <c r="K41" s="673"/>
      <c r="L41" s="673"/>
      <c r="M41" s="673"/>
      <c r="N41" s="675"/>
      <c r="O41" s="673"/>
      <c r="P41" s="673"/>
      <c r="Q41" s="673"/>
      <c r="R41" s="673"/>
      <c r="S41" s="675"/>
      <c r="T41" s="673"/>
      <c r="U41" s="673"/>
      <c r="V41" s="673"/>
      <c r="W41" s="674"/>
    </row>
    <row r="42" spans="1:23" ht="32.25" thickBot="1">
      <c r="A42" s="2355"/>
      <c r="B42" s="2356"/>
      <c r="C42" s="307" t="s">
        <v>128</v>
      </c>
      <c r="D42" s="305" t="s">
        <v>262</v>
      </c>
      <c r="E42" s="283" t="s">
        <v>277</v>
      </c>
      <c r="F42" s="2336"/>
      <c r="G42" s="2193"/>
      <c r="H42" s="2194"/>
      <c r="I42" s="675" t="s">
        <v>277</v>
      </c>
      <c r="J42" s="673">
        <v>10</v>
      </c>
      <c r="K42" s="673"/>
      <c r="L42" s="673">
        <v>100</v>
      </c>
      <c r="M42" s="673">
        <v>36000</v>
      </c>
      <c r="N42" s="675" t="s">
        <v>277</v>
      </c>
      <c r="O42" s="673">
        <v>10</v>
      </c>
      <c r="P42" s="673"/>
      <c r="Q42" s="673">
        <v>100</v>
      </c>
      <c r="R42" s="673">
        <v>36000</v>
      </c>
      <c r="S42" s="675" t="s">
        <v>277</v>
      </c>
      <c r="T42" s="673">
        <v>10</v>
      </c>
      <c r="U42" s="673"/>
      <c r="V42" s="673">
        <v>100</v>
      </c>
      <c r="W42" s="673">
        <v>36000</v>
      </c>
    </row>
    <row r="43" spans="1:23" ht="15.75" thickBot="1">
      <c r="A43" s="2357" t="s">
        <v>493</v>
      </c>
      <c r="B43" s="2358"/>
      <c r="C43" s="2359"/>
      <c r="D43" s="308" t="s">
        <v>237</v>
      </c>
      <c r="E43" s="283"/>
      <c r="F43" s="1947" t="s">
        <v>571</v>
      </c>
      <c r="G43" s="2193"/>
      <c r="H43" s="2194"/>
      <c r="I43" s="675"/>
      <c r="J43" s="673"/>
      <c r="K43" s="673"/>
      <c r="L43" s="673"/>
      <c r="M43" s="673"/>
      <c r="N43" s="675"/>
      <c r="O43" s="673"/>
      <c r="P43" s="673"/>
      <c r="Q43" s="673"/>
      <c r="R43" s="673"/>
      <c r="S43" s="675"/>
      <c r="T43" s="673"/>
      <c r="U43" s="673"/>
      <c r="V43" s="673"/>
      <c r="W43" s="674"/>
    </row>
    <row r="44" spans="1:23" ht="15.75" thickBot="1">
      <c r="A44" s="2357" t="s">
        <v>133</v>
      </c>
      <c r="B44" s="2358"/>
      <c r="C44" s="2359"/>
      <c r="D44" s="308" t="s">
        <v>238</v>
      </c>
      <c r="E44" s="283"/>
      <c r="F44" s="1947" t="s">
        <v>495</v>
      </c>
      <c r="G44" s="2193"/>
      <c r="H44" s="2194"/>
      <c r="I44" s="675"/>
      <c r="J44" s="673"/>
      <c r="K44" s="673"/>
      <c r="L44" s="673"/>
      <c r="M44" s="673"/>
      <c r="N44" s="675"/>
      <c r="O44" s="673"/>
      <c r="P44" s="673"/>
      <c r="Q44" s="673"/>
      <c r="R44" s="673"/>
      <c r="S44" s="675"/>
      <c r="T44" s="673"/>
      <c r="U44" s="673"/>
      <c r="V44" s="673"/>
      <c r="W44" s="674"/>
    </row>
    <row r="45" spans="1:23">
      <c r="A45" s="2364" t="s">
        <v>41</v>
      </c>
      <c r="B45" s="2332"/>
      <c r="C45" s="309" t="s">
        <v>50</v>
      </c>
      <c r="D45" s="310" t="s">
        <v>246</v>
      </c>
      <c r="E45" s="283"/>
      <c r="F45" s="2337" t="s">
        <v>560</v>
      </c>
      <c r="G45" s="2193"/>
      <c r="H45" s="2194"/>
      <c r="I45" s="675"/>
      <c r="J45" s="673"/>
      <c r="K45" s="673"/>
      <c r="L45" s="673"/>
      <c r="M45" s="673"/>
      <c r="N45" s="675"/>
      <c r="O45" s="673"/>
      <c r="P45" s="673"/>
      <c r="Q45" s="673"/>
      <c r="R45" s="673"/>
      <c r="S45" s="675"/>
      <c r="T45" s="673"/>
      <c r="U45" s="673"/>
      <c r="V45" s="673"/>
      <c r="W45" s="674"/>
    </row>
    <row r="46" spans="1:23">
      <c r="A46" s="2351"/>
      <c r="B46" s="2332"/>
      <c r="C46" s="311" t="s">
        <v>51</v>
      </c>
      <c r="D46" s="310" t="s">
        <v>247</v>
      </c>
      <c r="E46" s="283" t="s">
        <v>277</v>
      </c>
      <c r="F46" s="2337" t="s">
        <v>572</v>
      </c>
      <c r="G46" s="2193"/>
      <c r="H46" s="2194"/>
      <c r="I46" s="675" t="s">
        <v>277</v>
      </c>
      <c r="J46" s="673">
        <v>3</v>
      </c>
      <c r="K46" s="673"/>
      <c r="L46" s="673">
        <v>15</v>
      </c>
      <c r="M46" s="673">
        <v>10875</v>
      </c>
      <c r="N46" s="675" t="s">
        <v>277</v>
      </c>
      <c r="O46" s="673">
        <v>3</v>
      </c>
      <c r="P46" s="673"/>
      <c r="Q46" s="673">
        <v>15</v>
      </c>
      <c r="R46" s="673">
        <v>10875</v>
      </c>
      <c r="S46" s="675" t="s">
        <v>277</v>
      </c>
      <c r="T46" s="673">
        <v>3</v>
      </c>
      <c r="U46" s="673"/>
      <c r="V46" s="673">
        <v>15</v>
      </c>
      <c r="W46" s="673">
        <v>10875</v>
      </c>
    </row>
    <row r="47" spans="1:23">
      <c r="A47" s="2351"/>
      <c r="B47" s="2332"/>
      <c r="C47" s="311" t="s">
        <v>39</v>
      </c>
      <c r="D47" s="310" t="s">
        <v>248</v>
      </c>
      <c r="E47" s="283" t="s">
        <v>277</v>
      </c>
      <c r="F47" s="2337" t="s">
        <v>573</v>
      </c>
      <c r="G47" s="2193"/>
      <c r="H47" s="2194"/>
      <c r="I47" s="675" t="s">
        <v>277</v>
      </c>
      <c r="J47" s="673">
        <v>3</v>
      </c>
      <c r="K47" s="673"/>
      <c r="L47" s="673">
        <v>15</v>
      </c>
      <c r="M47" s="673">
        <v>15000</v>
      </c>
      <c r="N47" s="675" t="s">
        <v>277</v>
      </c>
      <c r="O47" s="673">
        <v>3</v>
      </c>
      <c r="P47" s="673"/>
      <c r="Q47" s="673">
        <v>15</v>
      </c>
      <c r="R47" s="673">
        <v>15000</v>
      </c>
      <c r="S47" s="675" t="s">
        <v>277</v>
      </c>
      <c r="T47" s="673">
        <v>3</v>
      </c>
      <c r="U47" s="673"/>
      <c r="V47" s="673">
        <v>15</v>
      </c>
      <c r="W47" s="673">
        <v>15000</v>
      </c>
    </row>
    <row r="48" spans="1:23" ht="66.75" customHeight="1" thickBot="1">
      <c r="A48" s="2343"/>
      <c r="B48" s="2334"/>
      <c r="C48" s="312" t="s">
        <v>40</v>
      </c>
      <c r="D48" s="310" t="s">
        <v>249</v>
      </c>
      <c r="E48" s="283" t="s">
        <v>277</v>
      </c>
      <c r="F48" s="2337" t="s">
        <v>574</v>
      </c>
      <c r="G48" s="2193"/>
      <c r="H48" s="2194"/>
      <c r="I48" s="675" t="s">
        <v>277</v>
      </c>
      <c r="J48" s="673">
        <v>3</v>
      </c>
      <c r="K48" s="673"/>
      <c r="L48" s="673">
        <v>15</v>
      </c>
      <c r="M48" s="673">
        <v>19050</v>
      </c>
      <c r="N48" s="675" t="s">
        <v>277</v>
      </c>
      <c r="O48" s="673">
        <v>3</v>
      </c>
      <c r="P48" s="673"/>
      <c r="Q48" s="673">
        <v>15</v>
      </c>
      <c r="R48" s="673">
        <v>19050</v>
      </c>
      <c r="S48" s="675" t="s">
        <v>277</v>
      </c>
      <c r="T48" s="673">
        <v>3</v>
      </c>
      <c r="U48" s="673"/>
      <c r="V48" s="673">
        <v>15</v>
      </c>
      <c r="W48" s="673">
        <v>19050</v>
      </c>
    </row>
    <row r="49" spans="1:23" ht="15.75">
      <c r="A49" s="2341" t="s">
        <v>130</v>
      </c>
      <c r="B49" s="2342"/>
      <c r="C49" s="304" t="s">
        <v>131</v>
      </c>
      <c r="D49" s="305" t="s">
        <v>255</v>
      </c>
      <c r="E49" s="283"/>
      <c r="F49" s="2338"/>
      <c r="G49" s="2193"/>
      <c r="H49" s="2194"/>
      <c r="I49" s="675"/>
      <c r="J49" s="673"/>
      <c r="K49" s="673"/>
      <c r="L49" s="673"/>
      <c r="M49" s="673"/>
      <c r="N49" s="675"/>
      <c r="O49" s="673"/>
      <c r="P49" s="673"/>
      <c r="Q49" s="673"/>
      <c r="R49" s="673"/>
      <c r="S49" s="675"/>
      <c r="T49" s="673"/>
      <c r="U49" s="673"/>
      <c r="V49" s="673"/>
      <c r="W49" s="674"/>
    </row>
    <row r="50" spans="1:23" ht="32.25" thickBot="1">
      <c r="A50" s="2343"/>
      <c r="B50" s="2344"/>
      <c r="C50" s="313" t="s">
        <v>132</v>
      </c>
      <c r="D50" s="305" t="s">
        <v>263</v>
      </c>
      <c r="E50" s="283"/>
      <c r="F50" s="2338"/>
      <c r="G50" s="2193"/>
      <c r="H50" s="2194"/>
      <c r="I50" s="675"/>
      <c r="J50" s="673"/>
      <c r="K50" s="673"/>
      <c r="L50" s="673"/>
      <c r="M50" s="673"/>
      <c r="N50" s="675"/>
      <c r="O50" s="673"/>
      <c r="P50" s="673"/>
      <c r="Q50" s="673"/>
      <c r="R50" s="673"/>
      <c r="S50" s="675"/>
      <c r="T50" s="673"/>
      <c r="U50" s="673"/>
      <c r="V50" s="673"/>
      <c r="W50" s="674"/>
    </row>
    <row r="51" spans="1:23">
      <c r="A51" s="2345" t="s">
        <v>42</v>
      </c>
      <c r="B51" s="2346"/>
      <c r="C51" s="314" t="s">
        <v>38</v>
      </c>
      <c r="D51" s="315" t="s">
        <v>239</v>
      </c>
      <c r="E51" s="283"/>
      <c r="F51" s="1947" t="s">
        <v>499</v>
      </c>
      <c r="G51" s="2193"/>
      <c r="H51" s="2194"/>
      <c r="I51" s="675"/>
      <c r="J51" s="673"/>
      <c r="K51" s="673"/>
      <c r="L51" s="673"/>
      <c r="M51" s="673"/>
      <c r="N51" s="675"/>
      <c r="O51" s="673"/>
      <c r="P51" s="673"/>
      <c r="Q51" s="673"/>
      <c r="R51" s="673"/>
      <c r="S51" s="675"/>
      <c r="T51" s="673"/>
      <c r="U51" s="673"/>
      <c r="V51" s="673"/>
      <c r="W51" s="674"/>
    </row>
    <row r="52" spans="1:23">
      <c r="A52" s="2332"/>
      <c r="B52" s="2332"/>
      <c r="C52" s="316" t="s">
        <v>55</v>
      </c>
      <c r="D52" s="315" t="s">
        <v>240</v>
      </c>
      <c r="E52" s="283"/>
      <c r="F52" s="2339"/>
      <c r="G52" s="2193"/>
      <c r="H52" s="2194"/>
      <c r="I52" s="675"/>
      <c r="J52" s="673"/>
      <c r="K52" s="673"/>
      <c r="L52" s="673"/>
      <c r="M52" s="673"/>
      <c r="N52" s="675"/>
      <c r="O52" s="673"/>
      <c r="P52" s="673"/>
      <c r="Q52" s="673"/>
      <c r="R52" s="673"/>
      <c r="S52" s="675"/>
      <c r="T52" s="673"/>
      <c r="U52" s="673"/>
      <c r="V52" s="673"/>
      <c r="W52" s="674"/>
    </row>
    <row r="53" spans="1:23" ht="16.5" thickBot="1">
      <c r="A53" s="2332"/>
      <c r="B53" s="2332"/>
      <c r="C53" s="306" t="s">
        <v>48</v>
      </c>
      <c r="D53" s="317" t="s">
        <v>241</v>
      </c>
      <c r="E53" s="283" t="s">
        <v>277</v>
      </c>
      <c r="F53" s="2340"/>
      <c r="G53" s="2193"/>
      <c r="H53" s="2194"/>
      <c r="I53" s="675" t="s">
        <v>277</v>
      </c>
      <c r="J53" s="673">
        <v>5</v>
      </c>
      <c r="K53" s="673"/>
      <c r="L53" s="673">
        <v>5000</v>
      </c>
      <c r="M53" s="673">
        <v>40000</v>
      </c>
      <c r="N53" s="675" t="s">
        <v>277</v>
      </c>
      <c r="O53" s="673">
        <v>5</v>
      </c>
      <c r="P53" s="673"/>
      <c r="Q53" s="673">
        <v>5000</v>
      </c>
      <c r="R53" s="673">
        <v>40000</v>
      </c>
      <c r="S53" s="675" t="s">
        <v>277</v>
      </c>
      <c r="T53" s="673">
        <v>5</v>
      </c>
      <c r="U53" s="673"/>
      <c r="V53" s="673">
        <v>5000</v>
      </c>
      <c r="W53" s="673">
        <v>40000</v>
      </c>
    </row>
    <row r="54" spans="1:23" ht="16.5" thickBot="1">
      <c r="A54" s="2347" t="s">
        <v>500</v>
      </c>
      <c r="B54" s="2193"/>
      <c r="C54" s="318" t="s">
        <v>134</v>
      </c>
      <c r="D54" s="319" t="s">
        <v>269</v>
      </c>
      <c r="E54" s="320"/>
      <c r="F54" s="1947" t="s">
        <v>501</v>
      </c>
      <c r="G54" s="2193"/>
      <c r="H54" s="2194"/>
      <c r="I54" s="676"/>
      <c r="J54" s="677"/>
      <c r="K54" s="677"/>
      <c r="L54" s="677"/>
      <c r="M54" s="677"/>
      <c r="N54" s="676"/>
      <c r="O54" s="677"/>
      <c r="P54" s="677"/>
      <c r="Q54" s="677"/>
      <c r="R54" s="677"/>
      <c r="S54" s="676"/>
      <c r="T54" s="677"/>
      <c r="U54" s="677"/>
      <c r="V54" s="677"/>
      <c r="W54" s="678"/>
    </row>
    <row r="57" spans="1:23">
      <c r="M57">
        <f>SUM(M15:M54)</f>
        <v>1116925</v>
      </c>
    </row>
    <row r="58" spans="1:23" ht="60">
      <c r="A58" s="680" t="s">
        <v>948</v>
      </c>
      <c r="B58" s="680" t="s">
        <v>949</v>
      </c>
      <c r="C58" s="680" t="s">
        <v>950</v>
      </c>
      <c r="D58" s="680" t="s">
        <v>951</v>
      </c>
      <c r="E58" s="680" t="s">
        <v>952</v>
      </c>
    </row>
    <row r="59" spans="1:23">
      <c r="A59" s="683" t="s">
        <v>953</v>
      </c>
      <c r="B59" s="679" t="s">
        <v>954</v>
      </c>
      <c r="C59" s="679">
        <v>2</v>
      </c>
      <c r="D59" s="679">
        <v>1</v>
      </c>
      <c r="E59" s="682" t="s">
        <v>994</v>
      </c>
    </row>
    <row r="60" spans="1:23">
      <c r="A60" s="681" t="s">
        <v>956</v>
      </c>
      <c r="B60" s="679"/>
      <c r="C60" s="679" t="s">
        <v>995</v>
      </c>
      <c r="D60" s="679"/>
      <c r="E60" s="682"/>
    </row>
    <row r="61" spans="1:23">
      <c r="A61" s="681" t="s">
        <v>957</v>
      </c>
      <c r="B61" s="679"/>
      <c r="C61" s="679"/>
      <c r="D61" s="679"/>
      <c r="E61" s="682"/>
    </row>
    <row r="62" spans="1:23">
      <c r="A62" s="683" t="s">
        <v>959</v>
      </c>
      <c r="B62" s="679" t="s">
        <v>954</v>
      </c>
      <c r="C62" s="679"/>
      <c r="D62" s="679">
        <v>2</v>
      </c>
      <c r="E62" s="682" t="s">
        <v>996</v>
      </c>
    </row>
    <row r="63" spans="1:23">
      <c r="A63" s="683" t="s">
        <v>961</v>
      </c>
      <c r="B63" s="679" t="s">
        <v>954</v>
      </c>
      <c r="C63" s="679">
        <v>16</v>
      </c>
      <c r="D63" s="2329">
        <v>23.875</v>
      </c>
      <c r="E63" s="682" t="s">
        <v>997</v>
      </c>
    </row>
    <row r="64" spans="1:23">
      <c r="A64" s="683" t="s">
        <v>963</v>
      </c>
      <c r="B64" s="679" t="s">
        <v>954</v>
      </c>
      <c r="C64" s="679">
        <v>10</v>
      </c>
      <c r="D64" s="2330"/>
      <c r="E64" s="682" t="s">
        <v>998</v>
      </c>
    </row>
    <row r="65" spans="1:6">
      <c r="A65" s="683" t="s">
        <v>965</v>
      </c>
      <c r="B65" s="679" t="s">
        <v>954</v>
      </c>
      <c r="C65" s="685" t="s">
        <v>999</v>
      </c>
      <c r="D65" s="679">
        <v>2.5</v>
      </c>
      <c r="E65" s="682" t="s">
        <v>1000</v>
      </c>
    </row>
    <row r="66" spans="1:6">
      <c r="A66" s="681" t="s">
        <v>967</v>
      </c>
      <c r="B66" s="679"/>
      <c r="C66" s="679"/>
      <c r="D66" s="679"/>
      <c r="E66" s="682"/>
    </row>
    <row r="67" spans="1:6">
      <c r="A67" s="683" t="s">
        <v>969</v>
      </c>
      <c r="B67" s="679"/>
      <c r="C67" s="679" t="s">
        <v>995</v>
      </c>
      <c r="D67" s="679"/>
      <c r="E67" s="682"/>
    </row>
    <row r="68" spans="1:6">
      <c r="A68" s="681" t="s">
        <v>971</v>
      </c>
      <c r="B68" s="679"/>
      <c r="C68" s="679"/>
      <c r="D68" s="679"/>
      <c r="E68" s="682"/>
    </row>
    <row r="69" spans="1:6" ht="48" customHeight="1">
      <c r="A69" s="684" t="s">
        <v>1001</v>
      </c>
      <c r="B69" s="679" t="s">
        <v>954</v>
      </c>
      <c r="C69" s="679"/>
      <c r="D69" s="679">
        <v>1.5</v>
      </c>
      <c r="E69" s="682" t="s">
        <v>996</v>
      </c>
    </row>
    <row r="70" spans="1:6">
      <c r="A70" s="683" t="s">
        <v>1002</v>
      </c>
      <c r="B70" s="679" t="s">
        <v>954</v>
      </c>
      <c r="C70" s="679"/>
      <c r="D70" s="679">
        <v>2.5</v>
      </c>
      <c r="E70" s="682" t="s">
        <v>996</v>
      </c>
    </row>
    <row r="71" spans="1:6">
      <c r="A71" s="681"/>
      <c r="B71" s="679"/>
      <c r="C71" s="679"/>
      <c r="D71" s="679"/>
      <c r="E71" s="682"/>
    </row>
    <row r="74" spans="1:6">
      <c r="A74" s="2311" t="s">
        <v>1270</v>
      </c>
      <c r="B74" s="2312"/>
      <c r="C74" s="2312"/>
      <c r="D74" s="2312"/>
      <c r="E74" s="2312"/>
      <c r="F74" s="2312"/>
    </row>
    <row r="75" spans="1:6" ht="105">
      <c r="A75" s="1293" t="s">
        <v>1271</v>
      </c>
      <c r="B75" s="1293" t="s">
        <v>1272</v>
      </c>
      <c r="C75" s="1293" t="s">
        <v>1273</v>
      </c>
      <c r="D75" s="1293" t="s">
        <v>1274</v>
      </c>
      <c r="E75" s="1293" t="s">
        <v>1275</v>
      </c>
      <c r="F75" s="1293" t="s">
        <v>1276</v>
      </c>
    </row>
    <row r="76" spans="1:6" ht="409.5">
      <c r="A76" s="1294" t="s">
        <v>1335</v>
      </c>
      <c r="B76" s="1295" t="s">
        <v>1336</v>
      </c>
      <c r="C76" s="1292" t="s">
        <v>1337</v>
      </c>
      <c r="D76" s="1292" t="s">
        <v>954</v>
      </c>
      <c r="E76" s="1292"/>
      <c r="F76" s="1292"/>
    </row>
    <row r="77" spans="1:6" ht="90">
      <c r="A77" s="1292" t="s">
        <v>1338</v>
      </c>
      <c r="B77" s="1295" t="s">
        <v>1339</v>
      </c>
      <c r="C77" s="1292" t="s">
        <v>1340</v>
      </c>
      <c r="D77" s="1292" t="s">
        <v>1005</v>
      </c>
      <c r="E77" s="1292"/>
      <c r="F77" s="1292"/>
    </row>
    <row r="78" spans="1:6" ht="409.5">
      <c r="A78" s="1295" t="s">
        <v>1341</v>
      </c>
      <c r="B78" s="1295" t="s">
        <v>1342</v>
      </c>
      <c r="C78" s="1292"/>
      <c r="D78" s="1292" t="s">
        <v>1005</v>
      </c>
      <c r="E78" s="1292"/>
      <c r="F78" s="1292"/>
    </row>
  </sheetData>
  <mergeCells count="60">
    <mergeCell ref="A74:F74"/>
    <mergeCell ref="B2:D2"/>
    <mergeCell ref="B3:D3"/>
    <mergeCell ref="B4:D4"/>
    <mergeCell ref="B6:D6"/>
    <mergeCell ref="B8:D8"/>
    <mergeCell ref="A10:B10"/>
    <mergeCell ref="A14:B14"/>
    <mergeCell ref="E12:H13"/>
    <mergeCell ref="F14:H14"/>
    <mergeCell ref="F15:H17"/>
    <mergeCell ref="C10:H10"/>
    <mergeCell ref="F18:H20"/>
    <mergeCell ref="F21:H22"/>
    <mergeCell ref="F23:H25"/>
    <mergeCell ref="F26:H26"/>
    <mergeCell ref="A15:B17"/>
    <mergeCell ref="A18:B20"/>
    <mergeCell ref="A21:B22"/>
    <mergeCell ref="A23:B25"/>
    <mergeCell ref="A26:C26"/>
    <mergeCell ref="F38:H38"/>
    <mergeCell ref="F39:H39"/>
    <mergeCell ref="A27:B29"/>
    <mergeCell ref="A30:B32"/>
    <mergeCell ref="F27:H29"/>
    <mergeCell ref="F30:H32"/>
    <mergeCell ref="F33:H33"/>
    <mergeCell ref="F53:H53"/>
    <mergeCell ref="A49:B50"/>
    <mergeCell ref="A51:B53"/>
    <mergeCell ref="A54:B54"/>
    <mergeCell ref="A33:B33"/>
    <mergeCell ref="A34:B34"/>
    <mergeCell ref="A35:B36"/>
    <mergeCell ref="A37:B39"/>
    <mergeCell ref="A40:B42"/>
    <mergeCell ref="A43:C43"/>
    <mergeCell ref="A44:C44"/>
    <mergeCell ref="F34:H34"/>
    <mergeCell ref="F35:H36"/>
    <mergeCell ref="F37:H37"/>
    <mergeCell ref="A45:B48"/>
    <mergeCell ref="F48:H48"/>
    <mergeCell ref="I13:M13"/>
    <mergeCell ref="N13:R13"/>
    <mergeCell ref="S13:W13"/>
    <mergeCell ref="D63:D64"/>
    <mergeCell ref="F54:H54"/>
    <mergeCell ref="F40:H41"/>
    <mergeCell ref="F42:H42"/>
    <mergeCell ref="F43:H43"/>
    <mergeCell ref="F44:H44"/>
    <mergeCell ref="F45:H45"/>
    <mergeCell ref="F46:H46"/>
    <mergeCell ref="F47:H47"/>
    <mergeCell ref="F49:H49"/>
    <mergeCell ref="F50:H50"/>
    <mergeCell ref="F51:H51"/>
    <mergeCell ref="F52:H52"/>
  </mergeCells>
  <hyperlinks>
    <hyperlink ref="J2" location="SOMMAIRE!A1" display="Retour sommaire"/>
    <hyperlink ref="J4" location="SYNTHESE!A1" display="Retour synthès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0"/>
  <sheetViews>
    <sheetView topLeftCell="A38" workbookViewId="0">
      <selection activeCell="A46" sqref="A46:F70"/>
    </sheetView>
  </sheetViews>
  <sheetFormatPr baseColWidth="10" defaultRowHeight="15"/>
  <cols>
    <col min="2" max="2" width="12.28515625" customWidth="1"/>
    <col min="3" max="3" width="49" customWidth="1"/>
    <col min="4" max="4" width="51.140625" customWidth="1"/>
    <col min="5" max="5" width="41.42578125" customWidth="1"/>
    <col min="6" max="6" width="68.5703125" customWidth="1"/>
  </cols>
  <sheetData>
    <row r="1" spans="1:6">
      <c r="A1" s="1630" t="s">
        <v>4</v>
      </c>
      <c r="B1" s="1630" t="s">
        <v>1644</v>
      </c>
      <c r="C1" s="1630" t="s">
        <v>119</v>
      </c>
      <c r="D1" s="1630" t="s">
        <v>120</v>
      </c>
      <c r="E1" s="1630" t="s">
        <v>422</v>
      </c>
      <c r="F1" s="1630" t="s">
        <v>423</v>
      </c>
    </row>
    <row r="2" spans="1:6" ht="30">
      <c r="A2" s="1628" t="s">
        <v>196</v>
      </c>
      <c r="B2" s="1628" t="s">
        <v>1616</v>
      </c>
      <c r="C2" s="1628" t="s">
        <v>124</v>
      </c>
      <c r="D2" s="1628" t="s">
        <v>222</v>
      </c>
      <c r="E2" s="1628" t="s">
        <v>424</v>
      </c>
      <c r="F2" s="1750" t="s">
        <v>459</v>
      </c>
    </row>
    <row r="3" spans="1:6" ht="109.5" customHeight="1">
      <c r="A3" s="1628" t="s">
        <v>182</v>
      </c>
      <c r="B3" s="1628" t="s">
        <v>1616</v>
      </c>
      <c r="C3" s="1628" t="s">
        <v>49</v>
      </c>
      <c r="D3" s="1628" t="s">
        <v>49</v>
      </c>
      <c r="E3" s="1628" t="s">
        <v>440</v>
      </c>
      <c r="F3" s="1750"/>
    </row>
    <row r="4" spans="1:6" ht="45.75" customHeight="1">
      <c r="A4" s="1628" t="s">
        <v>273</v>
      </c>
      <c r="B4" s="1628" t="s">
        <v>273</v>
      </c>
      <c r="C4" s="1628" t="s">
        <v>413</v>
      </c>
      <c r="D4" s="1628" t="s">
        <v>47</v>
      </c>
      <c r="E4" s="1628" t="s">
        <v>450</v>
      </c>
      <c r="F4" s="1628" t="s">
        <v>433</v>
      </c>
    </row>
    <row r="5" spans="1:6" ht="30">
      <c r="A5" s="1628" t="s">
        <v>192</v>
      </c>
      <c r="B5" s="1628" t="s">
        <v>1616</v>
      </c>
      <c r="C5" s="1628" t="s">
        <v>70</v>
      </c>
      <c r="D5" s="1628" t="s">
        <v>71</v>
      </c>
      <c r="E5" s="1628" t="s">
        <v>454</v>
      </c>
      <c r="F5" s="1750" t="s">
        <v>460</v>
      </c>
    </row>
    <row r="6" spans="1:6" ht="64.5" customHeight="1">
      <c r="A6" s="1628" t="s">
        <v>183</v>
      </c>
      <c r="B6" s="1628" t="s">
        <v>183</v>
      </c>
      <c r="C6" s="1628" t="s">
        <v>74</v>
      </c>
      <c r="D6" s="1628" t="s">
        <v>339</v>
      </c>
      <c r="E6" s="1628" t="s">
        <v>448</v>
      </c>
      <c r="F6" s="1750"/>
    </row>
    <row r="7" spans="1:6">
      <c r="A7" s="1750" t="s">
        <v>218</v>
      </c>
      <c r="B7" s="1628" t="s">
        <v>218</v>
      </c>
      <c r="C7" s="1750" t="s">
        <v>162</v>
      </c>
      <c r="D7" s="1628" t="s">
        <v>1617</v>
      </c>
      <c r="E7" s="1750" t="s">
        <v>435</v>
      </c>
      <c r="F7" s="1750" t="s">
        <v>433</v>
      </c>
    </row>
    <row r="8" spans="1:6" ht="21.75" customHeight="1">
      <c r="A8" s="1750"/>
      <c r="B8" s="1628" t="s">
        <v>1192</v>
      </c>
      <c r="C8" s="1750"/>
      <c r="D8" s="1628" t="s">
        <v>1618</v>
      </c>
      <c r="E8" s="1750"/>
      <c r="F8" s="1750"/>
    </row>
    <row r="9" spans="1:6" ht="99" customHeight="1">
      <c r="A9" s="1628" t="s">
        <v>187</v>
      </c>
      <c r="B9" s="1628" t="s">
        <v>187</v>
      </c>
      <c r="C9" s="1628" t="s">
        <v>82</v>
      </c>
      <c r="D9" s="1628" t="s">
        <v>63</v>
      </c>
      <c r="E9" s="1628" t="s">
        <v>439</v>
      </c>
      <c r="F9" s="1628" t="s">
        <v>460</v>
      </c>
    </row>
    <row r="10" spans="1:6" ht="30">
      <c r="A10" s="1750" t="s">
        <v>226</v>
      </c>
      <c r="B10" s="1628" t="s">
        <v>913</v>
      </c>
      <c r="C10" s="1750" t="s">
        <v>146</v>
      </c>
      <c r="D10" s="1628" t="s">
        <v>1619</v>
      </c>
      <c r="E10" s="1750" t="s">
        <v>447</v>
      </c>
      <c r="F10" s="1750"/>
    </row>
    <row r="11" spans="1:6" ht="30">
      <c r="A11" s="1750"/>
      <c r="B11" s="1628" t="s">
        <v>914</v>
      </c>
      <c r="C11" s="1750"/>
      <c r="D11" s="1628" t="s">
        <v>1620</v>
      </c>
      <c r="E11" s="1750"/>
      <c r="F11" s="1750"/>
    </row>
    <row r="12" spans="1:6" ht="38.25" customHeight="1">
      <c r="A12" s="1628" t="s">
        <v>185</v>
      </c>
      <c r="B12" s="1628" t="s">
        <v>185</v>
      </c>
      <c r="C12" s="1628" t="s">
        <v>79</v>
      </c>
      <c r="D12" s="1628" t="s">
        <v>61</v>
      </c>
      <c r="E12" s="1750" t="s">
        <v>433</v>
      </c>
      <c r="F12" s="1750"/>
    </row>
    <row r="13" spans="1:6" s="1172" customFormat="1" ht="98.25" customHeight="1">
      <c r="A13" s="1628" t="s">
        <v>403</v>
      </c>
      <c r="B13" s="1628" t="s">
        <v>403</v>
      </c>
      <c r="C13" s="1628" t="s">
        <v>404</v>
      </c>
      <c r="D13" s="1628" t="s">
        <v>405</v>
      </c>
      <c r="E13" s="1628" t="s">
        <v>453</v>
      </c>
      <c r="F13" s="1628" t="s">
        <v>460</v>
      </c>
    </row>
    <row r="14" spans="1:6" ht="36.75" customHeight="1">
      <c r="A14" s="1628" t="s">
        <v>186</v>
      </c>
      <c r="B14" s="1628" t="s">
        <v>1616</v>
      </c>
      <c r="C14" s="1628" t="s">
        <v>80</v>
      </c>
      <c r="D14" s="1628" t="s">
        <v>173</v>
      </c>
      <c r="E14" s="1628" t="s">
        <v>446</v>
      </c>
      <c r="F14" s="1628" t="s">
        <v>433</v>
      </c>
    </row>
    <row r="15" spans="1:6" ht="45">
      <c r="A15" s="1628" t="s">
        <v>1170</v>
      </c>
      <c r="B15" s="1628" t="s">
        <v>915</v>
      </c>
      <c r="C15" s="1628" t="s">
        <v>1226</v>
      </c>
      <c r="D15" s="1628" t="s">
        <v>1228</v>
      </c>
      <c r="E15" s="1628" t="s">
        <v>1227</v>
      </c>
      <c r="F15" s="1628" t="s">
        <v>1125</v>
      </c>
    </row>
    <row r="16" spans="1:6" ht="47.25" customHeight="1">
      <c r="A16" s="1750" t="s">
        <v>189</v>
      </c>
      <c r="B16" s="1628" t="s">
        <v>189</v>
      </c>
      <c r="C16" s="1750" t="s">
        <v>65</v>
      </c>
      <c r="D16" s="1628" t="s">
        <v>1621</v>
      </c>
      <c r="E16" s="1750" t="s">
        <v>430</v>
      </c>
      <c r="F16" s="1750" t="s">
        <v>460</v>
      </c>
    </row>
    <row r="17" spans="1:6" ht="47.25" customHeight="1">
      <c r="A17" s="1750"/>
      <c r="B17" s="1628" t="s">
        <v>1204</v>
      </c>
      <c r="C17" s="1750"/>
      <c r="D17" s="1628" t="s">
        <v>1622</v>
      </c>
      <c r="E17" s="1750"/>
      <c r="F17" s="1750"/>
    </row>
    <row r="18" spans="1:6" ht="34.5" customHeight="1">
      <c r="A18" s="1628" t="s">
        <v>190</v>
      </c>
      <c r="B18" s="1628" t="s">
        <v>190</v>
      </c>
      <c r="C18" s="1628" t="s">
        <v>417</v>
      </c>
      <c r="D18" s="1628" t="s">
        <v>418</v>
      </c>
      <c r="E18" s="1628" t="s">
        <v>443</v>
      </c>
      <c r="F18" s="1628" t="s">
        <v>1649</v>
      </c>
    </row>
    <row r="19" spans="1:6">
      <c r="A19" s="1628" t="s">
        <v>191</v>
      </c>
      <c r="B19" s="1628" t="s">
        <v>191</v>
      </c>
      <c r="C19" s="1628" t="s">
        <v>68</v>
      </c>
      <c r="D19" s="1628" t="s">
        <v>68</v>
      </c>
      <c r="E19" s="1628" t="s">
        <v>442</v>
      </c>
      <c r="F19" s="1750" t="s">
        <v>460</v>
      </c>
    </row>
    <row r="20" spans="1:6" ht="72.75" customHeight="1">
      <c r="A20" s="1628" t="s">
        <v>197</v>
      </c>
      <c r="B20" s="1628" t="s">
        <v>1616</v>
      </c>
      <c r="C20" s="1628" t="s">
        <v>125</v>
      </c>
      <c r="D20" s="1628" t="s">
        <v>125</v>
      </c>
      <c r="E20" s="1628" t="s">
        <v>452</v>
      </c>
      <c r="F20" s="1750"/>
    </row>
    <row r="21" spans="1:6" ht="30">
      <c r="A21" s="1628" t="s">
        <v>209</v>
      </c>
      <c r="B21" s="1628" t="s">
        <v>209</v>
      </c>
      <c r="C21" s="1628" t="s">
        <v>147</v>
      </c>
      <c r="D21" s="1628" t="s">
        <v>227</v>
      </c>
      <c r="E21" s="1750" t="s">
        <v>437</v>
      </c>
      <c r="F21" s="1750"/>
    </row>
    <row r="22" spans="1:6" ht="30">
      <c r="A22" s="1628" t="s">
        <v>348</v>
      </c>
      <c r="B22" s="1628" t="s">
        <v>1178</v>
      </c>
      <c r="C22" s="1628" t="s">
        <v>147</v>
      </c>
      <c r="D22" s="1628" t="s">
        <v>1623</v>
      </c>
      <c r="E22" s="1750"/>
      <c r="F22" s="1750"/>
    </row>
    <row r="23" spans="1:6" ht="32.25" customHeight="1">
      <c r="A23" s="1628" t="s">
        <v>210</v>
      </c>
      <c r="B23" s="1628" t="s">
        <v>210</v>
      </c>
      <c r="C23" s="1628" t="s">
        <v>147</v>
      </c>
      <c r="D23" s="1628" t="s">
        <v>228</v>
      </c>
      <c r="E23" s="1750"/>
      <c r="F23" s="1750"/>
    </row>
    <row r="24" spans="1:6" ht="30">
      <c r="A24" s="1628" t="s">
        <v>200</v>
      </c>
      <c r="B24" s="1628" t="s">
        <v>200</v>
      </c>
      <c r="C24" s="1628" t="s">
        <v>129</v>
      </c>
      <c r="D24" s="1628" t="s">
        <v>135</v>
      </c>
      <c r="E24" s="1750" t="s">
        <v>431</v>
      </c>
      <c r="F24" s="1750"/>
    </row>
    <row r="25" spans="1:6" ht="39.75" customHeight="1">
      <c r="A25" s="1628" t="s">
        <v>180</v>
      </c>
      <c r="B25" s="1628" t="s">
        <v>180</v>
      </c>
      <c r="C25" s="1628" t="s">
        <v>272</v>
      </c>
      <c r="D25" s="1628" t="s">
        <v>171</v>
      </c>
      <c r="E25" s="1628" t="s">
        <v>428</v>
      </c>
      <c r="F25" s="1628" t="s">
        <v>433</v>
      </c>
    </row>
    <row r="26" spans="1:6" ht="30">
      <c r="A26" s="1628" t="s">
        <v>205</v>
      </c>
      <c r="B26" s="1628" t="s">
        <v>205</v>
      </c>
      <c r="C26" s="1628" t="s">
        <v>138</v>
      </c>
      <c r="D26" s="1628" t="s">
        <v>139</v>
      </c>
      <c r="E26" s="1628" t="s">
        <v>445</v>
      </c>
      <c r="F26" s="1750" t="s">
        <v>459</v>
      </c>
    </row>
    <row r="27" spans="1:6" ht="30">
      <c r="A27" s="1628" t="s">
        <v>244</v>
      </c>
      <c r="B27" s="1628" t="s">
        <v>1616</v>
      </c>
      <c r="C27" s="1628" t="s">
        <v>242</v>
      </c>
      <c r="D27" s="1628" t="s">
        <v>243</v>
      </c>
      <c r="E27" s="1628" t="s">
        <v>337</v>
      </c>
      <c r="F27" s="1750"/>
    </row>
    <row r="28" spans="1:6" ht="71.25" customHeight="1">
      <c r="A28" s="1628" t="s">
        <v>204</v>
      </c>
      <c r="B28" s="1628" t="s">
        <v>1616</v>
      </c>
      <c r="C28" s="1628" t="s">
        <v>136</v>
      </c>
      <c r="D28" s="1628" t="s">
        <v>137</v>
      </c>
      <c r="E28" s="1628" t="s">
        <v>441</v>
      </c>
      <c r="F28" s="1750"/>
    </row>
    <row r="29" spans="1:6" ht="30">
      <c r="A29" s="1628" t="s">
        <v>199</v>
      </c>
      <c r="B29" s="1628" t="s">
        <v>199</v>
      </c>
      <c r="C29" s="1628" t="s">
        <v>129</v>
      </c>
      <c r="D29" s="1628" t="s">
        <v>202</v>
      </c>
      <c r="E29" s="1750" t="s">
        <v>432</v>
      </c>
      <c r="F29" s="1750"/>
    </row>
    <row r="30" spans="1:6" ht="106.5" customHeight="1">
      <c r="A30" s="1628" t="s">
        <v>341</v>
      </c>
      <c r="B30" s="1628" t="s">
        <v>1616</v>
      </c>
      <c r="C30" s="1628" t="s">
        <v>342</v>
      </c>
      <c r="D30" s="1628" t="s">
        <v>68</v>
      </c>
      <c r="E30" s="1628" t="s">
        <v>442</v>
      </c>
      <c r="F30" s="1628" t="s">
        <v>460</v>
      </c>
    </row>
    <row r="31" spans="1:6" ht="30">
      <c r="A31" s="1628" t="s">
        <v>201</v>
      </c>
      <c r="B31" s="1628" t="s">
        <v>201</v>
      </c>
      <c r="C31" s="1628" t="s">
        <v>129</v>
      </c>
      <c r="D31" s="1628" t="s">
        <v>203</v>
      </c>
      <c r="E31" s="1750" t="s">
        <v>431</v>
      </c>
      <c r="F31" s="1750"/>
    </row>
    <row r="32" spans="1:6">
      <c r="A32" s="1750" t="s">
        <v>351</v>
      </c>
      <c r="B32" s="1628" t="s">
        <v>917</v>
      </c>
      <c r="C32" s="1750" t="s">
        <v>126</v>
      </c>
      <c r="D32" s="1628" t="s">
        <v>1624</v>
      </c>
      <c r="E32" s="1750" t="s">
        <v>455</v>
      </c>
      <c r="F32" s="1750"/>
    </row>
    <row r="33" spans="1:6">
      <c r="A33" s="1750"/>
      <c r="B33" s="1628" t="s">
        <v>918</v>
      </c>
      <c r="C33" s="1750"/>
      <c r="D33" s="1628" t="s">
        <v>1625</v>
      </c>
      <c r="E33" s="1750"/>
      <c r="F33" s="1750"/>
    </row>
    <row r="34" spans="1:6" ht="30">
      <c r="A34" s="1628" t="s">
        <v>1170</v>
      </c>
      <c r="B34" s="1628" t="s">
        <v>919</v>
      </c>
      <c r="C34" s="1750" t="s">
        <v>78</v>
      </c>
      <c r="D34" s="1628" t="s">
        <v>1626</v>
      </c>
      <c r="E34" s="1750" t="s">
        <v>451</v>
      </c>
      <c r="F34" s="1750"/>
    </row>
    <row r="35" spans="1:6">
      <c r="A35" s="1628" t="s">
        <v>184</v>
      </c>
      <c r="B35" s="1628" t="s">
        <v>184</v>
      </c>
      <c r="C35" s="1750"/>
      <c r="D35" s="1628" t="s">
        <v>177</v>
      </c>
      <c r="E35" s="1750"/>
      <c r="F35" s="1750"/>
    </row>
    <row r="36" spans="1:6">
      <c r="A36" s="1628" t="s">
        <v>336</v>
      </c>
      <c r="B36" s="1628" t="s">
        <v>336</v>
      </c>
      <c r="C36" s="1750"/>
      <c r="D36" s="1628" t="s">
        <v>178</v>
      </c>
      <c r="E36" s="1750"/>
      <c r="F36" s="1750"/>
    </row>
    <row r="37" spans="1:6">
      <c r="A37" s="1628" t="s">
        <v>211</v>
      </c>
      <c r="B37" s="1628" t="s">
        <v>211</v>
      </c>
      <c r="C37" s="1750" t="s">
        <v>148</v>
      </c>
      <c r="D37" s="1628" t="s">
        <v>1627</v>
      </c>
      <c r="E37" s="1750" t="s">
        <v>427</v>
      </c>
      <c r="F37" s="1750"/>
    </row>
    <row r="38" spans="1:6" ht="30">
      <c r="A38" s="1628" t="s">
        <v>212</v>
      </c>
      <c r="B38" s="1628" t="s">
        <v>212</v>
      </c>
      <c r="C38" s="1750"/>
      <c r="D38" s="1628" t="s">
        <v>1628</v>
      </c>
      <c r="E38" s="1750"/>
      <c r="F38" s="1750"/>
    </row>
    <row r="39" spans="1:6" ht="135" customHeight="1">
      <c r="A39" s="1628" t="s">
        <v>215</v>
      </c>
      <c r="B39" s="1628" t="s">
        <v>215</v>
      </c>
      <c r="C39" s="1628" t="s">
        <v>150</v>
      </c>
      <c r="D39" s="1628" t="s">
        <v>1629</v>
      </c>
      <c r="E39" s="1628" t="s">
        <v>436</v>
      </c>
      <c r="F39" s="1628" t="s">
        <v>459</v>
      </c>
    </row>
    <row r="40" spans="1:6">
      <c r="A40" s="1628" t="s">
        <v>207</v>
      </c>
      <c r="B40" s="1628" t="s">
        <v>207</v>
      </c>
      <c r="C40" s="1628" t="s">
        <v>143</v>
      </c>
      <c r="D40" s="1628" t="s">
        <v>224</v>
      </c>
      <c r="E40" s="1750" t="s">
        <v>434</v>
      </c>
      <c r="F40" s="1750"/>
    </row>
    <row r="41" spans="1:6" ht="30">
      <c r="A41" s="1628" t="s">
        <v>208</v>
      </c>
      <c r="B41" s="1628" t="s">
        <v>1616</v>
      </c>
      <c r="C41" s="1628" t="s">
        <v>143</v>
      </c>
      <c r="D41" s="1628" t="s">
        <v>225</v>
      </c>
      <c r="E41" s="1750"/>
      <c r="F41" s="1750"/>
    </row>
    <row r="42" spans="1:6">
      <c r="A42" s="1750" t="s">
        <v>198</v>
      </c>
      <c r="B42" s="1628" t="s">
        <v>920</v>
      </c>
      <c r="C42" s="1750" t="s">
        <v>129</v>
      </c>
      <c r="D42" s="1628" t="s">
        <v>932</v>
      </c>
      <c r="E42" s="1750" t="s">
        <v>431</v>
      </c>
      <c r="F42" s="1750"/>
    </row>
    <row r="43" spans="1:6">
      <c r="A43" s="1750"/>
      <c r="B43" s="1628" t="s">
        <v>921</v>
      </c>
      <c r="C43" s="1750"/>
      <c r="D43" s="1628" t="s">
        <v>1630</v>
      </c>
      <c r="E43" s="1750"/>
      <c r="F43" s="1750"/>
    </row>
    <row r="44" spans="1:6">
      <c r="A44" s="1750"/>
      <c r="B44" s="1628" t="s">
        <v>922</v>
      </c>
      <c r="C44" s="1750"/>
      <c r="D44" s="1628" t="s">
        <v>1631</v>
      </c>
      <c r="E44" s="1750"/>
      <c r="F44" s="1750"/>
    </row>
    <row r="45" spans="1:6">
      <c r="A45" s="1750"/>
      <c r="B45" s="1628" t="s">
        <v>1213</v>
      </c>
      <c r="C45" s="1750"/>
      <c r="D45" s="1628" t="s">
        <v>1224</v>
      </c>
      <c r="E45" s="1750"/>
      <c r="F45" s="1750"/>
    </row>
    <row r="46" spans="1:6" ht="75" customHeight="1">
      <c r="A46" s="1750" t="s">
        <v>206</v>
      </c>
      <c r="B46" s="1628" t="s">
        <v>923</v>
      </c>
      <c r="C46" s="1750" t="s">
        <v>141</v>
      </c>
      <c r="D46" s="1628" t="s">
        <v>935</v>
      </c>
      <c r="E46" s="1750" t="s">
        <v>426</v>
      </c>
      <c r="F46" s="1750" t="s">
        <v>459</v>
      </c>
    </row>
    <row r="47" spans="1:6">
      <c r="A47" s="1750"/>
      <c r="B47" s="1628" t="s">
        <v>924</v>
      </c>
      <c r="C47" s="1750"/>
      <c r="D47" s="1628" t="s">
        <v>1646</v>
      </c>
      <c r="E47" s="1750"/>
      <c r="F47" s="1750"/>
    </row>
    <row r="48" spans="1:6" s="1665" customFormat="1">
      <c r="A48" s="1750"/>
      <c r="B48" s="1664" t="s">
        <v>1611</v>
      </c>
      <c r="C48" s="1750"/>
      <c r="D48" s="1664" t="s">
        <v>1647</v>
      </c>
      <c r="E48" s="1750"/>
      <c r="F48" s="1750"/>
    </row>
    <row r="49" spans="1:6" ht="45" customHeight="1">
      <c r="A49" s="1750"/>
      <c r="B49" s="1628" t="s">
        <v>206</v>
      </c>
      <c r="C49" s="1750"/>
      <c r="D49" s="1628" t="s">
        <v>1632</v>
      </c>
      <c r="E49" s="1750"/>
      <c r="F49" s="1750"/>
    </row>
    <row r="50" spans="1:6" s="1172" customFormat="1" ht="30">
      <c r="A50" s="1628" t="s">
        <v>346</v>
      </c>
      <c r="B50" s="1628" t="s">
        <v>1616</v>
      </c>
      <c r="C50" s="1750" t="s">
        <v>164</v>
      </c>
      <c r="D50" s="1628" t="s">
        <v>938</v>
      </c>
      <c r="E50" s="1750" t="s">
        <v>425</v>
      </c>
      <c r="F50" s="1750"/>
    </row>
    <row r="51" spans="1:6" ht="66" customHeight="1">
      <c r="A51" s="1628" t="s">
        <v>347</v>
      </c>
      <c r="B51" s="1628" t="s">
        <v>347</v>
      </c>
      <c r="C51" s="1750"/>
      <c r="D51" s="1628" t="s">
        <v>938</v>
      </c>
      <c r="E51" s="1750"/>
      <c r="F51" s="1750"/>
    </row>
    <row r="52" spans="1:6" ht="60">
      <c r="A52" s="1628" t="s">
        <v>195</v>
      </c>
      <c r="B52" s="1628" t="s">
        <v>1616</v>
      </c>
      <c r="C52" s="1628" t="s">
        <v>90</v>
      </c>
      <c r="D52" s="1628" t="s">
        <v>221</v>
      </c>
      <c r="E52" s="1628" t="s">
        <v>438</v>
      </c>
      <c r="F52" s="1628" t="s">
        <v>433</v>
      </c>
    </row>
    <row r="53" spans="1:6" ht="120">
      <c r="A53" s="1628" t="s">
        <v>194</v>
      </c>
      <c r="B53" s="1628" t="s">
        <v>194</v>
      </c>
      <c r="C53" s="1628" t="s">
        <v>122</v>
      </c>
      <c r="D53" s="1628" t="s">
        <v>175</v>
      </c>
      <c r="E53" s="1628" t="s">
        <v>444</v>
      </c>
      <c r="F53" s="1628" t="s">
        <v>459</v>
      </c>
    </row>
    <row r="54" spans="1:6">
      <c r="A54" s="1628" t="s">
        <v>213</v>
      </c>
      <c r="B54" s="1628" t="s">
        <v>213</v>
      </c>
      <c r="C54" s="1628" t="s">
        <v>149</v>
      </c>
      <c r="D54" s="1628" t="s">
        <v>232</v>
      </c>
      <c r="E54" s="1750" t="s">
        <v>456</v>
      </c>
      <c r="F54" s="1750"/>
    </row>
    <row r="55" spans="1:6" ht="30">
      <c r="A55" s="1628" t="s">
        <v>214</v>
      </c>
      <c r="B55" s="1628" t="s">
        <v>214</v>
      </c>
      <c r="C55" s="1628" t="s">
        <v>149</v>
      </c>
      <c r="D55" s="1628" t="s">
        <v>231</v>
      </c>
      <c r="E55" s="1750"/>
      <c r="F55" s="1750"/>
    </row>
    <row r="56" spans="1:6" ht="15" customHeight="1">
      <c r="A56" s="1750" t="s">
        <v>343</v>
      </c>
      <c r="B56" s="1628" t="s">
        <v>1193</v>
      </c>
      <c r="C56" s="1750" t="s">
        <v>99</v>
      </c>
      <c r="D56" s="1628" t="s">
        <v>1633</v>
      </c>
      <c r="E56" s="1750" t="s">
        <v>1634</v>
      </c>
      <c r="F56" s="1750" t="s">
        <v>460</v>
      </c>
    </row>
    <row r="57" spans="1:6">
      <c r="A57" s="1750"/>
      <c r="B57" s="1628" t="s">
        <v>1194</v>
      </c>
      <c r="C57" s="1750"/>
      <c r="D57" s="1628" t="s">
        <v>1635</v>
      </c>
      <c r="E57" s="1750"/>
      <c r="F57" s="1750"/>
    </row>
    <row r="58" spans="1:6" ht="32.25" customHeight="1">
      <c r="A58" s="1628" t="s">
        <v>188</v>
      </c>
      <c r="B58" s="1628" t="s">
        <v>1616</v>
      </c>
      <c r="C58" s="1628" t="s">
        <v>82</v>
      </c>
      <c r="D58" s="1628" t="s">
        <v>174</v>
      </c>
      <c r="E58" s="1629" t="s">
        <v>1636</v>
      </c>
      <c r="F58" s="1750"/>
    </row>
    <row r="59" spans="1:6" ht="39.75" customHeight="1">
      <c r="A59" s="1628" t="s">
        <v>219</v>
      </c>
      <c r="B59" s="1628" t="s">
        <v>219</v>
      </c>
      <c r="C59" s="1628" t="s">
        <v>167</v>
      </c>
      <c r="D59" s="1628" t="s">
        <v>1637</v>
      </c>
      <c r="E59" s="1628" t="s">
        <v>457</v>
      </c>
      <c r="F59" s="1750"/>
    </row>
    <row r="60" spans="1:6" ht="50.25" customHeight="1">
      <c r="A60" s="1628" t="s">
        <v>181</v>
      </c>
      <c r="B60" s="1628" t="s">
        <v>181</v>
      </c>
      <c r="C60" s="1628" t="s">
        <v>272</v>
      </c>
      <c r="D60" s="1628" t="s">
        <v>172</v>
      </c>
      <c r="E60" s="1628" t="s">
        <v>428</v>
      </c>
      <c r="F60" s="1628" t="s">
        <v>433</v>
      </c>
    </row>
    <row r="61" spans="1:6" ht="44.25" customHeight="1">
      <c r="A61" s="1628" t="s">
        <v>1170</v>
      </c>
      <c r="B61" s="1628" t="s">
        <v>1225</v>
      </c>
      <c r="C61" s="1628" t="s">
        <v>832</v>
      </c>
      <c r="D61" s="1628" t="s">
        <v>833</v>
      </c>
      <c r="E61" s="1628" t="s">
        <v>1230</v>
      </c>
      <c r="F61" s="1628" t="s">
        <v>1229</v>
      </c>
    </row>
    <row r="62" spans="1:6" ht="30">
      <c r="A62" s="1628" t="s">
        <v>217</v>
      </c>
      <c r="B62" s="1628" t="s">
        <v>1616</v>
      </c>
      <c r="C62" s="1628" t="s">
        <v>158</v>
      </c>
      <c r="D62" s="1628" t="s">
        <v>1638</v>
      </c>
      <c r="E62" s="1628" t="s">
        <v>458</v>
      </c>
      <c r="F62" s="1628" t="s">
        <v>1125</v>
      </c>
    </row>
    <row r="63" spans="1:6" ht="30">
      <c r="A63" s="1628" t="s">
        <v>193</v>
      </c>
      <c r="B63" s="1628" t="s">
        <v>193</v>
      </c>
      <c r="C63" s="1628" t="s">
        <v>70</v>
      </c>
      <c r="D63" s="1628" t="s">
        <v>72</v>
      </c>
      <c r="E63" s="1628" t="s">
        <v>454</v>
      </c>
      <c r="F63" s="1628" t="s">
        <v>1125</v>
      </c>
    </row>
    <row r="64" spans="1:6" ht="43.5" customHeight="1">
      <c r="A64" s="1750" t="s">
        <v>350</v>
      </c>
      <c r="B64" s="1628" t="s">
        <v>350</v>
      </c>
      <c r="C64" s="1751" t="s">
        <v>76</v>
      </c>
      <c r="D64" s="1628" t="s">
        <v>176</v>
      </c>
      <c r="E64" s="1750" t="s">
        <v>1654</v>
      </c>
      <c r="F64" s="1750"/>
    </row>
    <row r="65" spans="1:6" s="1665" customFormat="1" ht="50.25" customHeight="1">
      <c r="A65" s="1750"/>
      <c r="B65" s="1664" t="s">
        <v>1238</v>
      </c>
      <c r="C65" s="1751"/>
      <c r="D65" s="1664" t="s">
        <v>1645</v>
      </c>
      <c r="E65" s="1750"/>
      <c r="F65" s="1750"/>
    </row>
    <row r="66" spans="1:6" ht="120">
      <c r="A66" s="1628" t="s">
        <v>220</v>
      </c>
      <c r="B66" s="1628" t="s">
        <v>220</v>
      </c>
      <c r="C66" s="1628" t="s">
        <v>159</v>
      </c>
      <c r="D66" s="1628" t="s">
        <v>1639</v>
      </c>
      <c r="E66" s="1628" t="s">
        <v>449</v>
      </c>
      <c r="F66" s="1628" t="s">
        <v>459</v>
      </c>
    </row>
    <row r="67" spans="1:6">
      <c r="A67" s="1628" t="s">
        <v>179</v>
      </c>
      <c r="B67" s="1628" t="s">
        <v>179</v>
      </c>
      <c r="C67" s="1628" t="s">
        <v>272</v>
      </c>
      <c r="D67" s="1628" t="s">
        <v>271</v>
      </c>
      <c r="E67" s="1750" t="s">
        <v>428</v>
      </c>
      <c r="F67" s="1750" t="s">
        <v>433</v>
      </c>
    </row>
    <row r="68" spans="1:6" ht="22.5" customHeight="1">
      <c r="A68" s="1628" t="s">
        <v>340</v>
      </c>
      <c r="B68" s="1628" t="s">
        <v>340</v>
      </c>
      <c r="C68" s="1628" t="s">
        <v>272</v>
      </c>
      <c r="D68" s="1628" t="s">
        <v>36</v>
      </c>
      <c r="E68" s="1750"/>
      <c r="F68" s="1750"/>
    </row>
    <row r="69" spans="1:6" ht="101.25" customHeight="1">
      <c r="A69" s="1628" t="s">
        <v>216</v>
      </c>
      <c r="B69" s="1628" t="s">
        <v>1616</v>
      </c>
      <c r="C69" s="1628" t="s">
        <v>161</v>
      </c>
      <c r="D69" s="1628" t="s">
        <v>1640</v>
      </c>
      <c r="E69" s="1628" t="s">
        <v>429</v>
      </c>
      <c r="F69" s="1750" t="s">
        <v>460</v>
      </c>
    </row>
    <row r="70" spans="1:6">
      <c r="A70" s="1628"/>
      <c r="B70" s="1628"/>
      <c r="C70" s="1628"/>
      <c r="D70" s="1628"/>
      <c r="E70" s="1628"/>
      <c r="F70" s="1750"/>
    </row>
  </sheetData>
  <autoFilter ref="A1:F70"/>
  <mergeCells count="48">
    <mergeCell ref="A16:A17"/>
    <mergeCell ref="C16:C17"/>
    <mergeCell ref="F16:F17"/>
    <mergeCell ref="C37:C38"/>
    <mergeCell ref="A7:A8"/>
    <mergeCell ref="C7:C8"/>
    <mergeCell ref="E7:E8"/>
    <mergeCell ref="F7:F8"/>
    <mergeCell ref="A10:A11"/>
    <mergeCell ref="C10:C11"/>
    <mergeCell ref="E10:F11"/>
    <mergeCell ref="E31:F31"/>
    <mergeCell ref="A32:A33"/>
    <mergeCell ref="C32:C33"/>
    <mergeCell ref="C34:C36"/>
    <mergeCell ref="E40:F41"/>
    <mergeCell ref="E16:E17"/>
    <mergeCell ref="F2:F3"/>
    <mergeCell ref="F5:F6"/>
    <mergeCell ref="E12:F12"/>
    <mergeCell ref="F19:F20"/>
    <mergeCell ref="E21:F23"/>
    <mergeCell ref="E24:F24"/>
    <mergeCell ref="F26:F28"/>
    <mergeCell ref="E29:F29"/>
    <mergeCell ref="E32:F33"/>
    <mergeCell ref="E34:F36"/>
    <mergeCell ref="E37:F38"/>
    <mergeCell ref="F69:F70"/>
    <mergeCell ref="C50:C51"/>
    <mergeCell ref="E50:F51"/>
    <mergeCell ref="E54:F55"/>
    <mergeCell ref="A56:A57"/>
    <mergeCell ref="C56:C57"/>
    <mergeCell ref="E56:E57"/>
    <mergeCell ref="A64:A65"/>
    <mergeCell ref="C64:C65"/>
    <mergeCell ref="E64:F65"/>
    <mergeCell ref="F56:F59"/>
    <mergeCell ref="E67:E68"/>
    <mergeCell ref="F67:F68"/>
    <mergeCell ref="A42:A45"/>
    <mergeCell ref="C42:C45"/>
    <mergeCell ref="E42:F45"/>
    <mergeCell ref="A46:A49"/>
    <mergeCell ref="C46:C49"/>
    <mergeCell ref="E46:E49"/>
    <mergeCell ref="F46:F49"/>
  </mergeCells>
  <hyperlinks>
    <hyperlink ref="E58" r:id="rId1" display="service-eau@cc-oisepicarde.fr"/>
  </hyperlinks>
  <pageMargins left="0.7" right="0.7" top="0.75" bottom="0.75" header="0.3" footer="0.3"/>
  <pageSetup paperSize="9" scale="45" orientation="landscape"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7E4FF"/>
  </sheetPr>
  <dimension ref="A1:W78"/>
  <sheetViews>
    <sheetView topLeftCell="A40" zoomScale="120" zoomScaleNormal="120" workbookViewId="0">
      <selection activeCell="F48" sqref="F48:H48"/>
    </sheetView>
  </sheetViews>
  <sheetFormatPr baseColWidth="10" defaultRowHeight="15"/>
  <cols>
    <col min="1" max="1" width="20.42578125" style="8" bestFit="1" customWidth="1"/>
    <col min="2" max="2" width="15.7109375" style="8" customWidth="1"/>
    <col min="3" max="3" width="40" style="8" customWidth="1"/>
    <col min="4" max="4" width="8.140625" style="8" customWidth="1"/>
    <col min="5" max="5" width="8.42578125" style="8" customWidth="1"/>
    <col min="6" max="6" width="16.28515625" style="8" bestFit="1" customWidth="1"/>
    <col min="7" max="7" width="31.7109375" style="8" customWidth="1"/>
    <col min="8" max="8" width="15.140625" bestFit="1" customWidth="1"/>
  </cols>
  <sheetData>
    <row r="1" spans="1:23" ht="15.75" thickBot="1">
      <c r="A1"/>
      <c r="B1"/>
      <c r="C1"/>
      <c r="D1"/>
      <c r="E1"/>
      <c r="F1"/>
      <c r="G1"/>
    </row>
    <row r="2" spans="1:23" ht="15.75" thickBot="1">
      <c r="A2" s="109" t="s">
        <v>0</v>
      </c>
      <c r="B2" s="2029" t="s">
        <v>562</v>
      </c>
      <c r="C2" s="2144"/>
      <c r="D2" s="2145"/>
      <c r="E2" s="110"/>
      <c r="F2" s="110"/>
      <c r="G2" s="111" t="s">
        <v>462</v>
      </c>
      <c r="H2" s="112" t="s">
        <v>14</v>
      </c>
    </row>
    <row r="3" spans="1:23" ht="15.75" customHeight="1" thickBot="1">
      <c r="A3" s="113" t="s">
        <v>344</v>
      </c>
      <c r="B3" s="2029" t="s">
        <v>562</v>
      </c>
      <c r="C3" s="2144"/>
      <c r="D3" s="2145"/>
      <c r="E3" s="110"/>
      <c r="F3" s="110"/>
      <c r="G3" s="114" t="s">
        <v>10</v>
      </c>
      <c r="H3" s="112" t="s">
        <v>16</v>
      </c>
      <c r="J3" s="11" t="s">
        <v>73</v>
      </c>
    </row>
    <row r="4" spans="1:23" ht="15.75" thickBot="1">
      <c r="A4" s="114" t="s">
        <v>3</v>
      </c>
      <c r="B4" s="1823" t="s">
        <v>575</v>
      </c>
      <c r="C4" s="2144"/>
      <c r="D4" s="2145"/>
      <c r="E4" s="115"/>
      <c r="F4" s="110"/>
      <c r="G4" s="116" t="s">
        <v>26</v>
      </c>
      <c r="H4" s="117">
        <v>10</v>
      </c>
    </row>
    <row r="5" spans="1:23" ht="15.75" customHeight="1" thickBot="1">
      <c r="A5" s="110"/>
      <c r="B5" s="110"/>
      <c r="C5" s="110"/>
      <c r="D5" s="110"/>
      <c r="E5" s="110"/>
      <c r="F5" s="110"/>
      <c r="G5" s="110"/>
      <c r="H5" s="110"/>
      <c r="J5" s="13" t="s">
        <v>381</v>
      </c>
    </row>
    <row r="6" spans="1:23" ht="120.75" thickBot="1">
      <c r="A6" s="109" t="s">
        <v>465</v>
      </c>
      <c r="B6" s="1810" t="s">
        <v>1585</v>
      </c>
      <c r="C6" s="2144"/>
      <c r="D6" s="2145"/>
      <c r="E6" s="110"/>
      <c r="F6" s="110"/>
      <c r="G6" s="118" t="s">
        <v>466</v>
      </c>
      <c r="H6" s="178" t="s">
        <v>564</v>
      </c>
    </row>
    <row r="7" spans="1:23" ht="15.75" thickBot="1">
      <c r="A7"/>
      <c r="B7" s="110"/>
      <c r="C7" s="110"/>
      <c r="D7" s="110"/>
      <c r="E7" s="110"/>
      <c r="F7" s="110"/>
      <c r="G7" s="120"/>
      <c r="H7" s="110"/>
    </row>
    <row r="8" spans="1:23" ht="30.75" thickBot="1">
      <c r="A8" s="121" t="s">
        <v>7</v>
      </c>
      <c r="B8" s="1823" t="s">
        <v>576</v>
      </c>
      <c r="C8" s="2144"/>
      <c r="D8" s="2145"/>
      <c r="E8" s="115"/>
      <c r="F8" s="122"/>
      <c r="G8" s="121" t="s">
        <v>469</v>
      </c>
      <c r="H8" s="123" t="s">
        <v>537</v>
      </c>
    </row>
    <row r="9" spans="1:23">
      <c r="A9"/>
      <c r="B9" s="110"/>
      <c r="C9" s="110"/>
      <c r="D9" s="110"/>
      <c r="E9" s="110"/>
      <c r="F9" s="110"/>
      <c r="G9" s="120"/>
      <c r="H9" s="110"/>
    </row>
    <row r="10" spans="1:23" ht="193.5" customHeight="1">
      <c r="A10" s="2174" t="s">
        <v>471</v>
      </c>
      <c r="B10" s="2148"/>
      <c r="C10" s="1805" t="s">
        <v>577</v>
      </c>
      <c r="D10" s="1805"/>
      <c r="E10" s="1805"/>
      <c r="F10" s="1805"/>
      <c r="G10" s="1805"/>
      <c r="H10" s="1805"/>
      <c r="I10" s="1259"/>
    </row>
    <row r="11" spans="1:23">
      <c r="A11" s="126"/>
      <c r="B11" s="115"/>
      <c r="C11" s="115"/>
      <c r="D11" s="115"/>
      <c r="E11" s="115"/>
      <c r="F11" s="122"/>
      <c r="G11" s="125"/>
      <c r="H11" s="125"/>
    </row>
    <row r="12" spans="1:23">
      <c r="A12" s="126"/>
      <c r="B12" s="115"/>
      <c r="C12" s="115"/>
      <c r="D12" s="115"/>
      <c r="E12" s="2181" t="s">
        <v>473</v>
      </c>
      <c r="F12" s="2148"/>
      <c r="G12" s="2148"/>
      <c r="H12" s="2148"/>
    </row>
    <row r="13" spans="1:23" ht="15" customHeight="1">
      <c r="A13" s="110"/>
      <c r="B13" s="110"/>
      <c r="C13" s="110"/>
      <c r="D13" s="110"/>
      <c r="E13" s="2141"/>
      <c r="F13" s="2141"/>
      <c r="G13" s="2141"/>
      <c r="H13" s="2141"/>
      <c r="I13" s="2186">
        <v>2025</v>
      </c>
      <c r="J13" s="2097"/>
      <c r="K13" s="2097"/>
      <c r="L13" s="2097"/>
      <c r="M13" s="2098"/>
      <c r="N13" s="2186">
        <v>2026</v>
      </c>
      <c r="O13" s="2097"/>
      <c r="P13" s="2097"/>
      <c r="Q13" s="2097"/>
      <c r="R13" s="2098"/>
      <c r="S13" s="2186">
        <v>2027</v>
      </c>
      <c r="T13" s="2097"/>
      <c r="U13" s="2097"/>
      <c r="V13" s="2097"/>
      <c r="W13" s="2098"/>
    </row>
    <row r="14" spans="1:23" ht="45.75" thickBot="1">
      <c r="A14" s="2184" t="s">
        <v>5</v>
      </c>
      <c r="B14" s="2137"/>
      <c r="C14" s="128" t="s">
        <v>1</v>
      </c>
      <c r="D14" s="128" t="s">
        <v>260</v>
      </c>
      <c r="E14" s="129" t="s">
        <v>474</v>
      </c>
      <c r="F14" s="2182" t="s">
        <v>6</v>
      </c>
      <c r="G14" s="2097"/>
      <c r="H14" s="2098"/>
      <c r="I14" s="615" t="s">
        <v>474</v>
      </c>
      <c r="J14" s="616" t="s">
        <v>944</v>
      </c>
      <c r="K14" s="617" t="s">
        <v>945</v>
      </c>
      <c r="L14" s="616" t="s">
        <v>946</v>
      </c>
      <c r="M14" s="618" t="s">
        <v>947</v>
      </c>
      <c r="N14" s="615" t="s">
        <v>474</v>
      </c>
      <c r="O14" s="616" t="s">
        <v>944</v>
      </c>
      <c r="P14" s="617" t="s">
        <v>945</v>
      </c>
      <c r="Q14" s="616" t="s">
        <v>946</v>
      </c>
      <c r="R14" s="618" t="s">
        <v>947</v>
      </c>
      <c r="S14" s="615" t="s">
        <v>474</v>
      </c>
      <c r="T14" s="616" t="s">
        <v>944</v>
      </c>
      <c r="U14" s="617" t="s">
        <v>945</v>
      </c>
      <c r="V14" s="616" t="s">
        <v>946</v>
      </c>
      <c r="W14" s="618" t="s">
        <v>947</v>
      </c>
    </row>
    <row r="15" spans="1:23" ht="30" customHeight="1">
      <c r="A15" s="2183" t="s">
        <v>17</v>
      </c>
      <c r="B15" s="2140"/>
      <c r="C15" s="130" t="s">
        <v>59</v>
      </c>
      <c r="D15" s="131" t="s">
        <v>251</v>
      </c>
      <c r="E15" s="132"/>
      <c r="F15" s="1828" t="s">
        <v>475</v>
      </c>
      <c r="G15" s="2140"/>
      <c r="H15" s="2137"/>
      <c r="I15" s="619"/>
      <c r="J15" s="620"/>
      <c r="K15" s="620"/>
      <c r="L15" s="620"/>
      <c r="M15" s="621"/>
      <c r="N15" s="619"/>
      <c r="O15" s="620"/>
      <c r="P15" s="620"/>
      <c r="Q15" s="620"/>
      <c r="R15" s="621"/>
      <c r="S15" s="619"/>
      <c r="T15" s="620"/>
      <c r="U15" s="620"/>
      <c r="V15" s="620"/>
      <c r="W15" s="622"/>
    </row>
    <row r="16" spans="1:23" ht="27.75" customHeight="1">
      <c r="A16" s="2148"/>
      <c r="B16" s="2148"/>
      <c r="C16" s="133" t="s">
        <v>18</v>
      </c>
      <c r="D16" s="134" t="s">
        <v>168</v>
      </c>
      <c r="E16" s="135"/>
      <c r="F16" s="1845"/>
      <c r="G16" s="1845"/>
      <c r="H16" s="2139"/>
      <c r="I16" s="623"/>
      <c r="J16" s="624"/>
      <c r="K16" s="624"/>
      <c r="L16" s="624"/>
      <c r="M16" s="624"/>
      <c r="N16" s="623"/>
      <c r="O16" s="624"/>
      <c r="P16" s="624"/>
      <c r="Q16" s="624"/>
      <c r="R16" s="624"/>
      <c r="S16" s="623"/>
      <c r="T16" s="624"/>
      <c r="U16" s="624"/>
      <c r="V16" s="624"/>
      <c r="W16" s="625"/>
    </row>
    <row r="17" spans="1:23" ht="27.75" customHeight="1" thickBot="1">
      <c r="A17" s="2141"/>
      <c r="B17" s="2141"/>
      <c r="C17" s="136" t="s">
        <v>19</v>
      </c>
      <c r="D17" s="137" t="s">
        <v>233</v>
      </c>
      <c r="E17" s="138"/>
      <c r="F17" s="2141"/>
      <c r="G17" s="2141"/>
      <c r="H17" s="2142"/>
      <c r="I17" s="326"/>
      <c r="J17" s="624"/>
      <c r="K17" s="624"/>
      <c r="L17" s="624"/>
      <c r="M17" s="624"/>
      <c r="N17" s="326"/>
      <c r="O17" s="624"/>
      <c r="P17" s="624"/>
      <c r="Q17" s="624"/>
      <c r="R17" s="624"/>
      <c r="S17" s="326"/>
      <c r="T17" s="624"/>
      <c r="U17" s="624"/>
      <c r="V17" s="624"/>
      <c r="W17" s="625"/>
    </row>
    <row r="18" spans="1:23" ht="25.5" customHeight="1">
      <c r="A18" s="2183" t="s">
        <v>20</v>
      </c>
      <c r="B18" s="2140"/>
      <c r="C18" s="130" t="s">
        <v>54</v>
      </c>
      <c r="D18" s="137" t="s">
        <v>261</v>
      </c>
      <c r="E18" s="138"/>
      <c r="F18" s="1828" t="s">
        <v>567</v>
      </c>
      <c r="G18" s="2140"/>
      <c r="H18" s="2137"/>
      <c r="I18" s="326"/>
      <c r="J18" s="624"/>
      <c r="K18" s="624"/>
      <c r="L18" s="624"/>
      <c r="M18" s="624"/>
      <c r="N18" s="326"/>
      <c r="O18" s="624"/>
      <c r="P18" s="624"/>
      <c r="Q18" s="624"/>
      <c r="R18" s="624"/>
      <c r="S18" s="326"/>
      <c r="T18" s="624"/>
      <c r="U18" s="624"/>
      <c r="V18" s="624"/>
      <c r="W18" s="625"/>
    </row>
    <row r="19" spans="1:23" ht="30" customHeight="1">
      <c r="A19" s="2148"/>
      <c r="B19" s="2148"/>
      <c r="C19" s="139" t="s">
        <v>21</v>
      </c>
      <c r="D19" s="137" t="s">
        <v>234</v>
      </c>
      <c r="E19" s="138" t="s">
        <v>277</v>
      </c>
      <c r="F19" s="1845"/>
      <c r="G19" s="1845"/>
      <c r="H19" s="2139"/>
      <c r="I19" s="326" t="s">
        <v>277</v>
      </c>
      <c r="J19" s="624">
        <v>6</v>
      </c>
      <c r="K19" s="624"/>
      <c r="L19" s="624">
        <v>300</v>
      </c>
      <c r="M19" s="624">
        <f>L19*201*5</f>
        <v>301500</v>
      </c>
      <c r="N19" s="326" t="s">
        <v>277</v>
      </c>
      <c r="O19" s="624">
        <v>4</v>
      </c>
      <c r="P19" s="624"/>
      <c r="Q19" s="624">
        <v>200</v>
      </c>
      <c r="R19" s="624">
        <f>Q19*201*5</f>
        <v>201000</v>
      </c>
      <c r="S19" s="326" t="s">
        <v>277</v>
      </c>
      <c r="T19" s="624">
        <v>4</v>
      </c>
      <c r="U19" s="624"/>
      <c r="V19" s="624">
        <v>200</v>
      </c>
      <c r="W19" s="625">
        <f>V19*201*5</f>
        <v>201000</v>
      </c>
    </row>
    <row r="20" spans="1:23" ht="15" customHeight="1" thickBot="1">
      <c r="A20" s="2148"/>
      <c r="B20" s="2148"/>
      <c r="C20" s="136" t="s">
        <v>22</v>
      </c>
      <c r="D20" s="137" t="s">
        <v>235</v>
      </c>
      <c r="E20" s="138" t="s">
        <v>277</v>
      </c>
      <c r="F20" s="2141"/>
      <c r="G20" s="2141"/>
      <c r="H20" s="2142"/>
      <c r="I20" s="326" t="s">
        <v>277</v>
      </c>
      <c r="J20" s="624">
        <v>4</v>
      </c>
      <c r="K20" s="624">
        <v>4</v>
      </c>
      <c r="L20" s="624">
        <v>200</v>
      </c>
      <c r="M20" s="624">
        <f>L20*306*5</f>
        <v>306000</v>
      </c>
      <c r="N20" s="326" t="s">
        <v>277</v>
      </c>
      <c r="O20" s="624">
        <v>2</v>
      </c>
      <c r="P20" s="624">
        <v>2</v>
      </c>
      <c r="Q20" s="624">
        <v>100</v>
      </c>
      <c r="R20" s="624">
        <f>Q20*306*5</f>
        <v>153000</v>
      </c>
      <c r="S20" s="326" t="s">
        <v>277</v>
      </c>
      <c r="T20" s="624">
        <v>2</v>
      </c>
      <c r="U20" s="624">
        <v>2</v>
      </c>
      <c r="V20" s="624">
        <v>100</v>
      </c>
      <c r="W20" s="625">
        <f>V20*306*5</f>
        <v>153000</v>
      </c>
    </row>
    <row r="21" spans="1:23" ht="15" customHeight="1">
      <c r="A21" s="2183" t="s">
        <v>23</v>
      </c>
      <c r="B21" s="2140"/>
      <c r="C21" s="140" t="s">
        <v>69</v>
      </c>
      <c r="D21" s="137" t="s">
        <v>267</v>
      </c>
      <c r="E21" s="138"/>
      <c r="F21" s="1828" t="s">
        <v>477</v>
      </c>
      <c r="G21" s="2140"/>
      <c r="H21" s="2137"/>
      <c r="I21" s="326"/>
      <c r="J21" s="624"/>
      <c r="K21" s="624"/>
      <c r="L21" s="624"/>
      <c r="M21" s="624"/>
      <c r="N21" s="326"/>
      <c r="O21" s="624"/>
      <c r="P21" s="624"/>
      <c r="Q21" s="624"/>
      <c r="R21" s="624"/>
      <c r="S21" s="326"/>
      <c r="T21" s="624"/>
      <c r="U21" s="624"/>
      <c r="V21" s="624"/>
      <c r="W21" s="625"/>
    </row>
    <row r="22" spans="1:23" ht="15" customHeight="1" thickBot="1">
      <c r="A22" s="2141"/>
      <c r="B22" s="2141"/>
      <c r="C22" s="141" t="s">
        <v>24</v>
      </c>
      <c r="D22" s="142" t="s">
        <v>236</v>
      </c>
      <c r="E22" s="138"/>
      <c r="F22" s="2141"/>
      <c r="G22" s="2141"/>
      <c r="H22" s="2142"/>
      <c r="I22" s="326"/>
      <c r="J22" s="624"/>
      <c r="K22" s="624"/>
      <c r="L22" s="624"/>
      <c r="M22" s="624"/>
      <c r="N22" s="326"/>
      <c r="O22" s="624"/>
      <c r="P22" s="624"/>
      <c r="Q22" s="624"/>
      <c r="R22" s="624"/>
      <c r="S22" s="326"/>
      <c r="T22" s="624"/>
      <c r="U22" s="624"/>
      <c r="V22" s="624"/>
      <c r="W22" s="625"/>
    </row>
    <row r="23" spans="1:23" ht="15.75">
      <c r="A23" s="2136" t="s">
        <v>478</v>
      </c>
      <c r="B23" s="2137"/>
      <c r="C23" s="143" t="s">
        <v>360</v>
      </c>
      <c r="D23" s="142" t="s">
        <v>265</v>
      </c>
      <c r="E23" s="138"/>
      <c r="F23" s="1828" t="s">
        <v>477</v>
      </c>
      <c r="G23" s="2140"/>
      <c r="H23" s="2137"/>
      <c r="I23" s="326"/>
      <c r="J23" s="624"/>
      <c r="K23" s="624"/>
      <c r="L23" s="624"/>
      <c r="M23" s="624"/>
      <c r="N23" s="326"/>
      <c r="O23" s="624"/>
      <c r="P23" s="624"/>
      <c r="Q23" s="624"/>
      <c r="R23" s="624"/>
      <c r="S23" s="326"/>
      <c r="T23" s="624"/>
      <c r="U23" s="624"/>
      <c r="V23" s="624"/>
      <c r="W23" s="625"/>
    </row>
    <row r="24" spans="1:23" ht="30" customHeight="1">
      <c r="A24" s="2138"/>
      <c r="B24" s="2139"/>
      <c r="C24" s="144" t="s">
        <v>361</v>
      </c>
      <c r="D24" s="142" t="s">
        <v>362</v>
      </c>
      <c r="E24" s="138"/>
      <c r="F24" s="1845"/>
      <c r="G24" s="1845"/>
      <c r="H24" s="2139"/>
      <c r="I24" s="326"/>
      <c r="J24" s="624"/>
      <c r="K24" s="624"/>
      <c r="L24" s="624"/>
      <c r="M24" s="624"/>
      <c r="N24" s="326"/>
      <c r="O24" s="624"/>
      <c r="P24" s="624"/>
      <c r="Q24" s="624"/>
      <c r="R24" s="624"/>
      <c r="S24" s="326"/>
      <c r="T24" s="624"/>
      <c r="U24" s="624"/>
      <c r="V24" s="624"/>
      <c r="W24" s="625"/>
    </row>
    <row r="25" spans="1:23" ht="16.5" thickBot="1">
      <c r="A25" s="2138"/>
      <c r="B25" s="2139"/>
      <c r="C25" s="145" t="s">
        <v>479</v>
      </c>
      <c r="D25" s="142" t="s">
        <v>480</v>
      </c>
      <c r="E25" s="138"/>
      <c r="F25" s="2141"/>
      <c r="G25" s="2141"/>
      <c r="H25" s="2142"/>
      <c r="I25" s="326"/>
      <c r="J25" s="624"/>
      <c r="K25" s="624"/>
      <c r="L25" s="624"/>
      <c r="M25" s="624"/>
      <c r="N25" s="326"/>
      <c r="O25" s="624"/>
      <c r="P25" s="624"/>
      <c r="Q25" s="624"/>
      <c r="R25" s="624"/>
      <c r="S25" s="326"/>
      <c r="T25" s="624"/>
      <c r="U25" s="624"/>
      <c r="V25" s="624"/>
      <c r="W25" s="625"/>
    </row>
    <row r="26" spans="1:23" ht="15.75" thickBot="1">
      <c r="A26" s="2143" t="s">
        <v>25</v>
      </c>
      <c r="B26" s="2144"/>
      <c r="C26" s="2145"/>
      <c r="D26" s="146" t="s">
        <v>270</v>
      </c>
      <c r="E26" s="138"/>
      <c r="F26" s="1818" t="s">
        <v>481</v>
      </c>
      <c r="G26" s="2097"/>
      <c r="H26" s="2098"/>
      <c r="I26" s="326"/>
      <c r="J26" s="624"/>
      <c r="K26" s="624"/>
      <c r="L26" s="624"/>
      <c r="M26" s="624"/>
      <c r="N26" s="326"/>
      <c r="O26" s="624"/>
      <c r="P26" s="624"/>
      <c r="Q26" s="624"/>
      <c r="R26" s="624"/>
      <c r="S26" s="326"/>
      <c r="T26" s="624"/>
      <c r="U26" s="624"/>
      <c r="V26" s="624"/>
      <c r="W26" s="625"/>
    </row>
    <row r="27" spans="1:23" ht="15.75">
      <c r="A27" s="2157" t="s">
        <v>153</v>
      </c>
      <c r="B27" s="2158"/>
      <c r="C27" s="147" t="s">
        <v>152</v>
      </c>
      <c r="D27" s="148" t="s">
        <v>268</v>
      </c>
      <c r="E27" s="138"/>
      <c r="F27" s="1828" t="s">
        <v>475</v>
      </c>
      <c r="G27" s="2140"/>
      <c r="H27" s="2137"/>
      <c r="I27" s="326"/>
      <c r="J27" s="624"/>
      <c r="K27" s="624"/>
      <c r="L27" s="624"/>
      <c r="M27" s="624"/>
      <c r="N27" s="326"/>
      <c r="O27" s="624"/>
      <c r="P27" s="624"/>
      <c r="Q27" s="624"/>
      <c r="R27" s="624"/>
      <c r="S27" s="326"/>
      <c r="T27" s="624"/>
      <c r="U27" s="624"/>
      <c r="V27" s="624"/>
      <c r="W27" s="625"/>
    </row>
    <row r="28" spans="1:23" ht="15.75">
      <c r="A28" s="2138"/>
      <c r="B28" s="2158"/>
      <c r="C28" s="149" t="s">
        <v>154</v>
      </c>
      <c r="D28" s="148" t="s">
        <v>392</v>
      </c>
      <c r="E28" s="138"/>
      <c r="F28" s="1845"/>
      <c r="G28" s="1845"/>
      <c r="H28" s="2139"/>
      <c r="I28" s="326"/>
      <c r="J28" s="624"/>
      <c r="K28" s="624"/>
      <c r="L28" s="624"/>
      <c r="M28" s="624"/>
      <c r="N28" s="326"/>
      <c r="O28" s="624"/>
      <c r="P28" s="624"/>
      <c r="Q28" s="624"/>
      <c r="R28" s="624"/>
      <c r="S28" s="326"/>
      <c r="T28" s="624"/>
      <c r="U28" s="624"/>
      <c r="V28" s="624"/>
      <c r="W28" s="625"/>
    </row>
    <row r="29" spans="1:23" ht="16.5" thickBot="1">
      <c r="A29" s="2149"/>
      <c r="B29" s="2152"/>
      <c r="C29" s="150" t="s">
        <v>400</v>
      </c>
      <c r="D29" s="148" t="s">
        <v>393</v>
      </c>
      <c r="E29" s="138"/>
      <c r="F29" s="2141"/>
      <c r="G29" s="2141"/>
      <c r="H29" s="2142"/>
      <c r="I29" s="326"/>
      <c r="J29" s="624"/>
      <c r="K29" s="624"/>
      <c r="L29" s="624"/>
      <c r="M29" s="624"/>
      <c r="N29" s="326"/>
      <c r="O29" s="624"/>
      <c r="P29" s="624"/>
      <c r="Q29" s="624"/>
      <c r="R29" s="624"/>
      <c r="S29" s="326"/>
      <c r="T29" s="624"/>
      <c r="U29" s="624"/>
      <c r="V29" s="624"/>
      <c r="W29" s="625"/>
    </row>
    <row r="30" spans="1:23" ht="15.75">
      <c r="A30" s="2159" t="s">
        <v>153</v>
      </c>
      <c r="B30" s="2151"/>
      <c r="C30" s="151" t="s">
        <v>155</v>
      </c>
      <c r="D30" s="148" t="s">
        <v>266</v>
      </c>
      <c r="E30" s="138"/>
      <c r="F30" s="1828" t="s">
        <v>475</v>
      </c>
      <c r="G30" s="2140"/>
      <c r="H30" s="2137"/>
      <c r="I30" s="326"/>
      <c r="J30" s="624"/>
      <c r="K30" s="624"/>
      <c r="L30" s="624"/>
      <c r="M30" s="624"/>
      <c r="N30" s="326"/>
      <c r="O30" s="624"/>
      <c r="P30" s="624"/>
      <c r="Q30" s="624"/>
      <c r="R30" s="624"/>
      <c r="S30" s="326"/>
      <c r="T30" s="624"/>
      <c r="U30" s="624"/>
      <c r="V30" s="624"/>
      <c r="W30" s="625"/>
    </row>
    <row r="31" spans="1:23" ht="15.75">
      <c r="A31" s="2138"/>
      <c r="B31" s="2158"/>
      <c r="C31" s="149" t="s">
        <v>156</v>
      </c>
      <c r="D31" s="148" t="s">
        <v>394</v>
      </c>
      <c r="E31" s="138"/>
      <c r="F31" s="1845"/>
      <c r="G31" s="1845"/>
      <c r="H31" s="2139"/>
      <c r="I31" s="326"/>
      <c r="J31" s="624"/>
      <c r="K31" s="624"/>
      <c r="L31" s="624"/>
      <c r="M31" s="624"/>
      <c r="N31" s="326"/>
      <c r="O31" s="624"/>
      <c r="P31" s="624"/>
      <c r="Q31" s="624"/>
      <c r="R31" s="624"/>
      <c r="S31" s="326"/>
      <c r="T31" s="624"/>
      <c r="U31" s="624"/>
      <c r="V31" s="624"/>
      <c r="W31" s="625"/>
    </row>
    <row r="32" spans="1:23" ht="16.5" thickBot="1">
      <c r="A32" s="2149"/>
      <c r="B32" s="2152"/>
      <c r="C32" s="150" t="s">
        <v>399</v>
      </c>
      <c r="D32" s="148" t="s">
        <v>395</v>
      </c>
      <c r="E32" s="138"/>
      <c r="F32" s="2141"/>
      <c r="G32" s="2141"/>
      <c r="H32" s="2142"/>
      <c r="I32" s="326"/>
      <c r="J32" s="624"/>
      <c r="K32" s="624"/>
      <c r="L32" s="624"/>
      <c r="M32" s="624"/>
      <c r="N32" s="326"/>
      <c r="O32" s="624"/>
      <c r="P32" s="624"/>
      <c r="Q32" s="624"/>
      <c r="R32" s="624"/>
      <c r="S32" s="326"/>
      <c r="T32" s="624"/>
      <c r="U32" s="624"/>
      <c r="V32" s="624"/>
      <c r="W32" s="625"/>
    </row>
    <row r="33" spans="1:23" ht="16.5" thickBot="1">
      <c r="A33" s="2159" t="s">
        <v>482</v>
      </c>
      <c r="B33" s="2151"/>
      <c r="C33" s="151" t="s">
        <v>365</v>
      </c>
      <c r="D33" s="148" t="s">
        <v>252</v>
      </c>
      <c r="E33" s="138"/>
      <c r="F33" s="1828" t="s">
        <v>483</v>
      </c>
      <c r="G33" s="2140"/>
      <c r="H33" s="2137"/>
      <c r="I33" s="326"/>
      <c r="J33" s="624"/>
      <c r="K33" s="624"/>
      <c r="L33" s="624"/>
      <c r="M33" s="624"/>
      <c r="N33" s="326"/>
      <c r="O33" s="624"/>
      <c r="P33" s="624"/>
      <c r="Q33" s="624"/>
      <c r="R33" s="624"/>
      <c r="S33" s="326"/>
      <c r="T33" s="624"/>
      <c r="U33" s="624"/>
      <c r="V33" s="624"/>
      <c r="W33" s="625"/>
    </row>
    <row r="34" spans="1:23" ht="16.5" thickBot="1">
      <c r="A34" s="2159" t="s">
        <v>484</v>
      </c>
      <c r="B34" s="2151"/>
      <c r="C34" s="151" t="s">
        <v>485</v>
      </c>
      <c r="D34" s="148" t="s">
        <v>264</v>
      </c>
      <c r="E34" s="138"/>
      <c r="F34" s="2160"/>
      <c r="G34" s="2140"/>
      <c r="H34" s="2137"/>
      <c r="I34" s="326"/>
      <c r="J34" s="624"/>
      <c r="K34" s="624"/>
      <c r="L34" s="624"/>
      <c r="M34" s="624"/>
      <c r="N34" s="326"/>
      <c r="O34" s="624"/>
      <c r="P34" s="624"/>
      <c r="Q34" s="624"/>
      <c r="R34" s="624"/>
      <c r="S34" s="326"/>
      <c r="T34" s="624"/>
      <c r="U34" s="624"/>
      <c r="V34" s="624"/>
      <c r="W34" s="625"/>
    </row>
    <row r="35" spans="1:23" ht="15.75">
      <c r="A35" s="2161" t="s">
        <v>486</v>
      </c>
      <c r="B35" s="2151"/>
      <c r="C35" s="152" t="s">
        <v>43</v>
      </c>
      <c r="D35" s="153" t="s">
        <v>256</v>
      </c>
      <c r="E35" s="138"/>
      <c r="F35" s="1828" t="s">
        <v>487</v>
      </c>
      <c r="G35" s="2140"/>
      <c r="H35" s="2137"/>
      <c r="I35" s="326"/>
      <c r="J35" s="624"/>
      <c r="K35" s="624"/>
      <c r="L35" s="624"/>
      <c r="M35" s="624"/>
      <c r="N35" s="326"/>
      <c r="O35" s="624"/>
      <c r="P35" s="624"/>
      <c r="Q35" s="624"/>
      <c r="R35" s="624"/>
      <c r="S35" s="326"/>
      <c r="T35" s="624"/>
      <c r="U35" s="624"/>
      <c r="V35" s="624"/>
      <c r="W35" s="625"/>
    </row>
    <row r="36" spans="1:23" ht="16.5" thickBot="1">
      <c r="A36" s="2149"/>
      <c r="B36" s="2152"/>
      <c r="C36" s="154" t="s">
        <v>60</v>
      </c>
      <c r="D36" s="153" t="s">
        <v>257</v>
      </c>
      <c r="E36" s="138"/>
      <c r="F36" s="2148"/>
      <c r="G36" s="2148"/>
      <c r="H36" s="2139"/>
      <c r="I36" s="326"/>
      <c r="J36" s="624"/>
      <c r="K36" s="624"/>
      <c r="L36" s="624"/>
      <c r="M36" s="624"/>
      <c r="N36" s="326"/>
      <c r="O36" s="624"/>
      <c r="P36" s="624"/>
      <c r="Q36" s="624"/>
      <c r="R36" s="624"/>
      <c r="S36" s="326"/>
      <c r="T36" s="624"/>
      <c r="U36" s="624"/>
      <c r="V36" s="624"/>
      <c r="W36" s="625"/>
    </row>
    <row r="37" spans="1:23" ht="30">
      <c r="A37" s="2165" t="s">
        <v>33</v>
      </c>
      <c r="B37" s="2140"/>
      <c r="C37" s="155" t="s">
        <v>30</v>
      </c>
      <c r="D37" s="156" t="s">
        <v>170</v>
      </c>
      <c r="E37" s="326" t="s">
        <v>277</v>
      </c>
      <c r="F37" s="2381" t="s">
        <v>568</v>
      </c>
      <c r="G37" s="2382"/>
      <c r="H37" s="2382"/>
      <c r="I37" s="326" t="s">
        <v>277</v>
      </c>
      <c r="J37" s="624">
        <v>3</v>
      </c>
      <c r="K37" s="624"/>
      <c r="L37" s="624">
        <v>210</v>
      </c>
      <c r="M37" s="624">
        <f>L37*121*5</f>
        <v>127050</v>
      </c>
      <c r="N37" s="326" t="s">
        <v>277</v>
      </c>
      <c r="O37" s="624">
        <v>3</v>
      </c>
      <c r="P37" s="624"/>
      <c r="Q37" s="624">
        <v>210</v>
      </c>
      <c r="R37" s="624">
        <f>Q37*121*5</f>
        <v>127050</v>
      </c>
      <c r="S37" s="326" t="s">
        <v>277</v>
      </c>
      <c r="T37" s="624">
        <v>2</v>
      </c>
      <c r="U37" s="624"/>
      <c r="V37" s="624">
        <v>120</v>
      </c>
      <c r="W37" s="625">
        <f>V37*121*5</f>
        <v>72600</v>
      </c>
    </row>
    <row r="38" spans="1:23" ht="30">
      <c r="A38" s="2138"/>
      <c r="B38" s="2148"/>
      <c r="C38" s="157" t="s">
        <v>31</v>
      </c>
      <c r="D38" s="156" t="s">
        <v>169</v>
      </c>
      <c r="E38" s="326" t="s">
        <v>277</v>
      </c>
      <c r="F38" s="2381" t="s">
        <v>569</v>
      </c>
      <c r="G38" s="2382"/>
      <c r="H38" s="2382"/>
      <c r="I38" s="326" t="s">
        <v>277</v>
      </c>
      <c r="J38" s="624">
        <v>4</v>
      </c>
      <c r="K38" s="624"/>
      <c r="L38" s="624">
        <v>400</v>
      </c>
      <c r="M38" s="624">
        <f>L38*177*5</f>
        <v>354000</v>
      </c>
      <c r="N38" s="326" t="s">
        <v>277</v>
      </c>
      <c r="O38" s="624">
        <v>3</v>
      </c>
      <c r="P38" s="624"/>
      <c r="Q38" s="624">
        <v>300</v>
      </c>
      <c r="R38" s="624">
        <f>Q38*177*5</f>
        <v>265500</v>
      </c>
      <c r="S38" s="326" t="s">
        <v>277</v>
      </c>
      <c r="T38" s="624">
        <v>2</v>
      </c>
      <c r="U38" s="624"/>
      <c r="V38" s="624">
        <v>120</v>
      </c>
      <c r="W38" s="625">
        <f>V38*177*5</f>
        <v>106200</v>
      </c>
    </row>
    <row r="39" spans="1:23" ht="30.75" thickBot="1">
      <c r="A39" s="2138"/>
      <c r="B39" s="2148"/>
      <c r="C39" s="158" t="s">
        <v>32</v>
      </c>
      <c r="D39" s="156" t="s">
        <v>250</v>
      </c>
      <c r="E39" s="326" t="s">
        <v>277</v>
      </c>
      <c r="F39" s="2381" t="s">
        <v>570</v>
      </c>
      <c r="G39" s="2382"/>
      <c r="H39" s="2382"/>
      <c r="I39" s="326" t="s">
        <v>277</v>
      </c>
      <c r="J39" s="624">
        <v>3</v>
      </c>
      <c r="K39" s="624">
        <v>3</v>
      </c>
      <c r="L39" s="624">
        <v>250</v>
      </c>
      <c r="M39" s="624">
        <f>L39*233*5</f>
        <v>291250</v>
      </c>
      <c r="N39" s="326" t="s">
        <v>277</v>
      </c>
      <c r="O39" s="624">
        <v>2</v>
      </c>
      <c r="P39" s="624">
        <v>2</v>
      </c>
      <c r="Q39" s="624">
        <v>100</v>
      </c>
      <c r="R39" s="624">
        <f>Q39*233*5</f>
        <v>116500</v>
      </c>
      <c r="S39" s="326" t="s">
        <v>277</v>
      </c>
      <c r="T39" s="624">
        <v>1</v>
      </c>
      <c r="U39" s="624"/>
      <c r="V39" s="624">
        <v>80</v>
      </c>
      <c r="W39" s="625">
        <f>V39*233*5</f>
        <v>93200</v>
      </c>
    </row>
    <row r="40" spans="1:23" ht="15.75">
      <c r="A40" s="2169" t="s">
        <v>491</v>
      </c>
      <c r="B40" s="2170"/>
      <c r="C40" s="159" t="s">
        <v>144</v>
      </c>
      <c r="D40" s="160" t="s">
        <v>253</v>
      </c>
      <c r="E40" s="138" t="s">
        <v>277</v>
      </c>
      <c r="F40" s="2075" t="s">
        <v>578</v>
      </c>
      <c r="G40" s="2148"/>
      <c r="H40" s="2139"/>
      <c r="I40" s="326" t="s">
        <v>277</v>
      </c>
      <c r="J40" s="624">
        <v>2</v>
      </c>
      <c r="K40" s="624"/>
      <c r="L40" s="624">
        <v>30</v>
      </c>
      <c r="M40" s="624">
        <f>L40*150*5</f>
        <v>22500</v>
      </c>
      <c r="N40" s="326" t="s">
        <v>277</v>
      </c>
      <c r="O40" s="624">
        <v>2</v>
      </c>
      <c r="P40" s="624"/>
      <c r="Q40" s="624">
        <v>20</v>
      </c>
      <c r="R40" s="624">
        <f>Q40*150*5</f>
        <v>15000</v>
      </c>
      <c r="S40" s="326" t="s">
        <v>277</v>
      </c>
      <c r="T40" s="624">
        <v>2</v>
      </c>
      <c r="U40" s="624"/>
      <c r="V40" s="624">
        <v>20</v>
      </c>
      <c r="W40" s="625">
        <f>V40*150*5</f>
        <v>15000</v>
      </c>
    </row>
    <row r="41" spans="1:23" ht="16.5" thickBot="1">
      <c r="A41" s="2148"/>
      <c r="B41" s="2158"/>
      <c r="C41" s="161" t="s">
        <v>145</v>
      </c>
      <c r="D41" s="160" t="s">
        <v>254</v>
      </c>
      <c r="E41" s="138"/>
      <c r="F41" s="2141"/>
      <c r="G41" s="2141"/>
      <c r="H41" s="2142"/>
      <c r="I41" s="326"/>
      <c r="J41" s="624"/>
      <c r="K41" s="624"/>
      <c r="L41" s="624"/>
      <c r="M41" s="624"/>
      <c r="N41" s="326"/>
      <c r="O41" s="624"/>
      <c r="P41" s="624"/>
      <c r="Q41" s="624"/>
      <c r="R41" s="624"/>
      <c r="S41" s="326"/>
      <c r="T41" s="624"/>
      <c r="U41" s="624"/>
      <c r="V41" s="624"/>
      <c r="W41" s="625"/>
    </row>
    <row r="42" spans="1:23" ht="48" thickBot="1">
      <c r="A42" s="2171"/>
      <c r="B42" s="2172"/>
      <c r="C42" s="162" t="s">
        <v>128</v>
      </c>
      <c r="D42" s="160" t="s">
        <v>262</v>
      </c>
      <c r="E42" s="138" t="s">
        <v>277</v>
      </c>
      <c r="F42" s="2173"/>
      <c r="G42" s="2097"/>
      <c r="H42" s="2098"/>
      <c r="I42" s="326" t="s">
        <v>277</v>
      </c>
      <c r="J42" s="624">
        <v>4</v>
      </c>
      <c r="K42" s="624"/>
      <c r="L42" s="624">
        <v>50</v>
      </c>
      <c r="M42" s="624">
        <f>L42*72*5</f>
        <v>18000</v>
      </c>
      <c r="N42" s="326" t="s">
        <v>277</v>
      </c>
      <c r="O42" s="624">
        <v>6</v>
      </c>
      <c r="P42" s="624"/>
      <c r="Q42" s="624">
        <v>90</v>
      </c>
      <c r="R42" s="624">
        <f>Q42*72*5</f>
        <v>32400</v>
      </c>
      <c r="S42" s="326" t="s">
        <v>277</v>
      </c>
      <c r="T42" s="624">
        <v>6</v>
      </c>
      <c r="U42" s="624"/>
      <c r="V42" s="624">
        <v>90</v>
      </c>
      <c r="W42" s="625">
        <f>V42*72*5</f>
        <v>32400</v>
      </c>
    </row>
    <row r="43" spans="1:23" ht="15.75" thickBot="1">
      <c r="A43" s="2146" t="s">
        <v>493</v>
      </c>
      <c r="B43" s="2144"/>
      <c r="C43" s="2145"/>
      <c r="D43" s="163" t="s">
        <v>237</v>
      </c>
      <c r="E43" s="138"/>
      <c r="F43" s="1818" t="s">
        <v>571</v>
      </c>
      <c r="G43" s="2097"/>
      <c r="H43" s="2098"/>
      <c r="I43" s="326"/>
      <c r="J43" s="624"/>
      <c r="K43" s="624"/>
      <c r="L43" s="624"/>
      <c r="M43" s="624"/>
      <c r="N43" s="326"/>
      <c r="O43" s="624"/>
      <c r="P43" s="624"/>
      <c r="Q43" s="624"/>
      <c r="R43" s="624"/>
      <c r="S43" s="326"/>
      <c r="T43" s="624"/>
      <c r="U43" s="624"/>
      <c r="V43" s="624"/>
      <c r="W43" s="625"/>
    </row>
    <row r="44" spans="1:23" ht="15.75" thickBot="1">
      <c r="A44" s="2146" t="s">
        <v>133</v>
      </c>
      <c r="B44" s="2144"/>
      <c r="C44" s="2145"/>
      <c r="D44" s="163" t="s">
        <v>238</v>
      </c>
      <c r="E44" s="138"/>
      <c r="F44" s="1818" t="s">
        <v>495</v>
      </c>
      <c r="G44" s="2097"/>
      <c r="H44" s="2098"/>
      <c r="I44" s="326"/>
      <c r="J44" s="624"/>
      <c r="K44" s="624"/>
      <c r="L44" s="624"/>
      <c r="M44" s="624"/>
      <c r="N44" s="326"/>
      <c r="O44" s="624"/>
      <c r="P44" s="624"/>
      <c r="Q44" s="624"/>
      <c r="R44" s="624"/>
      <c r="S44" s="326"/>
      <c r="T44" s="624"/>
      <c r="U44" s="624"/>
      <c r="V44" s="624"/>
      <c r="W44" s="625"/>
    </row>
    <row r="45" spans="1:23">
      <c r="A45" s="2147" t="s">
        <v>41</v>
      </c>
      <c r="B45" s="2148"/>
      <c r="C45" s="164" t="s">
        <v>50</v>
      </c>
      <c r="D45" s="165" t="s">
        <v>246</v>
      </c>
      <c r="E45" s="138"/>
      <c r="F45" s="1785"/>
      <c r="G45" s="2097"/>
      <c r="H45" s="2098"/>
      <c r="I45" s="326"/>
      <c r="J45" s="624"/>
      <c r="K45" s="624"/>
      <c r="L45" s="624"/>
      <c r="M45" s="624"/>
      <c r="N45" s="326"/>
      <c r="O45" s="624"/>
      <c r="P45" s="624"/>
      <c r="Q45" s="624"/>
      <c r="R45" s="624"/>
      <c r="S45" s="326"/>
      <c r="T45" s="624"/>
      <c r="U45" s="624"/>
      <c r="V45" s="624"/>
      <c r="W45" s="625"/>
    </row>
    <row r="46" spans="1:23" ht="37.5" customHeight="1">
      <c r="A46" s="2138"/>
      <c r="B46" s="2148"/>
      <c r="C46" s="166" t="s">
        <v>51</v>
      </c>
      <c r="D46" s="165" t="s">
        <v>247</v>
      </c>
      <c r="E46" s="138" t="s">
        <v>277</v>
      </c>
      <c r="F46" s="1785" t="s">
        <v>572</v>
      </c>
      <c r="G46" s="2097"/>
      <c r="H46" s="2098"/>
      <c r="I46" s="326" t="s">
        <v>277</v>
      </c>
      <c r="J46" s="624">
        <v>6</v>
      </c>
      <c r="K46" s="624"/>
      <c r="L46" s="624">
        <v>60</v>
      </c>
      <c r="M46" s="624">
        <f>L46*145*5</f>
        <v>43500</v>
      </c>
      <c r="N46" s="326" t="s">
        <v>277</v>
      </c>
      <c r="O46" s="624">
        <v>4</v>
      </c>
      <c r="P46" s="624"/>
      <c r="Q46" s="624">
        <v>40</v>
      </c>
      <c r="R46" s="624">
        <f>Q46*145*5</f>
        <v>29000</v>
      </c>
      <c r="S46" s="326" t="s">
        <v>277</v>
      </c>
      <c r="T46" s="624">
        <v>2</v>
      </c>
      <c r="U46" s="624"/>
      <c r="V46" s="624">
        <v>15</v>
      </c>
      <c r="W46" s="625">
        <f>V46*145*5</f>
        <v>10875</v>
      </c>
    </row>
    <row r="47" spans="1:23">
      <c r="A47" s="2138"/>
      <c r="B47" s="2148"/>
      <c r="C47" s="166" t="s">
        <v>39</v>
      </c>
      <c r="D47" s="165" t="s">
        <v>248</v>
      </c>
      <c r="E47" s="138" t="s">
        <v>277</v>
      </c>
      <c r="F47" s="1785" t="s">
        <v>573</v>
      </c>
      <c r="G47" s="2097"/>
      <c r="H47" s="2098"/>
      <c r="I47" s="326" t="s">
        <v>277</v>
      </c>
      <c r="J47" s="624">
        <v>8</v>
      </c>
      <c r="K47" s="624"/>
      <c r="L47" s="624">
        <v>110</v>
      </c>
      <c r="M47" s="624">
        <f>L47*200*5</f>
        <v>110000</v>
      </c>
      <c r="N47" s="326" t="s">
        <v>277</v>
      </c>
      <c r="O47" s="624">
        <v>6</v>
      </c>
      <c r="P47" s="624"/>
      <c r="Q47" s="624">
        <v>70</v>
      </c>
      <c r="R47" s="624">
        <f>Q47*200*5</f>
        <v>70000</v>
      </c>
      <c r="S47" s="326" t="s">
        <v>277</v>
      </c>
      <c r="T47" s="624">
        <v>1</v>
      </c>
      <c r="U47" s="624"/>
      <c r="V47" s="624">
        <v>10</v>
      </c>
      <c r="W47" s="625">
        <f>V47*200*5</f>
        <v>10000</v>
      </c>
    </row>
    <row r="48" spans="1:23" ht="15.75" thickBot="1">
      <c r="A48" s="2149"/>
      <c r="B48" s="2141"/>
      <c r="C48" s="167" t="s">
        <v>40</v>
      </c>
      <c r="D48" s="165" t="s">
        <v>249</v>
      </c>
      <c r="E48" s="138" t="s">
        <v>277</v>
      </c>
      <c r="F48" s="1785" t="s">
        <v>574</v>
      </c>
      <c r="G48" s="2097"/>
      <c r="H48" s="2098"/>
      <c r="I48" s="326" t="s">
        <v>277</v>
      </c>
      <c r="J48" s="624">
        <v>2</v>
      </c>
      <c r="K48" s="624"/>
      <c r="L48" s="624">
        <v>40</v>
      </c>
      <c r="M48" s="624">
        <f>L48*254*5</f>
        <v>50800</v>
      </c>
      <c r="N48" s="326" t="s">
        <v>277</v>
      </c>
      <c r="O48" s="624">
        <v>2</v>
      </c>
      <c r="P48" s="624"/>
      <c r="Q48" s="624">
        <v>10</v>
      </c>
      <c r="R48" s="624">
        <f>Q48*254*5</f>
        <v>12700</v>
      </c>
      <c r="S48" s="326" t="s">
        <v>277</v>
      </c>
      <c r="T48" s="624">
        <v>1</v>
      </c>
      <c r="U48" s="624"/>
      <c r="V48" s="624">
        <v>10</v>
      </c>
      <c r="W48" s="625">
        <f>V48*254*5</f>
        <v>12700</v>
      </c>
    </row>
    <row r="49" spans="1:23" ht="15.75">
      <c r="A49" s="2150" t="s">
        <v>130</v>
      </c>
      <c r="B49" s="2151"/>
      <c r="C49" s="159" t="s">
        <v>131</v>
      </c>
      <c r="D49" s="160" t="s">
        <v>255</v>
      </c>
      <c r="E49" s="138"/>
      <c r="F49" s="2153"/>
      <c r="G49" s="2097"/>
      <c r="H49" s="2098"/>
      <c r="I49" s="326"/>
      <c r="J49" s="624"/>
      <c r="K49" s="624"/>
      <c r="L49" s="624"/>
      <c r="M49" s="624"/>
      <c r="N49" s="326"/>
      <c r="O49" s="624"/>
      <c r="P49" s="624"/>
      <c r="Q49" s="624"/>
      <c r="R49" s="624"/>
      <c r="S49" s="326"/>
      <c r="T49" s="624"/>
      <c r="U49" s="624"/>
      <c r="V49" s="624"/>
      <c r="W49" s="625"/>
    </row>
    <row r="50" spans="1:23" ht="48" thickBot="1">
      <c r="A50" s="2149"/>
      <c r="B50" s="2152"/>
      <c r="C50" s="168" t="s">
        <v>132</v>
      </c>
      <c r="D50" s="160" t="s">
        <v>263</v>
      </c>
      <c r="E50" s="138"/>
      <c r="F50" s="2153"/>
      <c r="G50" s="2097"/>
      <c r="H50" s="2098"/>
      <c r="I50" s="326"/>
      <c r="J50" s="624"/>
      <c r="K50" s="624"/>
      <c r="L50" s="624"/>
      <c r="M50" s="624"/>
      <c r="N50" s="326"/>
      <c r="O50" s="624"/>
      <c r="P50" s="624"/>
      <c r="Q50" s="624"/>
      <c r="R50" s="624"/>
      <c r="S50" s="326"/>
      <c r="T50" s="624"/>
      <c r="U50" s="624"/>
      <c r="V50" s="624"/>
      <c r="W50" s="625"/>
    </row>
    <row r="51" spans="1:23">
      <c r="A51" s="2154" t="s">
        <v>42</v>
      </c>
      <c r="B51" s="2140"/>
      <c r="C51" s="169" t="s">
        <v>38</v>
      </c>
      <c r="D51" s="170" t="s">
        <v>239</v>
      </c>
      <c r="E51" s="138"/>
      <c r="F51" s="1818" t="s">
        <v>499</v>
      </c>
      <c r="G51" s="2097"/>
      <c r="H51" s="2098"/>
      <c r="I51" s="326"/>
      <c r="J51" s="624"/>
      <c r="K51" s="624"/>
      <c r="L51" s="624"/>
      <c r="M51" s="624"/>
      <c r="N51" s="326"/>
      <c r="O51" s="624"/>
      <c r="P51" s="624"/>
      <c r="Q51" s="624"/>
      <c r="R51" s="624"/>
      <c r="S51" s="326"/>
      <c r="T51" s="624"/>
      <c r="U51" s="624"/>
      <c r="V51" s="624"/>
      <c r="W51" s="625"/>
    </row>
    <row r="52" spans="1:23">
      <c r="A52" s="2148"/>
      <c r="B52" s="2148"/>
      <c r="C52" s="171" t="s">
        <v>55</v>
      </c>
      <c r="D52" s="170" t="s">
        <v>240</v>
      </c>
      <c r="E52" s="138"/>
      <c r="F52" s="2155"/>
      <c r="G52" s="2097"/>
      <c r="H52" s="2098"/>
      <c r="I52" s="326"/>
      <c r="J52" s="624"/>
      <c r="K52" s="624"/>
      <c r="L52" s="624"/>
      <c r="M52" s="624"/>
      <c r="N52" s="326"/>
      <c r="O52" s="624"/>
      <c r="P52" s="624"/>
      <c r="Q52" s="624"/>
      <c r="R52" s="624"/>
      <c r="S52" s="326"/>
      <c r="T52" s="624"/>
      <c r="U52" s="624"/>
      <c r="V52" s="624"/>
      <c r="W52" s="625"/>
    </row>
    <row r="53" spans="1:23" ht="16.5" thickBot="1">
      <c r="A53" s="2148"/>
      <c r="B53" s="2148"/>
      <c r="C53" s="161" t="s">
        <v>48</v>
      </c>
      <c r="D53" s="172" t="s">
        <v>241</v>
      </c>
      <c r="E53" s="138"/>
      <c r="F53" s="2156"/>
      <c r="G53" s="2097"/>
      <c r="H53" s="2098"/>
      <c r="I53" s="326"/>
      <c r="J53" s="624"/>
      <c r="K53" s="624"/>
      <c r="L53" s="624"/>
      <c r="M53" s="624"/>
      <c r="N53" s="326"/>
      <c r="O53" s="624"/>
      <c r="P53" s="624"/>
      <c r="Q53" s="624"/>
      <c r="R53" s="624"/>
      <c r="S53" s="326"/>
      <c r="T53" s="624"/>
      <c r="U53" s="624"/>
      <c r="V53" s="624"/>
      <c r="W53" s="625"/>
    </row>
    <row r="54" spans="1:23" ht="32.25" thickBot="1">
      <c r="A54" s="2135" t="s">
        <v>500</v>
      </c>
      <c r="B54" s="2097"/>
      <c r="C54" s="173" t="s">
        <v>134</v>
      </c>
      <c r="D54" s="174" t="s">
        <v>269</v>
      </c>
      <c r="E54" s="175"/>
      <c r="F54" s="1818" t="s">
        <v>501</v>
      </c>
      <c r="G54" s="2097"/>
      <c r="H54" s="2098"/>
      <c r="I54" s="626"/>
      <c r="J54" s="627"/>
      <c r="K54" s="627"/>
      <c r="L54" s="627"/>
      <c r="M54" s="627"/>
      <c r="N54" s="626"/>
      <c r="O54" s="627"/>
      <c r="P54" s="627"/>
      <c r="Q54" s="627"/>
      <c r="R54" s="627"/>
      <c r="S54" s="626"/>
      <c r="T54" s="627"/>
      <c r="U54" s="627"/>
      <c r="V54" s="627"/>
      <c r="W54" s="628"/>
    </row>
    <row r="57" spans="1:23">
      <c r="M57">
        <f>SUM(M15:M54)</f>
        <v>1624600</v>
      </c>
    </row>
    <row r="58" spans="1:23" ht="60">
      <c r="A58" s="630" t="s">
        <v>948</v>
      </c>
      <c r="B58" s="630" t="s">
        <v>949</v>
      </c>
      <c r="C58" s="630" t="s">
        <v>950</v>
      </c>
      <c r="D58" s="630" t="s">
        <v>951</v>
      </c>
      <c r="E58" s="630" t="s">
        <v>952</v>
      </c>
      <c r="F58" s="570"/>
      <c r="G58" s="570"/>
    </row>
    <row r="59" spans="1:23">
      <c r="A59" s="686" t="s">
        <v>953</v>
      </c>
      <c r="B59" s="624" t="s">
        <v>954</v>
      </c>
      <c r="C59" s="624">
        <v>6</v>
      </c>
      <c r="D59" s="624">
        <v>3</v>
      </c>
      <c r="E59" s="635" t="s">
        <v>1003</v>
      </c>
      <c r="F59" s="687" t="s">
        <v>1004</v>
      </c>
      <c r="G59" s="570"/>
    </row>
    <row r="60" spans="1:23">
      <c r="A60" s="634" t="s">
        <v>956</v>
      </c>
      <c r="B60" s="624"/>
      <c r="C60" s="624" t="s">
        <v>995</v>
      </c>
      <c r="D60" s="624"/>
      <c r="E60" s="635"/>
      <c r="F60" s="570"/>
      <c r="G60" s="570"/>
    </row>
    <row r="61" spans="1:23">
      <c r="A61" s="634" t="s">
        <v>957</v>
      </c>
      <c r="B61" s="624"/>
      <c r="C61" s="624"/>
      <c r="D61" s="624"/>
      <c r="E61" s="635"/>
      <c r="F61" s="570"/>
      <c r="G61" s="570"/>
    </row>
    <row r="62" spans="1:23">
      <c r="A62" s="686" t="s">
        <v>959</v>
      </c>
      <c r="B62" s="624" t="s">
        <v>954</v>
      </c>
      <c r="C62" s="624"/>
      <c r="D62" s="624">
        <v>2</v>
      </c>
      <c r="E62" s="635" t="s">
        <v>996</v>
      </c>
      <c r="F62" s="570"/>
      <c r="G62" s="570"/>
    </row>
    <row r="63" spans="1:23">
      <c r="A63" s="686" t="s">
        <v>961</v>
      </c>
      <c r="B63" s="624" t="s">
        <v>954</v>
      </c>
      <c r="C63" s="624">
        <v>40</v>
      </c>
      <c r="D63" s="2376">
        <v>60</v>
      </c>
      <c r="E63" s="635" t="s">
        <v>997</v>
      </c>
      <c r="F63" s="2378"/>
      <c r="G63" s="2379"/>
    </row>
    <row r="64" spans="1:23">
      <c r="A64" s="686" t="s">
        <v>963</v>
      </c>
      <c r="B64" s="624" t="s">
        <v>954</v>
      </c>
      <c r="C64" s="624">
        <v>20</v>
      </c>
      <c r="D64" s="2377"/>
      <c r="E64" s="635" t="s">
        <v>998</v>
      </c>
      <c r="F64" s="2380"/>
      <c r="G64" s="2379"/>
    </row>
    <row r="65" spans="1:7">
      <c r="A65" s="686" t="s">
        <v>965</v>
      </c>
      <c r="B65" s="624" t="s">
        <v>954</v>
      </c>
      <c r="C65" s="688" t="s">
        <v>999</v>
      </c>
      <c r="D65" s="624">
        <v>4.5</v>
      </c>
      <c r="E65" s="635" t="s">
        <v>1000</v>
      </c>
      <c r="F65" s="570"/>
      <c r="G65" s="570"/>
    </row>
    <row r="66" spans="1:7">
      <c r="A66" s="634" t="s">
        <v>967</v>
      </c>
      <c r="B66" s="624" t="s">
        <v>1005</v>
      </c>
      <c r="C66" s="624"/>
      <c r="D66" s="624"/>
      <c r="E66" s="635"/>
      <c r="F66" s="570"/>
      <c r="G66" s="570"/>
    </row>
    <row r="67" spans="1:7">
      <c r="A67" s="634" t="s">
        <v>969</v>
      </c>
      <c r="B67" s="624"/>
      <c r="C67" s="624" t="s">
        <v>995</v>
      </c>
      <c r="D67" s="624"/>
      <c r="E67" s="635"/>
      <c r="F67" s="570"/>
      <c r="G67" s="570"/>
    </row>
    <row r="68" spans="1:7">
      <c r="A68" s="686" t="s">
        <v>971</v>
      </c>
      <c r="B68" s="624" t="s">
        <v>954</v>
      </c>
      <c r="C68" s="624">
        <v>21</v>
      </c>
      <c r="D68" s="624">
        <v>10.5</v>
      </c>
      <c r="E68" s="635" t="s">
        <v>1006</v>
      </c>
      <c r="F68" s="570"/>
      <c r="G68" s="570"/>
    </row>
    <row r="69" spans="1:7" ht="150">
      <c r="A69" s="642" t="s">
        <v>1001</v>
      </c>
      <c r="B69" s="624" t="s">
        <v>954</v>
      </c>
      <c r="C69" s="624"/>
      <c r="D69" s="624">
        <v>3</v>
      </c>
      <c r="E69" s="635" t="s">
        <v>996</v>
      </c>
      <c r="F69" s="570"/>
      <c r="G69" s="570"/>
    </row>
    <row r="70" spans="1:7">
      <c r="A70" s="686" t="s">
        <v>1002</v>
      </c>
      <c r="B70" s="624" t="s">
        <v>954</v>
      </c>
      <c r="C70" s="624"/>
      <c r="D70" s="624">
        <v>4.5</v>
      </c>
      <c r="E70" s="635" t="s">
        <v>996</v>
      </c>
      <c r="F70" s="570"/>
      <c r="G70" s="570"/>
    </row>
    <row r="71" spans="1:7">
      <c r="A71" s="686"/>
      <c r="B71" s="624"/>
      <c r="C71" s="624"/>
      <c r="D71" s="624"/>
      <c r="E71" s="635"/>
      <c r="F71" s="570"/>
      <c r="G71" s="570"/>
    </row>
    <row r="74" spans="1:7">
      <c r="A74" s="2311" t="s">
        <v>1270</v>
      </c>
      <c r="B74" s="2312"/>
      <c r="C74" s="2312"/>
      <c r="D74" s="2312"/>
      <c r="E74" s="2312"/>
      <c r="F74" s="2312"/>
    </row>
    <row r="75" spans="1:7" ht="75">
      <c r="A75" s="1297" t="s">
        <v>1271</v>
      </c>
      <c r="B75" s="1297" t="s">
        <v>1272</v>
      </c>
      <c r="C75" s="1297" t="s">
        <v>1273</v>
      </c>
      <c r="D75" s="1297" t="s">
        <v>1274</v>
      </c>
      <c r="E75" s="1297" t="s">
        <v>1275</v>
      </c>
      <c r="F75" s="1297" t="s">
        <v>1276</v>
      </c>
    </row>
    <row r="76" spans="1:7" ht="390">
      <c r="A76" s="1298" t="s">
        <v>1335</v>
      </c>
      <c r="B76" s="1299" t="s">
        <v>1336</v>
      </c>
      <c r="C76" s="1296" t="s">
        <v>1337</v>
      </c>
      <c r="D76" s="1296" t="s">
        <v>954</v>
      </c>
      <c r="E76" s="1296"/>
      <c r="F76" s="1296"/>
    </row>
    <row r="77" spans="1:7" ht="75">
      <c r="A77" s="1296" t="s">
        <v>1338</v>
      </c>
      <c r="B77" s="1299" t="s">
        <v>1339</v>
      </c>
      <c r="C77" s="1296" t="s">
        <v>1340</v>
      </c>
      <c r="D77" s="1296" t="s">
        <v>1005</v>
      </c>
      <c r="E77" s="1296"/>
      <c r="F77" s="1296"/>
    </row>
    <row r="78" spans="1:7" ht="255">
      <c r="A78" s="1299" t="s">
        <v>1341</v>
      </c>
      <c r="B78" s="1299" t="s">
        <v>1342</v>
      </c>
      <c r="C78" s="1296"/>
      <c r="D78" s="1296" t="s">
        <v>1005</v>
      </c>
      <c r="E78" s="1296"/>
      <c r="F78" s="1296"/>
    </row>
  </sheetData>
  <mergeCells count="61">
    <mergeCell ref="A18:B20"/>
    <mergeCell ref="F18:H20"/>
    <mergeCell ref="A21:B22"/>
    <mergeCell ref="A15:B17"/>
    <mergeCell ref="A10:B10"/>
    <mergeCell ref="E12:H13"/>
    <mergeCell ref="A14:B14"/>
    <mergeCell ref="F14:H14"/>
    <mergeCell ref="F15:H17"/>
    <mergeCell ref="C10:H10"/>
    <mergeCell ref="B2:D2"/>
    <mergeCell ref="B3:D3"/>
    <mergeCell ref="B4:D4"/>
    <mergeCell ref="B6:D6"/>
    <mergeCell ref="B8:D8"/>
    <mergeCell ref="A74:F74"/>
    <mergeCell ref="A27:B29"/>
    <mergeCell ref="F27:H29"/>
    <mergeCell ref="A30:B32"/>
    <mergeCell ref="F30:H32"/>
    <mergeCell ref="A33:B33"/>
    <mergeCell ref="F33:H33"/>
    <mergeCell ref="A34:B34"/>
    <mergeCell ref="F34:H34"/>
    <mergeCell ref="A35:B36"/>
    <mergeCell ref="F35:H36"/>
    <mergeCell ref="A37:B39"/>
    <mergeCell ref="A40:B42"/>
    <mergeCell ref="F40:H41"/>
    <mergeCell ref="F42:H42"/>
    <mergeCell ref="A44:C44"/>
    <mergeCell ref="A23:B25"/>
    <mergeCell ref="F23:H25"/>
    <mergeCell ref="A26:C26"/>
    <mergeCell ref="F26:H26"/>
    <mergeCell ref="A43:C43"/>
    <mergeCell ref="F43:H43"/>
    <mergeCell ref="A45:B48"/>
    <mergeCell ref="F45:H45"/>
    <mergeCell ref="F46:H46"/>
    <mergeCell ref="F47:H47"/>
    <mergeCell ref="F48:H48"/>
    <mergeCell ref="A54:B54"/>
    <mergeCell ref="F54:H54"/>
    <mergeCell ref="A49:B50"/>
    <mergeCell ref="F49:H49"/>
    <mergeCell ref="F50:H50"/>
    <mergeCell ref="A51:B53"/>
    <mergeCell ref="F51:H51"/>
    <mergeCell ref="F52:H52"/>
    <mergeCell ref="F53:H53"/>
    <mergeCell ref="I13:M13"/>
    <mergeCell ref="N13:R13"/>
    <mergeCell ref="S13:W13"/>
    <mergeCell ref="D63:D64"/>
    <mergeCell ref="F63:G64"/>
    <mergeCell ref="F21:H22"/>
    <mergeCell ref="F37:H37"/>
    <mergeCell ref="F38:H38"/>
    <mergeCell ref="F39:H39"/>
    <mergeCell ref="F44:H44"/>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3" location="SOMMAIRE!A1" display="Retour sommaire"/>
    <hyperlink ref="J5" location="SYNTHESE!A1" display="Retour synthèse"/>
  </hyperlinks>
  <pageMargins left="0.25" right="0.25" top="0.75" bottom="0.75" header="0.3" footer="0.3"/>
  <pageSetup paperSize="9"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W77"/>
  <sheetViews>
    <sheetView topLeftCell="A40" zoomScale="110" zoomScaleNormal="110" workbookViewId="0">
      <selection activeCell="J40" sqref="J40"/>
    </sheetView>
  </sheetViews>
  <sheetFormatPr baseColWidth="10" defaultRowHeight="15"/>
  <cols>
    <col min="1" max="1" width="20.42578125" style="8" bestFit="1" customWidth="1"/>
    <col min="2" max="2" width="15.7109375" style="8" customWidth="1"/>
    <col min="3" max="3" width="42.85546875" style="8" customWidth="1"/>
    <col min="4" max="4" width="8.140625" style="8" customWidth="1"/>
    <col min="5" max="5" width="8.42578125" style="8" customWidth="1"/>
    <col min="6" max="6" width="16.28515625" style="8" bestFit="1" customWidth="1"/>
    <col min="7" max="7" width="31.7109375" style="8" customWidth="1"/>
    <col min="8" max="8" width="18.28515625" bestFit="1" customWidth="1"/>
  </cols>
  <sheetData>
    <row r="1" spans="1:23" ht="15.75" thickBot="1">
      <c r="A1"/>
      <c r="B1"/>
      <c r="C1"/>
      <c r="D1"/>
      <c r="E1"/>
      <c r="F1"/>
      <c r="G1"/>
    </row>
    <row r="2" spans="1:23" ht="15.75" thickBot="1">
      <c r="A2" s="109" t="s">
        <v>0</v>
      </c>
      <c r="B2" s="2029" t="s">
        <v>562</v>
      </c>
      <c r="C2" s="2144"/>
      <c r="D2" s="2145"/>
      <c r="E2" s="110"/>
      <c r="F2" s="110"/>
      <c r="G2" s="111" t="s">
        <v>462</v>
      </c>
      <c r="H2" s="112" t="s">
        <v>14</v>
      </c>
      <c r="J2" s="11" t="s">
        <v>73</v>
      </c>
      <c r="K2" s="1251"/>
    </row>
    <row r="3" spans="1:23" ht="15.75" customHeight="1" thickBot="1">
      <c r="A3" s="113" t="s">
        <v>344</v>
      </c>
      <c r="B3" s="2029" t="s">
        <v>562</v>
      </c>
      <c r="C3" s="2144"/>
      <c r="D3" s="2145"/>
      <c r="E3" s="110"/>
      <c r="F3" s="110"/>
      <c r="G3" s="114" t="s">
        <v>10</v>
      </c>
      <c r="H3" s="112" t="s">
        <v>16</v>
      </c>
      <c r="J3" s="1251"/>
      <c r="K3" s="1251"/>
    </row>
    <row r="4" spans="1:23" ht="15.75" thickBot="1">
      <c r="A4" s="114" t="s">
        <v>3</v>
      </c>
      <c r="B4" s="1823" t="s">
        <v>579</v>
      </c>
      <c r="C4" s="2144"/>
      <c r="D4" s="2145"/>
      <c r="E4" s="115"/>
      <c r="F4" s="110"/>
      <c r="G4" s="116" t="s">
        <v>26</v>
      </c>
      <c r="H4" s="117">
        <v>9</v>
      </c>
      <c r="J4" s="13" t="s">
        <v>381</v>
      </c>
      <c r="K4" s="1251"/>
    </row>
    <row r="5" spans="1:23" ht="15.75" customHeight="1" thickBot="1">
      <c r="A5" s="110"/>
      <c r="B5" s="110"/>
      <c r="C5" s="110"/>
      <c r="D5" s="110"/>
      <c r="E5" s="110"/>
      <c r="F5" s="110"/>
      <c r="G5" s="110"/>
      <c r="H5" s="110"/>
    </row>
    <row r="6" spans="1:23" ht="105.75" thickBot="1">
      <c r="A6" s="109" t="s">
        <v>465</v>
      </c>
      <c r="B6" s="1810" t="s">
        <v>1586</v>
      </c>
      <c r="C6" s="2144"/>
      <c r="D6" s="2145"/>
      <c r="E6" s="110"/>
      <c r="F6" s="110"/>
      <c r="G6" s="118" t="s">
        <v>466</v>
      </c>
      <c r="H6" s="178" t="s">
        <v>564</v>
      </c>
    </row>
    <row r="7" spans="1:23" ht="15.75" thickBot="1">
      <c r="A7"/>
      <c r="B7" s="110"/>
      <c r="C7" s="110"/>
      <c r="D7" s="110"/>
      <c r="E7" s="110"/>
      <c r="F7" s="110"/>
      <c r="G7" s="120"/>
      <c r="H7" s="110"/>
    </row>
    <row r="8" spans="1:23" ht="30.75" thickBot="1">
      <c r="A8" s="121" t="s">
        <v>7</v>
      </c>
      <c r="B8" s="1823" t="s">
        <v>580</v>
      </c>
      <c r="C8" s="2144"/>
      <c r="D8" s="2145"/>
      <c r="E8" s="115"/>
      <c r="F8" s="122"/>
      <c r="G8" s="121" t="s">
        <v>469</v>
      </c>
      <c r="H8" s="123" t="s">
        <v>551</v>
      </c>
    </row>
    <row r="9" spans="1:23">
      <c r="A9"/>
      <c r="B9" s="110"/>
      <c r="C9" s="110"/>
      <c r="D9" s="110"/>
      <c r="E9" s="110"/>
      <c r="F9" s="110"/>
      <c r="G9" s="120"/>
      <c r="H9" s="110"/>
    </row>
    <row r="10" spans="1:23" ht="114.75" customHeight="1">
      <c r="A10" s="2174" t="s">
        <v>471</v>
      </c>
      <c r="B10" s="2148"/>
      <c r="C10" s="1805" t="s">
        <v>581</v>
      </c>
      <c r="D10" s="1805"/>
      <c r="E10" s="1805"/>
      <c r="F10" s="1805"/>
      <c r="G10" s="1805"/>
      <c r="H10" s="1805"/>
      <c r="I10" s="1259"/>
    </row>
    <row r="11" spans="1:23">
      <c r="A11" s="126"/>
      <c r="B11" s="115"/>
      <c r="C11" s="115"/>
      <c r="D11" s="115"/>
      <c r="E11" s="115"/>
      <c r="F11" s="122"/>
      <c r="G11" s="125"/>
      <c r="H11" s="125"/>
    </row>
    <row r="12" spans="1:23" ht="15" customHeight="1">
      <c r="A12" s="126"/>
      <c r="B12" s="115"/>
      <c r="C12" s="115"/>
      <c r="D12" s="115"/>
      <c r="E12" s="2181" t="s">
        <v>473</v>
      </c>
      <c r="F12" s="2148"/>
      <c r="G12" s="2148"/>
      <c r="H12" s="2148"/>
    </row>
    <row r="13" spans="1:23" ht="15" customHeight="1">
      <c r="A13" s="110"/>
      <c r="B13" s="110"/>
      <c r="C13" s="110"/>
      <c r="D13" s="110"/>
      <c r="E13" s="2141"/>
      <c r="F13" s="2141"/>
      <c r="G13" s="2141"/>
      <c r="H13" s="2141"/>
      <c r="I13" s="2186">
        <v>2025</v>
      </c>
      <c r="J13" s="2097"/>
      <c r="K13" s="2097"/>
      <c r="L13" s="2097"/>
      <c r="M13" s="2098"/>
      <c r="N13" s="2186">
        <v>2026</v>
      </c>
      <c r="O13" s="2097"/>
      <c r="P13" s="2097"/>
      <c r="Q13" s="2097"/>
      <c r="R13" s="2098"/>
      <c r="S13" s="2186">
        <v>2027</v>
      </c>
      <c r="T13" s="2097"/>
      <c r="U13" s="2097"/>
      <c r="V13" s="2097"/>
      <c r="W13" s="2098"/>
    </row>
    <row r="14" spans="1:23" ht="45.75" thickBot="1">
      <c r="A14" s="2184" t="s">
        <v>5</v>
      </c>
      <c r="B14" s="2137"/>
      <c r="C14" s="128" t="s">
        <v>1</v>
      </c>
      <c r="D14" s="128" t="s">
        <v>260</v>
      </c>
      <c r="E14" s="129" t="s">
        <v>474</v>
      </c>
      <c r="F14" s="2182" t="s">
        <v>6</v>
      </c>
      <c r="G14" s="2097"/>
      <c r="H14" s="2098"/>
      <c r="I14" s="615" t="s">
        <v>474</v>
      </c>
      <c r="J14" s="616" t="s">
        <v>944</v>
      </c>
      <c r="K14" s="617" t="s">
        <v>945</v>
      </c>
      <c r="L14" s="616" t="s">
        <v>946</v>
      </c>
      <c r="M14" s="618" t="s">
        <v>947</v>
      </c>
      <c r="N14" s="615" t="s">
        <v>474</v>
      </c>
      <c r="O14" s="616" t="s">
        <v>944</v>
      </c>
      <c r="P14" s="617" t="s">
        <v>945</v>
      </c>
      <c r="Q14" s="616" t="s">
        <v>946</v>
      </c>
      <c r="R14" s="618" t="s">
        <v>947</v>
      </c>
      <c r="S14" s="615" t="s">
        <v>474</v>
      </c>
      <c r="T14" s="616" t="s">
        <v>944</v>
      </c>
      <c r="U14" s="617" t="s">
        <v>945</v>
      </c>
      <c r="V14" s="616" t="s">
        <v>946</v>
      </c>
      <c r="W14" s="618" t="s">
        <v>947</v>
      </c>
    </row>
    <row r="15" spans="1:23" ht="15" customHeight="1">
      <c r="A15" s="2183" t="s">
        <v>17</v>
      </c>
      <c r="B15" s="2140"/>
      <c r="C15" s="130" t="s">
        <v>59</v>
      </c>
      <c r="D15" s="131" t="s">
        <v>251</v>
      </c>
      <c r="E15" s="132"/>
      <c r="F15" s="1828" t="s">
        <v>475</v>
      </c>
      <c r="G15" s="2140"/>
      <c r="H15" s="2137"/>
      <c r="I15" s="619"/>
      <c r="J15" s="620"/>
      <c r="K15" s="620"/>
      <c r="L15" s="620"/>
      <c r="M15" s="621"/>
      <c r="N15" s="619"/>
      <c r="O15" s="620"/>
      <c r="P15" s="620"/>
      <c r="Q15" s="620"/>
      <c r="R15" s="621"/>
      <c r="S15" s="619"/>
      <c r="T15" s="620"/>
      <c r="U15" s="620"/>
      <c r="V15" s="620"/>
      <c r="W15" s="622"/>
    </row>
    <row r="16" spans="1:23">
      <c r="A16" s="2148"/>
      <c r="B16" s="2148"/>
      <c r="C16" s="133" t="s">
        <v>18</v>
      </c>
      <c r="D16" s="134" t="s">
        <v>168</v>
      </c>
      <c r="E16" s="135"/>
      <c r="F16" s="1845"/>
      <c r="G16" s="1845"/>
      <c r="H16" s="2139"/>
      <c r="I16" s="623"/>
      <c r="J16" s="624"/>
      <c r="K16" s="624"/>
      <c r="L16" s="624"/>
      <c r="M16" s="624"/>
      <c r="N16" s="623"/>
      <c r="O16" s="624"/>
      <c r="P16" s="624"/>
      <c r="Q16" s="624"/>
      <c r="R16" s="624"/>
      <c r="S16" s="623"/>
      <c r="T16" s="624"/>
      <c r="U16" s="624"/>
      <c r="V16" s="624"/>
      <c r="W16" s="625"/>
    </row>
    <row r="17" spans="1:23" ht="15" customHeight="1" thickBot="1">
      <c r="A17" s="2141"/>
      <c r="B17" s="2141"/>
      <c r="C17" s="136" t="s">
        <v>19</v>
      </c>
      <c r="D17" s="137" t="s">
        <v>233</v>
      </c>
      <c r="E17" s="138"/>
      <c r="F17" s="2141"/>
      <c r="G17" s="2141"/>
      <c r="H17" s="2142"/>
      <c r="I17" s="326"/>
      <c r="J17" s="624"/>
      <c r="K17" s="624"/>
      <c r="L17" s="624"/>
      <c r="M17" s="624"/>
      <c r="N17" s="326"/>
      <c r="O17" s="624"/>
      <c r="P17" s="624"/>
      <c r="Q17" s="624"/>
      <c r="R17" s="624"/>
      <c r="S17" s="326"/>
      <c r="T17" s="624"/>
      <c r="U17" s="624"/>
      <c r="V17" s="624"/>
      <c r="W17" s="625"/>
    </row>
    <row r="18" spans="1:23" ht="16.5" customHeight="1">
      <c r="A18" s="2183" t="s">
        <v>20</v>
      </c>
      <c r="B18" s="2140"/>
      <c r="C18" s="130" t="s">
        <v>54</v>
      </c>
      <c r="D18" s="137" t="s">
        <v>261</v>
      </c>
      <c r="E18" s="138"/>
      <c r="F18" s="1828" t="s">
        <v>475</v>
      </c>
      <c r="G18" s="2140"/>
      <c r="H18" s="2137"/>
      <c r="I18" s="326"/>
      <c r="J18" s="624"/>
      <c r="K18" s="624"/>
      <c r="L18" s="624"/>
      <c r="M18" s="624"/>
      <c r="N18" s="326"/>
      <c r="O18" s="624"/>
      <c r="P18" s="624"/>
      <c r="Q18" s="624"/>
      <c r="R18" s="624"/>
      <c r="S18" s="326"/>
      <c r="T18" s="624"/>
      <c r="U18" s="624"/>
      <c r="V18" s="624"/>
      <c r="W18" s="625"/>
    </row>
    <row r="19" spans="1:23" ht="30" customHeight="1">
      <c r="A19" s="2148"/>
      <c r="B19" s="2148"/>
      <c r="C19" s="139" t="s">
        <v>21</v>
      </c>
      <c r="D19" s="137" t="s">
        <v>234</v>
      </c>
      <c r="E19" s="138"/>
      <c r="F19" s="1845"/>
      <c r="G19" s="1845"/>
      <c r="H19" s="2139"/>
      <c r="I19" s="326"/>
      <c r="J19" s="624"/>
      <c r="K19" s="624"/>
      <c r="L19" s="624"/>
      <c r="M19" s="624"/>
      <c r="N19" s="326"/>
      <c r="O19" s="624"/>
      <c r="P19" s="624"/>
      <c r="Q19" s="624"/>
      <c r="R19" s="624"/>
      <c r="S19" s="326"/>
      <c r="T19" s="624"/>
      <c r="U19" s="624"/>
      <c r="V19" s="624"/>
      <c r="W19" s="625"/>
    </row>
    <row r="20" spans="1:23" ht="15" customHeight="1" thickBot="1">
      <c r="A20" s="2148"/>
      <c r="B20" s="2148"/>
      <c r="C20" s="136" t="s">
        <v>22</v>
      </c>
      <c r="D20" s="137" t="s">
        <v>235</v>
      </c>
      <c r="E20" s="138"/>
      <c r="F20" s="2141"/>
      <c r="G20" s="2141"/>
      <c r="H20" s="2142"/>
      <c r="I20" s="326"/>
      <c r="J20" s="624"/>
      <c r="K20" s="624"/>
      <c r="L20" s="624"/>
      <c r="M20" s="624"/>
      <c r="N20" s="326"/>
      <c r="O20" s="624"/>
      <c r="P20" s="624"/>
      <c r="Q20" s="624"/>
      <c r="R20" s="624"/>
      <c r="S20" s="326"/>
      <c r="T20" s="624"/>
      <c r="U20" s="624"/>
      <c r="V20" s="624"/>
      <c r="W20" s="625"/>
    </row>
    <row r="21" spans="1:23">
      <c r="A21" s="2183" t="s">
        <v>23</v>
      </c>
      <c r="B21" s="2140"/>
      <c r="C21" s="140" t="s">
        <v>69</v>
      </c>
      <c r="D21" s="137" t="s">
        <v>267</v>
      </c>
      <c r="E21" s="138"/>
      <c r="F21" s="1828" t="s">
        <v>477</v>
      </c>
      <c r="G21" s="2140"/>
      <c r="H21" s="2137"/>
      <c r="I21" s="326"/>
      <c r="J21" s="624"/>
      <c r="K21" s="624"/>
      <c r="L21" s="624"/>
      <c r="M21" s="624"/>
      <c r="N21" s="326"/>
      <c r="O21" s="624"/>
      <c r="P21" s="624"/>
      <c r="Q21" s="624"/>
      <c r="R21" s="624"/>
      <c r="S21" s="326"/>
      <c r="T21" s="624"/>
      <c r="U21" s="624"/>
      <c r="V21" s="624"/>
      <c r="W21" s="625"/>
    </row>
    <row r="22" spans="1:23" ht="15" customHeight="1" thickBot="1">
      <c r="A22" s="2141"/>
      <c r="B22" s="2141"/>
      <c r="C22" s="141" t="s">
        <v>24</v>
      </c>
      <c r="D22" s="142" t="s">
        <v>236</v>
      </c>
      <c r="E22" s="138"/>
      <c r="F22" s="2141"/>
      <c r="G22" s="2141"/>
      <c r="H22" s="2142"/>
      <c r="I22" s="326"/>
      <c r="J22" s="624"/>
      <c r="K22" s="624"/>
      <c r="L22" s="624"/>
      <c r="M22" s="624"/>
      <c r="N22" s="326"/>
      <c r="O22" s="624"/>
      <c r="P22" s="624"/>
      <c r="Q22" s="624"/>
      <c r="R22" s="624"/>
      <c r="S22" s="326"/>
      <c r="T22" s="624"/>
      <c r="U22" s="624"/>
      <c r="V22" s="624"/>
      <c r="W22" s="625"/>
    </row>
    <row r="23" spans="1:23" ht="15" customHeight="1">
      <c r="A23" s="2136" t="s">
        <v>478</v>
      </c>
      <c r="B23" s="2137"/>
      <c r="C23" s="143" t="s">
        <v>360</v>
      </c>
      <c r="D23" s="142" t="s">
        <v>265</v>
      </c>
      <c r="E23" s="138"/>
      <c r="F23" s="1828" t="s">
        <v>477</v>
      </c>
      <c r="G23" s="2140"/>
      <c r="H23" s="2137"/>
      <c r="I23" s="326"/>
      <c r="J23" s="624"/>
      <c r="K23" s="624"/>
      <c r="L23" s="624"/>
      <c r="M23" s="624"/>
      <c r="N23" s="326"/>
      <c r="O23" s="624"/>
      <c r="P23" s="624"/>
      <c r="Q23" s="624"/>
      <c r="R23" s="624"/>
      <c r="S23" s="326"/>
      <c r="T23" s="624"/>
      <c r="U23" s="624"/>
      <c r="V23" s="624"/>
      <c r="W23" s="625"/>
    </row>
    <row r="24" spans="1:23" ht="30" customHeight="1">
      <c r="A24" s="2138"/>
      <c r="B24" s="2139"/>
      <c r="C24" s="144" t="s">
        <v>361</v>
      </c>
      <c r="D24" s="142" t="s">
        <v>362</v>
      </c>
      <c r="E24" s="138"/>
      <c r="F24" s="1845"/>
      <c r="G24" s="1845"/>
      <c r="H24" s="2139"/>
      <c r="I24" s="326"/>
      <c r="J24" s="624"/>
      <c r="K24" s="624"/>
      <c r="L24" s="624"/>
      <c r="M24" s="624"/>
      <c r="N24" s="326"/>
      <c r="O24" s="624"/>
      <c r="P24" s="624"/>
      <c r="Q24" s="624"/>
      <c r="R24" s="624"/>
      <c r="S24" s="326"/>
      <c r="T24" s="624"/>
      <c r="U24" s="624"/>
      <c r="V24" s="624"/>
      <c r="W24" s="625"/>
    </row>
    <row r="25" spans="1:23" ht="16.5" thickBot="1">
      <c r="A25" s="2138"/>
      <c r="B25" s="2139"/>
      <c r="C25" s="145" t="s">
        <v>479</v>
      </c>
      <c r="D25" s="142" t="s">
        <v>480</v>
      </c>
      <c r="E25" s="138"/>
      <c r="F25" s="2141"/>
      <c r="G25" s="2141"/>
      <c r="H25" s="2142"/>
      <c r="I25" s="326"/>
      <c r="J25" s="624"/>
      <c r="K25" s="624"/>
      <c r="L25" s="624"/>
      <c r="M25" s="624"/>
      <c r="N25" s="326"/>
      <c r="O25" s="624"/>
      <c r="P25" s="624"/>
      <c r="Q25" s="624"/>
      <c r="R25" s="624"/>
      <c r="S25" s="326"/>
      <c r="T25" s="624"/>
      <c r="U25" s="624"/>
      <c r="V25" s="624"/>
      <c r="W25" s="625"/>
    </row>
    <row r="26" spans="1:23" ht="15.75" thickBot="1">
      <c r="A26" s="2143" t="s">
        <v>25</v>
      </c>
      <c r="B26" s="2144"/>
      <c r="C26" s="2145"/>
      <c r="D26" s="146" t="s">
        <v>270</v>
      </c>
      <c r="E26" s="138"/>
      <c r="F26" s="1818" t="s">
        <v>481</v>
      </c>
      <c r="G26" s="2097"/>
      <c r="H26" s="2098"/>
      <c r="I26" s="326"/>
      <c r="J26" s="624"/>
      <c r="K26" s="624"/>
      <c r="L26" s="624"/>
      <c r="M26" s="624"/>
      <c r="N26" s="326"/>
      <c r="O26" s="624"/>
      <c r="P26" s="624"/>
      <c r="Q26" s="624"/>
      <c r="R26" s="624"/>
      <c r="S26" s="326"/>
      <c r="T26" s="624"/>
      <c r="U26" s="624"/>
      <c r="V26" s="624"/>
      <c r="W26" s="625"/>
    </row>
    <row r="27" spans="1:23" ht="15.75">
      <c r="A27" s="2157" t="s">
        <v>153</v>
      </c>
      <c r="B27" s="2158"/>
      <c r="C27" s="147" t="s">
        <v>152</v>
      </c>
      <c r="D27" s="148" t="s">
        <v>268</v>
      </c>
      <c r="E27" s="138"/>
      <c r="F27" s="1828" t="s">
        <v>475</v>
      </c>
      <c r="G27" s="2140"/>
      <c r="H27" s="2137"/>
      <c r="I27" s="326"/>
      <c r="J27" s="624"/>
      <c r="K27" s="624"/>
      <c r="L27" s="624"/>
      <c r="M27" s="624"/>
      <c r="N27" s="326"/>
      <c r="O27" s="624"/>
      <c r="P27" s="624"/>
      <c r="Q27" s="624"/>
      <c r="R27" s="624"/>
      <c r="S27" s="326"/>
      <c r="T27" s="624"/>
      <c r="U27" s="624"/>
      <c r="V27" s="624"/>
      <c r="W27" s="625"/>
    </row>
    <row r="28" spans="1:23" ht="15.75">
      <c r="A28" s="2138"/>
      <c r="B28" s="2158"/>
      <c r="C28" s="149" t="s">
        <v>154</v>
      </c>
      <c r="D28" s="148" t="s">
        <v>392</v>
      </c>
      <c r="E28" s="138"/>
      <c r="F28" s="1845"/>
      <c r="G28" s="1845"/>
      <c r="H28" s="2139"/>
      <c r="I28" s="326"/>
      <c r="J28" s="624"/>
      <c r="K28" s="624"/>
      <c r="L28" s="624"/>
      <c r="M28" s="624"/>
      <c r="N28" s="326"/>
      <c r="O28" s="624"/>
      <c r="P28" s="624"/>
      <c r="Q28" s="624"/>
      <c r="R28" s="624"/>
      <c r="S28" s="326"/>
      <c r="T28" s="624"/>
      <c r="U28" s="624"/>
      <c r="V28" s="624"/>
      <c r="W28" s="625"/>
    </row>
    <row r="29" spans="1:23" ht="16.5" thickBot="1">
      <c r="A29" s="2149"/>
      <c r="B29" s="2152"/>
      <c r="C29" s="150" t="s">
        <v>400</v>
      </c>
      <c r="D29" s="148" t="s">
        <v>393</v>
      </c>
      <c r="E29" s="138"/>
      <c r="F29" s="2141"/>
      <c r="G29" s="2141"/>
      <c r="H29" s="2142"/>
      <c r="I29" s="326"/>
      <c r="J29" s="624"/>
      <c r="K29" s="624"/>
      <c r="L29" s="624"/>
      <c r="M29" s="624"/>
      <c r="N29" s="326"/>
      <c r="O29" s="624"/>
      <c r="P29" s="624"/>
      <c r="Q29" s="624"/>
      <c r="R29" s="624"/>
      <c r="S29" s="326"/>
      <c r="T29" s="624"/>
      <c r="U29" s="624"/>
      <c r="V29" s="624"/>
      <c r="W29" s="625"/>
    </row>
    <row r="30" spans="1:23" ht="15.75">
      <c r="A30" s="2159" t="s">
        <v>153</v>
      </c>
      <c r="B30" s="2151"/>
      <c r="C30" s="151" t="s">
        <v>155</v>
      </c>
      <c r="D30" s="148" t="s">
        <v>266</v>
      </c>
      <c r="E30" s="138" t="s">
        <v>277</v>
      </c>
      <c r="F30" s="1828" t="s">
        <v>582</v>
      </c>
      <c r="G30" s="2140"/>
      <c r="H30" s="2137"/>
      <c r="I30" s="326" t="s">
        <v>277</v>
      </c>
      <c r="J30" s="624">
        <v>1</v>
      </c>
      <c r="K30" s="624"/>
      <c r="L30" s="624">
        <v>50</v>
      </c>
      <c r="M30" s="624">
        <f>L30*220*5</f>
        <v>55000</v>
      </c>
      <c r="N30" s="326" t="s">
        <v>277</v>
      </c>
      <c r="O30" s="624">
        <v>1</v>
      </c>
      <c r="P30" s="624"/>
      <c r="Q30" s="624">
        <v>50</v>
      </c>
      <c r="R30" s="624">
        <f>Q30*220*5</f>
        <v>55000</v>
      </c>
      <c r="S30" s="326" t="s">
        <v>277</v>
      </c>
      <c r="T30" s="624">
        <v>1</v>
      </c>
      <c r="U30" s="624"/>
      <c r="V30" s="624">
        <v>50</v>
      </c>
      <c r="W30" s="624">
        <f>V30*220*5</f>
        <v>55000</v>
      </c>
    </row>
    <row r="31" spans="1:23" ht="15.75">
      <c r="A31" s="2138"/>
      <c r="B31" s="2158"/>
      <c r="C31" s="149" t="s">
        <v>156</v>
      </c>
      <c r="D31" s="148" t="s">
        <v>394</v>
      </c>
      <c r="E31" s="138" t="s">
        <v>277</v>
      </c>
      <c r="F31" s="1845"/>
      <c r="G31" s="1845"/>
      <c r="H31" s="2139"/>
      <c r="I31" s="326" t="s">
        <v>277</v>
      </c>
      <c r="J31" s="624">
        <v>1</v>
      </c>
      <c r="K31" s="624"/>
      <c r="L31" s="624">
        <v>50</v>
      </c>
      <c r="M31" s="624">
        <f>L31*284*5</f>
        <v>71000</v>
      </c>
      <c r="N31" s="326" t="s">
        <v>277</v>
      </c>
      <c r="O31" s="624">
        <v>1</v>
      </c>
      <c r="P31" s="624"/>
      <c r="Q31" s="624">
        <v>50</v>
      </c>
      <c r="R31" s="624">
        <f>Q31*284*5</f>
        <v>71000</v>
      </c>
      <c r="S31" s="326" t="s">
        <v>277</v>
      </c>
      <c r="T31" s="624">
        <v>1</v>
      </c>
      <c r="U31" s="624"/>
      <c r="V31" s="624">
        <v>50</v>
      </c>
      <c r="W31" s="624">
        <f>V31*284*5</f>
        <v>71000</v>
      </c>
    </row>
    <row r="32" spans="1:23" ht="16.5" thickBot="1">
      <c r="A32" s="2149"/>
      <c r="B32" s="2152"/>
      <c r="C32" s="150" t="s">
        <v>399</v>
      </c>
      <c r="D32" s="148" t="s">
        <v>395</v>
      </c>
      <c r="E32" s="138" t="s">
        <v>277</v>
      </c>
      <c r="F32" s="2141"/>
      <c r="G32" s="2141"/>
      <c r="H32" s="2142"/>
      <c r="I32" s="326" t="s">
        <v>277</v>
      </c>
      <c r="J32" s="624">
        <v>1</v>
      </c>
      <c r="K32" s="624">
        <v>1</v>
      </c>
      <c r="L32" s="624">
        <v>50</v>
      </c>
      <c r="M32" s="624">
        <f>L32*347*5</f>
        <v>86750</v>
      </c>
      <c r="N32" s="326" t="s">
        <v>277</v>
      </c>
      <c r="O32" s="624">
        <v>1</v>
      </c>
      <c r="P32" s="624">
        <v>1</v>
      </c>
      <c r="Q32" s="624">
        <v>50</v>
      </c>
      <c r="R32" s="624">
        <f>Q32*347*5</f>
        <v>86750</v>
      </c>
      <c r="S32" s="326" t="s">
        <v>277</v>
      </c>
      <c r="T32" s="624">
        <v>1</v>
      </c>
      <c r="U32" s="624">
        <v>1</v>
      </c>
      <c r="V32" s="624">
        <v>50</v>
      </c>
      <c r="W32" s="624">
        <f>V32*347*5</f>
        <v>86750</v>
      </c>
    </row>
    <row r="33" spans="1:23" ht="16.5" thickBot="1">
      <c r="A33" s="2159" t="s">
        <v>482</v>
      </c>
      <c r="B33" s="2151"/>
      <c r="C33" s="151" t="s">
        <v>365</v>
      </c>
      <c r="D33" s="148" t="s">
        <v>252</v>
      </c>
      <c r="E33" s="138"/>
      <c r="F33" s="1828" t="s">
        <v>483</v>
      </c>
      <c r="G33" s="2140"/>
      <c r="H33" s="2137"/>
      <c r="I33" s="326"/>
      <c r="J33" s="624"/>
      <c r="K33" s="624"/>
      <c r="L33" s="624"/>
      <c r="M33" s="624"/>
      <c r="N33" s="326"/>
      <c r="O33" s="624"/>
      <c r="P33" s="624"/>
      <c r="Q33" s="624"/>
      <c r="R33" s="624"/>
      <c r="S33" s="326"/>
      <c r="T33" s="624"/>
      <c r="U33" s="624"/>
      <c r="V33" s="624"/>
      <c r="W33" s="624"/>
    </row>
    <row r="34" spans="1:23" ht="16.5" thickBot="1">
      <c r="A34" s="2159" t="s">
        <v>484</v>
      </c>
      <c r="B34" s="2151"/>
      <c r="C34" s="151" t="s">
        <v>485</v>
      </c>
      <c r="D34" s="148" t="s">
        <v>264</v>
      </c>
      <c r="E34" s="138"/>
      <c r="F34" s="2160"/>
      <c r="G34" s="2140"/>
      <c r="H34" s="2137"/>
      <c r="I34" s="326"/>
      <c r="J34" s="624"/>
      <c r="K34" s="624"/>
      <c r="L34" s="624"/>
      <c r="M34" s="624"/>
      <c r="N34" s="326"/>
      <c r="O34" s="624"/>
      <c r="P34" s="624"/>
      <c r="Q34" s="624"/>
      <c r="R34" s="624"/>
      <c r="S34" s="326"/>
      <c r="T34" s="624"/>
      <c r="U34" s="624"/>
      <c r="V34" s="624"/>
      <c r="W34" s="624"/>
    </row>
    <row r="35" spans="1:23" ht="15.75">
      <c r="A35" s="2161" t="s">
        <v>486</v>
      </c>
      <c r="B35" s="2151"/>
      <c r="C35" s="152" t="s">
        <v>43</v>
      </c>
      <c r="D35" s="153" t="s">
        <v>256</v>
      </c>
      <c r="E35" s="138" t="s">
        <v>277</v>
      </c>
      <c r="F35" s="1828" t="s">
        <v>583</v>
      </c>
      <c r="G35" s="2140"/>
      <c r="H35" s="2137"/>
      <c r="I35" s="326" t="s">
        <v>277</v>
      </c>
      <c r="J35" s="624">
        <v>1</v>
      </c>
      <c r="K35" s="624"/>
      <c r="L35" s="624">
        <v>80</v>
      </c>
      <c r="M35" s="624">
        <f>L35*104*5</f>
        <v>41600</v>
      </c>
      <c r="N35" s="326" t="s">
        <v>277</v>
      </c>
      <c r="O35" s="624">
        <v>1</v>
      </c>
      <c r="P35" s="624"/>
      <c r="Q35" s="624">
        <v>80</v>
      </c>
      <c r="R35" s="624">
        <f>Q35*104*5</f>
        <v>41600</v>
      </c>
      <c r="S35" s="326" t="s">
        <v>277</v>
      </c>
      <c r="T35" s="624">
        <v>1</v>
      </c>
      <c r="U35" s="624"/>
      <c r="V35" s="624">
        <v>80</v>
      </c>
      <c r="W35" s="624">
        <f>V35*104*5</f>
        <v>41600</v>
      </c>
    </row>
    <row r="36" spans="1:23" ht="16.5" thickBot="1">
      <c r="A36" s="2149"/>
      <c r="B36" s="2152"/>
      <c r="C36" s="154" t="s">
        <v>60</v>
      </c>
      <c r="D36" s="153" t="s">
        <v>257</v>
      </c>
      <c r="E36" s="138" t="s">
        <v>277</v>
      </c>
      <c r="F36" s="2141"/>
      <c r="G36" s="2141"/>
      <c r="H36" s="2142"/>
      <c r="I36" s="326" t="s">
        <v>277</v>
      </c>
      <c r="J36" s="624">
        <v>1</v>
      </c>
      <c r="K36" s="624"/>
      <c r="L36" s="624">
        <v>80</v>
      </c>
      <c r="M36" s="624">
        <f>L36*158*5</f>
        <v>63200</v>
      </c>
      <c r="N36" s="326" t="s">
        <v>277</v>
      </c>
      <c r="O36" s="624">
        <v>1</v>
      </c>
      <c r="P36" s="624"/>
      <c r="Q36" s="624">
        <v>80</v>
      </c>
      <c r="R36" s="624">
        <f>Q36*158*5</f>
        <v>63200</v>
      </c>
      <c r="S36" s="326" t="s">
        <v>277</v>
      </c>
      <c r="T36" s="624">
        <v>1</v>
      </c>
      <c r="U36" s="624"/>
      <c r="V36" s="624">
        <v>80</v>
      </c>
      <c r="W36" s="624">
        <f>V36*158*5</f>
        <v>63200</v>
      </c>
    </row>
    <row r="37" spans="1:23" ht="30">
      <c r="A37" s="2165" t="s">
        <v>33</v>
      </c>
      <c r="B37" s="2140"/>
      <c r="C37" s="155" t="s">
        <v>30</v>
      </c>
      <c r="D37" s="156" t="s">
        <v>170</v>
      </c>
      <c r="E37" s="138" t="s">
        <v>277</v>
      </c>
      <c r="F37" s="2381" t="s">
        <v>568</v>
      </c>
      <c r="G37" s="2382"/>
      <c r="H37" s="2382"/>
      <c r="I37" s="326" t="s">
        <v>277</v>
      </c>
      <c r="J37" s="624">
        <v>1</v>
      </c>
      <c r="K37" s="624"/>
      <c r="L37" s="624">
        <v>80</v>
      </c>
      <c r="M37" s="624">
        <f>L37*121*5</f>
        <v>48400</v>
      </c>
      <c r="N37" s="326" t="s">
        <v>277</v>
      </c>
      <c r="O37" s="624">
        <v>1</v>
      </c>
      <c r="P37" s="624"/>
      <c r="Q37" s="624">
        <v>80</v>
      </c>
      <c r="R37" s="624">
        <f>Q37*121*5</f>
        <v>48400</v>
      </c>
      <c r="S37" s="326" t="s">
        <v>277</v>
      </c>
      <c r="T37" s="624">
        <v>1</v>
      </c>
      <c r="U37" s="624"/>
      <c r="V37" s="624">
        <v>80</v>
      </c>
      <c r="W37" s="624">
        <f>V37*121*5</f>
        <v>48400</v>
      </c>
    </row>
    <row r="38" spans="1:23" ht="30">
      <c r="A38" s="2138"/>
      <c r="B38" s="2148"/>
      <c r="C38" s="157" t="s">
        <v>31</v>
      </c>
      <c r="D38" s="156" t="s">
        <v>169</v>
      </c>
      <c r="E38" s="326" t="s">
        <v>277</v>
      </c>
      <c r="F38" s="2381" t="s">
        <v>569</v>
      </c>
      <c r="G38" s="2382"/>
      <c r="H38" s="2382"/>
      <c r="I38" s="326" t="s">
        <v>277</v>
      </c>
      <c r="J38" s="624">
        <v>1</v>
      </c>
      <c r="K38" s="624"/>
      <c r="L38" s="624">
        <v>80</v>
      </c>
      <c r="M38" s="624">
        <f>L38*177*5</f>
        <v>70800</v>
      </c>
      <c r="N38" s="326" t="s">
        <v>277</v>
      </c>
      <c r="O38" s="624">
        <v>1</v>
      </c>
      <c r="P38" s="624"/>
      <c r="Q38" s="624">
        <v>80</v>
      </c>
      <c r="R38" s="624">
        <f>Q38*177*5</f>
        <v>70800</v>
      </c>
      <c r="S38" s="326" t="s">
        <v>277</v>
      </c>
      <c r="T38" s="624">
        <v>1</v>
      </c>
      <c r="U38" s="624"/>
      <c r="V38" s="624">
        <v>80</v>
      </c>
      <c r="W38" s="624">
        <f>V38*177*5</f>
        <v>70800</v>
      </c>
    </row>
    <row r="39" spans="1:23" ht="30.75" thickBot="1">
      <c r="A39" s="2138"/>
      <c r="B39" s="2148"/>
      <c r="C39" s="158" t="s">
        <v>32</v>
      </c>
      <c r="D39" s="156" t="s">
        <v>250</v>
      </c>
      <c r="E39" s="138" t="s">
        <v>277</v>
      </c>
      <c r="F39" s="2381" t="s">
        <v>570</v>
      </c>
      <c r="G39" s="2382"/>
      <c r="H39" s="2382"/>
      <c r="I39" s="326" t="s">
        <v>277</v>
      </c>
      <c r="J39" s="624">
        <v>1</v>
      </c>
      <c r="K39" s="624">
        <v>1</v>
      </c>
      <c r="L39" s="624">
        <v>80</v>
      </c>
      <c r="M39" s="624">
        <f>L39*233*5</f>
        <v>93200</v>
      </c>
      <c r="N39" s="326" t="s">
        <v>277</v>
      </c>
      <c r="O39" s="624">
        <v>1</v>
      </c>
      <c r="P39" s="624">
        <v>1</v>
      </c>
      <c r="Q39" s="624">
        <v>80</v>
      </c>
      <c r="R39" s="624">
        <f>Q39*233*5</f>
        <v>93200</v>
      </c>
      <c r="S39" s="326" t="s">
        <v>277</v>
      </c>
      <c r="T39" s="624">
        <v>1</v>
      </c>
      <c r="U39" s="624">
        <v>1</v>
      </c>
      <c r="V39" s="624">
        <v>80</v>
      </c>
      <c r="W39" s="624">
        <f>V39*233*5</f>
        <v>93200</v>
      </c>
    </row>
    <row r="40" spans="1:23" ht="15.75">
      <c r="A40" s="2169" t="s">
        <v>491</v>
      </c>
      <c r="B40" s="2170"/>
      <c r="C40" s="159" t="s">
        <v>144</v>
      </c>
      <c r="D40" s="160" t="s">
        <v>253</v>
      </c>
      <c r="E40" s="138"/>
      <c r="F40" s="1828" t="s">
        <v>492</v>
      </c>
      <c r="G40" s="2140"/>
      <c r="H40" s="2137"/>
      <c r="I40" s="326"/>
      <c r="J40" s="624"/>
      <c r="K40" s="624"/>
      <c r="L40" s="624"/>
      <c r="M40" s="624"/>
      <c r="N40" s="326"/>
      <c r="O40" s="624"/>
      <c r="P40" s="624"/>
      <c r="Q40" s="624"/>
      <c r="R40" s="624"/>
      <c r="S40" s="326"/>
      <c r="T40" s="624"/>
      <c r="U40" s="624"/>
      <c r="V40" s="624"/>
      <c r="W40" s="624"/>
    </row>
    <row r="41" spans="1:23" ht="16.5" thickBot="1">
      <c r="A41" s="2148"/>
      <c r="B41" s="2158"/>
      <c r="C41" s="161" t="s">
        <v>145</v>
      </c>
      <c r="D41" s="160" t="s">
        <v>254</v>
      </c>
      <c r="E41" s="138"/>
      <c r="F41" s="2141"/>
      <c r="G41" s="2141"/>
      <c r="H41" s="2142"/>
      <c r="I41" s="326"/>
      <c r="J41" s="624"/>
      <c r="K41" s="624"/>
      <c r="L41" s="624"/>
      <c r="M41" s="624"/>
      <c r="N41" s="326"/>
      <c r="O41" s="624"/>
      <c r="P41" s="624"/>
      <c r="Q41" s="624"/>
      <c r="R41" s="624"/>
      <c r="S41" s="326"/>
      <c r="T41" s="624"/>
      <c r="U41" s="624"/>
      <c r="V41" s="624"/>
      <c r="W41" s="624"/>
    </row>
    <row r="42" spans="1:23" ht="48" thickBot="1">
      <c r="A42" s="2171"/>
      <c r="B42" s="2172"/>
      <c r="C42" s="162" t="s">
        <v>128</v>
      </c>
      <c r="D42" s="160" t="s">
        <v>262</v>
      </c>
      <c r="E42" s="138"/>
      <c r="F42" s="2173"/>
      <c r="G42" s="2097"/>
      <c r="H42" s="2098"/>
      <c r="I42" s="326"/>
      <c r="J42" s="624"/>
      <c r="K42" s="624"/>
      <c r="L42" s="624"/>
      <c r="M42" s="624"/>
      <c r="N42" s="326"/>
      <c r="O42" s="624"/>
      <c r="P42" s="624"/>
      <c r="Q42" s="624"/>
      <c r="R42" s="624"/>
      <c r="S42" s="326"/>
      <c r="T42" s="624"/>
      <c r="U42" s="624"/>
      <c r="V42" s="624"/>
      <c r="W42" s="624"/>
    </row>
    <row r="43" spans="1:23" ht="15.75" thickBot="1">
      <c r="A43" s="2146" t="s">
        <v>493</v>
      </c>
      <c r="B43" s="2144"/>
      <c r="C43" s="2145"/>
      <c r="D43" s="163" t="s">
        <v>237</v>
      </c>
      <c r="E43" s="138"/>
      <c r="F43" s="1818" t="s">
        <v>571</v>
      </c>
      <c r="G43" s="2097"/>
      <c r="H43" s="2098"/>
      <c r="I43" s="326"/>
      <c r="J43" s="624"/>
      <c r="K43" s="624"/>
      <c r="L43" s="624"/>
      <c r="M43" s="624"/>
      <c r="N43" s="326"/>
      <c r="O43" s="624"/>
      <c r="P43" s="624"/>
      <c r="Q43" s="624"/>
      <c r="R43" s="624"/>
      <c r="S43" s="326"/>
      <c r="T43" s="624"/>
      <c r="U43" s="624"/>
      <c r="V43" s="624"/>
      <c r="W43" s="624"/>
    </row>
    <row r="44" spans="1:23" ht="15.75" thickBot="1">
      <c r="A44" s="2146" t="s">
        <v>133</v>
      </c>
      <c r="B44" s="2144"/>
      <c r="C44" s="2145"/>
      <c r="D44" s="163" t="s">
        <v>238</v>
      </c>
      <c r="E44" s="138" t="s">
        <v>277</v>
      </c>
      <c r="F44" s="1818" t="s">
        <v>584</v>
      </c>
      <c r="G44" s="2097"/>
      <c r="H44" s="2098"/>
      <c r="I44" s="326" t="s">
        <v>277</v>
      </c>
      <c r="J44" s="624">
        <v>1</v>
      </c>
      <c r="K44" s="624"/>
      <c r="L44" s="624">
        <v>5</v>
      </c>
      <c r="M44" s="624">
        <f>L44*358*5</f>
        <v>8950</v>
      </c>
      <c r="N44" s="326" t="s">
        <v>277</v>
      </c>
      <c r="O44" s="624">
        <v>1</v>
      </c>
      <c r="P44" s="624"/>
      <c r="Q44" s="624">
        <v>5</v>
      </c>
      <c r="R44" s="624">
        <f>Q44*358*5</f>
        <v>8950</v>
      </c>
      <c r="S44" s="326" t="s">
        <v>277</v>
      </c>
      <c r="T44" s="624">
        <v>1</v>
      </c>
      <c r="U44" s="624"/>
      <c r="V44" s="624">
        <v>5</v>
      </c>
      <c r="W44" s="624">
        <f>V44*358*5</f>
        <v>8950</v>
      </c>
    </row>
    <row r="45" spans="1:23">
      <c r="A45" s="2147" t="s">
        <v>41</v>
      </c>
      <c r="B45" s="2148"/>
      <c r="C45" s="164" t="s">
        <v>50</v>
      </c>
      <c r="D45" s="165" t="s">
        <v>246</v>
      </c>
      <c r="E45" s="138"/>
      <c r="F45" s="1785" t="s">
        <v>560</v>
      </c>
      <c r="G45" s="2097"/>
      <c r="H45" s="2098"/>
      <c r="I45" s="326"/>
      <c r="J45" s="624"/>
      <c r="K45" s="624"/>
      <c r="L45" s="624"/>
      <c r="M45" s="624"/>
      <c r="N45" s="326"/>
      <c r="O45" s="624"/>
      <c r="P45" s="624"/>
      <c r="Q45" s="624"/>
      <c r="R45" s="624"/>
      <c r="S45" s="326"/>
      <c r="T45" s="624"/>
      <c r="U45" s="624"/>
      <c r="V45" s="624"/>
      <c r="W45" s="625"/>
    </row>
    <row r="46" spans="1:23">
      <c r="A46" s="2138"/>
      <c r="B46" s="2148"/>
      <c r="C46" s="166" t="s">
        <v>51</v>
      </c>
      <c r="D46" s="165" t="s">
        <v>247</v>
      </c>
      <c r="E46" s="138"/>
      <c r="F46" s="1785" t="s">
        <v>498</v>
      </c>
      <c r="G46" s="2097"/>
      <c r="H46" s="2098"/>
      <c r="I46" s="326"/>
      <c r="J46" s="624"/>
      <c r="K46" s="624"/>
      <c r="L46" s="624"/>
      <c r="M46" s="624"/>
      <c r="N46" s="326"/>
      <c r="O46" s="624"/>
      <c r="P46" s="624"/>
      <c r="Q46" s="624"/>
      <c r="R46" s="624"/>
      <c r="S46" s="326"/>
      <c r="T46" s="624"/>
      <c r="U46" s="624"/>
      <c r="V46" s="624"/>
      <c r="W46" s="625"/>
    </row>
    <row r="47" spans="1:23">
      <c r="A47" s="2138"/>
      <c r="B47" s="2148"/>
      <c r="C47" s="166" t="s">
        <v>39</v>
      </c>
      <c r="D47" s="165" t="s">
        <v>248</v>
      </c>
      <c r="E47" s="138"/>
      <c r="F47" s="1785" t="s">
        <v>498</v>
      </c>
      <c r="G47" s="2097"/>
      <c r="H47" s="2098"/>
      <c r="I47" s="326"/>
      <c r="J47" s="624"/>
      <c r="K47" s="624"/>
      <c r="L47" s="624"/>
      <c r="M47" s="624"/>
      <c r="N47" s="326"/>
      <c r="O47" s="624"/>
      <c r="P47" s="624"/>
      <c r="Q47" s="624"/>
      <c r="R47" s="624"/>
      <c r="S47" s="326"/>
      <c r="T47" s="624"/>
      <c r="U47" s="624"/>
      <c r="V47" s="624"/>
      <c r="W47" s="625"/>
    </row>
    <row r="48" spans="1:23" ht="15.75" thickBot="1">
      <c r="A48" s="2149"/>
      <c r="B48" s="2141"/>
      <c r="C48" s="167" t="s">
        <v>40</v>
      </c>
      <c r="D48" s="165" t="s">
        <v>249</v>
      </c>
      <c r="E48" s="138"/>
      <c r="F48" s="1785" t="s">
        <v>498</v>
      </c>
      <c r="G48" s="2097"/>
      <c r="H48" s="2098"/>
      <c r="I48" s="326"/>
      <c r="J48" s="624"/>
      <c r="K48" s="624"/>
      <c r="L48" s="624"/>
      <c r="M48" s="624"/>
      <c r="N48" s="326"/>
      <c r="O48" s="624"/>
      <c r="P48" s="624"/>
      <c r="Q48" s="624"/>
      <c r="R48" s="624"/>
      <c r="S48" s="326"/>
      <c r="T48" s="624"/>
      <c r="U48" s="624"/>
      <c r="V48" s="624"/>
      <c r="W48" s="625"/>
    </row>
    <row r="49" spans="1:23" ht="15.75">
      <c r="A49" s="2150" t="s">
        <v>130</v>
      </c>
      <c r="B49" s="2151"/>
      <c r="C49" s="159" t="s">
        <v>131</v>
      </c>
      <c r="D49" s="160" t="s">
        <v>255</v>
      </c>
      <c r="E49" s="138"/>
      <c r="F49" s="2153"/>
      <c r="G49" s="2097"/>
      <c r="H49" s="2098"/>
      <c r="I49" s="326"/>
      <c r="J49" s="624"/>
      <c r="K49" s="624"/>
      <c r="L49" s="624"/>
      <c r="M49" s="624"/>
      <c r="N49" s="326"/>
      <c r="O49" s="624"/>
      <c r="P49" s="624"/>
      <c r="Q49" s="624"/>
      <c r="R49" s="624"/>
      <c r="S49" s="326"/>
      <c r="T49" s="624"/>
      <c r="U49" s="624"/>
      <c r="V49" s="624"/>
      <c r="W49" s="625"/>
    </row>
    <row r="50" spans="1:23" ht="48" thickBot="1">
      <c r="A50" s="2149"/>
      <c r="B50" s="2152"/>
      <c r="C50" s="168" t="s">
        <v>132</v>
      </c>
      <c r="D50" s="160" t="s">
        <v>263</v>
      </c>
      <c r="E50" s="138"/>
      <c r="F50" s="2153"/>
      <c r="G50" s="2097"/>
      <c r="H50" s="2098"/>
      <c r="I50" s="326"/>
      <c r="J50" s="624"/>
      <c r="K50" s="624"/>
      <c r="L50" s="624"/>
      <c r="M50" s="624"/>
      <c r="N50" s="326"/>
      <c r="O50" s="624"/>
      <c r="P50" s="624"/>
      <c r="Q50" s="624"/>
      <c r="R50" s="624"/>
      <c r="S50" s="326"/>
      <c r="T50" s="624"/>
      <c r="U50" s="624"/>
      <c r="V50" s="624"/>
      <c r="W50" s="625"/>
    </row>
    <row r="51" spans="1:23">
      <c r="A51" s="2154" t="s">
        <v>42</v>
      </c>
      <c r="B51" s="2140"/>
      <c r="C51" s="169" t="s">
        <v>38</v>
      </c>
      <c r="D51" s="170" t="s">
        <v>239</v>
      </c>
      <c r="E51" s="138"/>
      <c r="F51" s="1818" t="s">
        <v>499</v>
      </c>
      <c r="G51" s="2097"/>
      <c r="H51" s="2098"/>
      <c r="I51" s="326"/>
      <c r="J51" s="624"/>
      <c r="K51" s="624"/>
      <c r="L51" s="624"/>
      <c r="M51" s="624"/>
      <c r="N51" s="326"/>
      <c r="O51" s="624"/>
      <c r="P51" s="624"/>
      <c r="Q51" s="624"/>
      <c r="R51" s="624"/>
      <c r="S51" s="326"/>
      <c r="T51" s="624"/>
      <c r="U51" s="624"/>
      <c r="V51" s="624"/>
      <c r="W51" s="625"/>
    </row>
    <row r="52" spans="1:23">
      <c r="A52" s="2148"/>
      <c r="B52" s="2148"/>
      <c r="C52" s="171" t="s">
        <v>55</v>
      </c>
      <c r="D52" s="170" t="s">
        <v>240</v>
      </c>
      <c r="E52" s="138"/>
      <c r="F52" s="2155"/>
      <c r="G52" s="2097"/>
      <c r="H52" s="2098"/>
      <c r="I52" s="326"/>
      <c r="J52" s="624"/>
      <c r="K52" s="624"/>
      <c r="L52" s="624"/>
      <c r="M52" s="624"/>
      <c r="N52" s="326"/>
      <c r="O52" s="624"/>
      <c r="P52" s="624"/>
      <c r="Q52" s="624"/>
      <c r="R52" s="624"/>
      <c r="S52" s="326"/>
      <c r="T52" s="624"/>
      <c r="U52" s="624"/>
      <c r="V52" s="624"/>
      <c r="W52" s="625"/>
    </row>
    <row r="53" spans="1:23" ht="16.5" thickBot="1">
      <c r="A53" s="2148"/>
      <c r="B53" s="2148"/>
      <c r="C53" s="161" t="s">
        <v>48</v>
      </c>
      <c r="D53" s="172" t="s">
        <v>241</v>
      </c>
      <c r="E53" s="138"/>
      <c r="F53" s="2156"/>
      <c r="G53" s="2097"/>
      <c r="H53" s="2098"/>
      <c r="I53" s="326"/>
      <c r="J53" s="624"/>
      <c r="K53" s="624"/>
      <c r="L53" s="624"/>
      <c r="M53" s="624"/>
      <c r="N53" s="326"/>
      <c r="O53" s="624"/>
      <c r="P53" s="624"/>
      <c r="Q53" s="624"/>
      <c r="R53" s="624"/>
      <c r="S53" s="326"/>
      <c r="T53" s="624"/>
      <c r="U53" s="624"/>
      <c r="V53" s="624"/>
      <c r="W53" s="625"/>
    </row>
    <row r="54" spans="1:23" ht="16.5" thickBot="1">
      <c r="A54" s="2135" t="s">
        <v>500</v>
      </c>
      <c r="B54" s="2097"/>
      <c r="C54" s="173" t="s">
        <v>134</v>
      </c>
      <c r="D54" s="174" t="s">
        <v>269</v>
      </c>
      <c r="E54" s="175"/>
      <c r="F54" s="1818" t="s">
        <v>501</v>
      </c>
      <c r="G54" s="2097"/>
      <c r="H54" s="2098"/>
      <c r="I54" s="626"/>
      <c r="J54" s="627"/>
      <c r="K54" s="627"/>
      <c r="L54" s="627"/>
      <c r="M54" s="627"/>
      <c r="N54" s="626"/>
      <c r="O54" s="627"/>
      <c r="P54" s="627"/>
      <c r="Q54" s="627"/>
      <c r="R54" s="627"/>
      <c r="S54" s="626"/>
      <c r="T54" s="627"/>
      <c r="U54" s="627"/>
      <c r="V54" s="627"/>
      <c r="W54" s="628"/>
    </row>
    <row r="56" spans="1:23">
      <c r="M56">
        <f>SUM(M15:M54)</f>
        <v>538900</v>
      </c>
    </row>
    <row r="57" spans="1:23" ht="60">
      <c r="A57" s="630" t="s">
        <v>948</v>
      </c>
      <c r="B57" s="630" t="s">
        <v>949</v>
      </c>
      <c r="C57" s="630" t="s">
        <v>950</v>
      </c>
      <c r="D57" s="630" t="s">
        <v>951</v>
      </c>
      <c r="E57" s="630" t="s">
        <v>952</v>
      </c>
    </row>
    <row r="58" spans="1:23">
      <c r="A58" s="686" t="s">
        <v>953</v>
      </c>
      <c r="B58" s="624" t="s">
        <v>954</v>
      </c>
      <c r="C58" s="624">
        <v>2</v>
      </c>
      <c r="D58" s="624">
        <v>1</v>
      </c>
      <c r="E58" s="635" t="s">
        <v>994</v>
      </c>
    </row>
    <row r="59" spans="1:23">
      <c r="A59" s="634" t="s">
        <v>956</v>
      </c>
      <c r="B59" s="624"/>
      <c r="C59" s="624" t="s">
        <v>995</v>
      </c>
      <c r="D59" s="624"/>
      <c r="E59" s="635"/>
    </row>
    <row r="60" spans="1:23">
      <c r="A60" s="634" t="s">
        <v>957</v>
      </c>
      <c r="B60" s="624"/>
      <c r="C60" s="624"/>
      <c r="D60" s="624"/>
      <c r="E60" s="635"/>
    </row>
    <row r="61" spans="1:23">
      <c r="A61" s="686" t="s">
        <v>959</v>
      </c>
      <c r="B61" s="624" t="s">
        <v>954</v>
      </c>
      <c r="C61" s="624"/>
      <c r="D61" s="624">
        <v>2</v>
      </c>
      <c r="E61" s="635" t="s">
        <v>996</v>
      </c>
    </row>
    <row r="62" spans="1:23">
      <c r="A62" s="686" t="s">
        <v>961</v>
      </c>
      <c r="B62" s="624" t="s">
        <v>954</v>
      </c>
      <c r="C62" s="624">
        <v>4</v>
      </c>
      <c r="D62" s="624">
        <v>6.125</v>
      </c>
      <c r="E62" s="635" t="s">
        <v>997</v>
      </c>
    </row>
    <row r="63" spans="1:23">
      <c r="A63" s="686" t="s">
        <v>963</v>
      </c>
      <c r="B63" s="624" t="s">
        <v>1005</v>
      </c>
      <c r="C63" s="624"/>
      <c r="D63" s="624"/>
      <c r="E63" s="635"/>
    </row>
    <row r="64" spans="1:23">
      <c r="A64" s="686" t="s">
        <v>965</v>
      </c>
      <c r="B64" s="624" t="s">
        <v>954</v>
      </c>
      <c r="C64" s="688" t="s">
        <v>999</v>
      </c>
      <c r="D64" s="624">
        <v>1</v>
      </c>
      <c r="E64" s="635" t="s">
        <v>1000</v>
      </c>
    </row>
    <row r="65" spans="1:6">
      <c r="A65" s="634" t="s">
        <v>967</v>
      </c>
      <c r="B65" s="624"/>
      <c r="C65" s="624"/>
      <c r="D65" s="624"/>
      <c r="E65" s="635"/>
    </row>
    <row r="66" spans="1:6">
      <c r="A66" s="686" t="s">
        <v>969</v>
      </c>
      <c r="B66" s="624"/>
      <c r="C66" s="624" t="s">
        <v>995</v>
      </c>
      <c r="D66" s="624"/>
      <c r="E66" s="635"/>
    </row>
    <row r="67" spans="1:6">
      <c r="A67" s="634" t="s">
        <v>971</v>
      </c>
      <c r="B67" s="624" t="s">
        <v>1005</v>
      </c>
      <c r="C67" s="624"/>
      <c r="D67" s="624"/>
      <c r="E67" s="635"/>
    </row>
    <row r="68" spans="1:6" ht="150">
      <c r="A68" s="642" t="s">
        <v>1001</v>
      </c>
      <c r="B68" s="624" t="s">
        <v>954</v>
      </c>
      <c r="C68" s="624"/>
      <c r="D68" s="624">
        <v>1.5</v>
      </c>
      <c r="E68" s="635" t="s">
        <v>996</v>
      </c>
    </row>
    <row r="69" spans="1:6">
      <c r="A69" s="686" t="s">
        <v>1002</v>
      </c>
      <c r="B69" s="624" t="s">
        <v>954</v>
      </c>
      <c r="C69" s="624"/>
      <c r="D69" s="624">
        <v>1</v>
      </c>
      <c r="E69" s="635" t="s">
        <v>996</v>
      </c>
    </row>
    <row r="73" spans="1:6">
      <c r="A73" s="2311" t="s">
        <v>1270</v>
      </c>
      <c r="B73" s="2312"/>
      <c r="C73" s="2312"/>
      <c r="D73" s="2312"/>
      <c r="E73" s="2312"/>
      <c r="F73" s="2312"/>
    </row>
    <row r="74" spans="1:6" ht="75">
      <c r="A74" s="1301" t="s">
        <v>1271</v>
      </c>
      <c r="B74" s="1301" t="s">
        <v>1272</v>
      </c>
      <c r="C74" s="1301" t="s">
        <v>1273</v>
      </c>
      <c r="D74" s="1301" t="s">
        <v>1274</v>
      </c>
      <c r="E74" s="1301" t="s">
        <v>1275</v>
      </c>
      <c r="F74" s="1301" t="s">
        <v>1276</v>
      </c>
    </row>
    <row r="75" spans="1:6" ht="390">
      <c r="A75" s="1302" t="s">
        <v>1335</v>
      </c>
      <c r="B75" s="1303" t="s">
        <v>1336</v>
      </c>
      <c r="C75" s="1300" t="s">
        <v>1337</v>
      </c>
      <c r="D75" s="1300" t="s">
        <v>954</v>
      </c>
      <c r="E75" s="1300"/>
      <c r="F75" s="1300"/>
    </row>
    <row r="76" spans="1:6" ht="75">
      <c r="A76" s="1300" t="s">
        <v>1338</v>
      </c>
      <c r="B76" s="1303" t="s">
        <v>1339</v>
      </c>
      <c r="C76" s="1300" t="s">
        <v>1340</v>
      </c>
      <c r="D76" s="1300" t="s">
        <v>1005</v>
      </c>
      <c r="E76" s="1300"/>
      <c r="F76" s="1300"/>
    </row>
    <row r="77" spans="1:6" ht="255">
      <c r="A77" s="1303" t="s">
        <v>1341</v>
      </c>
      <c r="B77" s="1303" t="s">
        <v>1342</v>
      </c>
      <c r="C77" s="1300"/>
      <c r="D77" s="1300" t="s">
        <v>1005</v>
      </c>
      <c r="E77" s="1300"/>
      <c r="F77" s="1300"/>
    </row>
  </sheetData>
  <mergeCells count="59">
    <mergeCell ref="A73:F73"/>
    <mergeCell ref="A15:B17"/>
    <mergeCell ref="F15:H17"/>
    <mergeCell ref="A10:B10"/>
    <mergeCell ref="E12:H13"/>
    <mergeCell ref="A14:B14"/>
    <mergeCell ref="F14:H14"/>
    <mergeCell ref="C10:H10"/>
    <mergeCell ref="A18:B20"/>
    <mergeCell ref="F18:H20"/>
    <mergeCell ref="A21:B22"/>
    <mergeCell ref="F21:H22"/>
    <mergeCell ref="A27:B29"/>
    <mergeCell ref="F27:H29"/>
    <mergeCell ref="A23:B25"/>
    <mergeCell ref="F23:H25"/>
    <mergeCell ref="B2:D2"/>
    <mergeCell ref="B3:D3"/>
    <mergeCell ref="B4:D4"/>
    <mergeCell ref="B6:D6"/>
    <mergeCell ref="B8:D8"/>
    <mergeCell ref="A26:C26"/>
    <mergeCell ref="F26:H26"/>
    <mergeCell ref="A30:B32"/>
    <mergeCell ref="F30:H32"/>
    <mergeCell ref="A33:B33"/>
    <mergeCell ref="F33:H33"/>
    <mergeCell ref="A34:B34"/>
    <mergeCell ref="F34:H34"/>
    <mergeCell ref="A35:B36"/>
    <mergeCell ref="F35:H36"/>
    <mergeCell ref="A37:B39"/>
    <mergeCell ref="F37:H37"/>
    <mergeCell ref="F38:H38"/>
    <mergeCell ref="F39:H39"/>
    <mergeCell ref="F46:H46"/>
    <mergeCell ref="F47:H47"/>
    <mergeCell ref="F48:H48"/>
    <mergeCell ref="A40:B42"/>
    <mergeCell ref="F40:H41"/>
    <mergeCell ref="F42:H42"/>
    <mergeCell ref="A43:C43"/>
    <mergeCell ref="F43:H43"/>
    <mergeCell ref="I13:M13"/>
    <mergeCell ref="N13:R13"/>
    <mergeCell ref="S13:W13"/>
    <mergeCell ref="A54:B54"/>
    <mergeCell ref="F54:H54"/>
    <mergeCell ref="A49:B50"/>
    <mergeCell ref="F49:H49"/>
    <mergeCell ref="F50:H50"/>
    <mergeCell ref="A51:B53"/>
    <mergeCell ref="F51:H51"/>
    <mergeCell ref="F52:H52"/>
    <mergeCell ref="F53:H53"/>
    <mergeCell ref="A44:C44"/>
    <mergeCell ref="F44:H44"/>
    <mergeCell ref="A45:B48"/>
    <mergeCell ref="F45:H45"/>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2" location="SOMMAIRE!A1" display="Retour sommaire"/>
    <hyperlink ref="J4" location="SYNTHESE!A1" display="Retour synthèse"/>
  </hyperlinks>
  <pageMargins left="0.7" right="0.7" top="0.75" bottom="0.75" header="0.3" footer="0.3"/>
  <pageSetup paperSize="9" scale="74"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46"/>
  <sheetViews>
    <sheetView topLeftCell="A13" workbookViewId="0">
      <selection activeCell="H28" sqref="H28"/>
    </sheetView>
  </sheetViews>
  <sheetFormatPr baseColWidth="10" defaultRowHeight="15"/>
  <cols>
    <col min="3" max="3" width="49.28515625" customWidth="1"/>
    <col min="7" max="7" width="18" customWidth="1"/>
    <col min="11" max="11" width="11.85546875" bestFit="1" customWidth="1"/>
  </cols>
  <sheetData>
    <row r="1" spans="1:19" ht="15.75" thickBot="1"/>
    <row r="2" spans="1:19" ht="15.75" thickBot="1">
      <c r="A2" s="109" t="s">
        <v>0</v>
      </c>
      <c r="B2" s="2387" t="s">
        <v>862</v>
      </c>
      <c r="C2" s="2144"/>
      <c r="D2" s="2145"/>
      <c r="E2" s="110"/>
      <c r="F2" s="111" t="s">
        <v>462</v>
      </c>
      <c r="G2" s="112" t="s">
        <v>53</v>
      </c>
      <c r="I2" s="11" t="s">
        <v>73</v>
      </c>
      <c r="J2" s="1251"/>
    </row>
    <row r="3" spans="1:19" ht="15.75" thickBot="1">
      <c r="A3" s="113" t="s">
        <v>344</v>
      </c>
      <c r="B3" s="2387" t="s">
        <v>784</v>
      </c>
      <c r="C3" s="2175"/>
      <c r="D3" s="2176"/>
      <c r="E3" s="110"/>
      <c r="F3" s="114" t="s">
        <v>10</v>
      </c>
      <c r="G3" s="112" t="s">
        <v>16</v>
      </c>
      <c r="I3" s="1251"/>
      <c r="J3" s="1251"/>
    </row>
    <row r="4" spans="1:19" ht="15.75" thickBot="1">
      <c r="A4" s="114" t="s">
        <v>3</v>
      </c>
      <c r="B4" s="2032" t="s">
        <v>229</v>
      </c>
      <c r="C4" s="2144"/>
      <c r="D4" s="2145"/>
      <c r="E4" s="110"/>
      <c r="F4" s="116" t="s">
        <v>26</v>
      </c>
      <c r="G4" s="117">
        <v>10</v>
      </c>
      <c r="I4" s="13" t="s">
        <v>381</v>
      </c>
      <c r="J4" s="1251"/>
    </row>
    <row r="5" spans="1:19" ht="15.75" thickBot="1">
      <c r="A5" s="110"/>
      <c r="B5" s="110"/>
      <c r="C5" s="110"/>
      <c r="D5" s="110"/>
      <c r="E5" s="110"/>
      <c r="F5" s="110"/>
      <c r="G5" s="110"/>
    </row>
    <row r="6" spans="1:19" ht="75.75" thickBot="1">
      <c r="A6" s="109" t="s">
        <v>465</v>
      </c>
      <c r="B6" s="2102" t="s">
        <v>1587</v>
      </c>
      <c r="C6" s="2103"/>
      <c r="D6" s="2104"/>
      <c r="E6" s="110"/>
      <c r="F6" s="118" t="s">
        <v>466</v>
      </c>
      <c r="G6" s="119" t="s">
        <v>863</v>
      </c>
    </row>
    <row r="7" spans="1:19" ht="15.75" thickBot="1">
      <c r="B7" s="110"/>
      <c r="C7" s="110"/>
      <c r="D7" s="110"/>
      <c r="E7" s="110"/>
      <c r="F7" s="120"/>
      <c r="G7" s="110"/>
    </row>
    <row r="8" spans="1:19" ht="60.75" thickBot="1">
      <c r="A8" s="121" t="s">
        <v>7</v>
      </c>
      <c r="B8" s="2032" t="s">
        <v>1643</v>
      </c>
      <c r="C8" s="2144"/>
      <c r="D8" s="2145"/>
      <c r="E8" s="122"/>
      <c r="F8" s="121" t="s">
        <v>469</v>
      </c>
      <c r="G8" s="123" t="s">
        <v>470</v>
      </c>
    </row>
    <row r="9" spans="1:19">
      <c r="B9" s="110"/>
      <c r="C9" s="110"/>
      <c r="D9" s="110"/>
      <c r="E9" s="110"/>
      <c r="F9" s="120"/>
      <c r="G9" s="110"/>
    </row>
    <row r="10" spans="1:19" ht="409.5" customHeight="1">
      <c r="A10" s="2174" t="s">
        <v>471</v>
      </c>
      <c r="B10" s="2148"/>
      <c r="C10" s="2028" t="s">
        <v>864</v>
      </c>
      <c r="D10" s="2028"/>
      <c r="E10" s="2028"/>
      <c r="F10" s="2028"/>
      <c r="G10" s="2028"/>
      <c r="H10" s="2028"/>
      <c r="I10" s="2028"/>
      <c r="J10" s="2028"/>
      <c r="K10" s="2028"/>
      <c r="L10" s="2028"/>
      <c r="M10" s="2028"/>
      <c r="N10" s="2028"/>
      <c r="O10" s="2028"/>
      <c r="P10" s="2028"/>
      <c r="Q10" s="2028"/>
      <c r="R10" s="2028"/>
      <c r="S10" s="2028"/>
    </row>
    <row r="11" spans="1:19">
      <c r="A11" s="126"/>
      <c r="B11" s="115"/>
      <c r="C11" s="115"/>
      <c r="D11" s="115"/>
      <c r="E11" s="122"/>
      <c r="F11" s="125"/>
      <c r="G11" s="125"/>
    </row>
    <row r="12" spans="1:19">
      <c r="A12" s="126"/>
      <c r="B12" s="115"/>
      <c r="C12" s="115"/>
      <c r="D12" s="115"/>
      <c r="E12" s="2148"/>
      <c r="F12" s="2148"/>
      <c r="G12" s="2148"/>
    </row>
    <row r="13" spans="1:19">
      <c r="A13" s="110"/>
      <c r="B13" s="110"/>
      <c r="C13" s="110"/>
      <c r="D13" s="110"/>
      <c r="E13" s="2141"/>
      <c r="F13" s="2141"/>
      <c r="G13" s="2141"/>
      <c r="H13" s="2383">
        <v>2025</v>
      </c>
      <c r="I13" s="2383"/>
      <c r="J13" s="2383"/>
      <c r="K13" s="2383"/>
      <c r="L13" s="2383">
        <v>2026</v>
      </c>
      <c r="M13" s="2383"/>
      <c r="N13" s="2383"/>
      <c r="O13" s="2383"/>
      <c r="P13" s="2383">
        <v>2027</v>
      </c>
      <c r="Q13" s="2383"/>
      <c r="R13" s="2383"/>
      <c r="S13" s="2383"/>
    </row>
    <row r="14" spans="1:19" ht="45.75" thickBot="1">
      <c r="A14" s="2184" t="s">
        <v>5</v>
      </c>
      <c r="B14" s="2137"/>
      <c r="C14" s="128" t="s">
        <v>1</v>
      </c>
      <c r="D14" s="128" t="s">
        <v>260</v>
      </c>
      <c r="E14" s="2182" t="s">
        <v>6</v>
      </c>
      <c r="F14" s="2097"/>
      <c r="G14" s="2098"/>
      <c r="H14" s="987" t="s">
        <v>944</v>
      </c>
      <c r="I14" s="988" t="s">
        <v>945</v>
      </c>
      <c r="J14" s="987" t="s">
        <v>946</v>
      </c>
      <c r="K14" s="989" t="s">
        <v>947</v>
      </c>
      <c r="L14" s="987" t="s">
        <v>944</v>
      </c>
      <c r="M14" s="988" t="s">
        <v>945</v>
      </c>
      <c r="N14" s="987" t="s">
        <v>946</v>
      </c>
      <c r="O14" s="989" t="s">
        <v>947</v>
      </c>
      <c r="P14" s="987" t="s">
        <v>944</v>
      </c>
      <c r="Q14" s="988" t="s">
        <v>945</v>
      </c>
      <c r="R14" s="987" t="s">
        <v>946</v>
      </c>
      <c r="S14" s="989" t="s">
        <v>947</v>
      </c>
    </row>
    <row r="15" spans="1:19" ht="15.75">
      <c r="A15" s="2169" t="s">
        <v>491</v>
      </c>
      <c r="B15" s="2170"/>
      <c r="C15" s="159" t="s">
        <v>144</v>
      </c>
      <c r="D15" s="160" t="s">
        <v>253</v>
      </c>
      <c r="E15" s="1828" t="s">
        <v>865</v>
      </c>
      <c r="F15" s="2140"/>
      <c r="G15" s="2137"/>
      <c r="H15" s="990">
        <v>1</v>
      </c>
      <c r="I15" s="990"/>
      <c r="J15" s="990" t="s">
        <v>1132</v>
      </c>
      <c r="K15" s="992"/>
      <c r="L15" s="990"/>
      <c r="M15" s="990"/>
      <c r="N15" s="990"/>
      <c r="O15" s="990"/>
      <c r="P15" s="990"/>
      <c r="Q15" s="990"/>
      <c r="R15" s="990"/>
      <c r="S15" s="991"/>
    </row>
    <row r="16" spans="1:19" ht="16.5" thickBot="1">
      <c r="A16" s="2148"/>
      <c r="B16" s="2158"/>
      <c r="C16" s="161" t="s">
        <v>145</v>
      </c>
      <c r="D16" s="160" t="s">
        <v>254</v>
      </c>
      <c r="E16" s="2141"/>
      <c r="F16" s="2141"/>
      <c r="G16" s="2142"/>
      <c r="H16" s="990"/>
      <c r="I16" s="990"/>
      <c r="J16" s="990"/>
      <c r="K16" s="992"/>
      <c r="L16" s="990"/>
      <c r="M16" s="990"/>
      <c r="N16" s="990"/>
      <c r="O16" s="990"/>
      <c r="P16" s="990">
        <v>1</v>
      </c>
      <c r="Q16" s="990"/>
      <c r="R16" s="990" t="s">
        <v>1132</v>
      </c>
      <c r="S16" s="994">
        <v>5025</v>
      </c>
    </row>
    <row r="17" spans="1:19" ht="36.75" customHeight="1" thickBot="1">
      <c r="A17" s="2146" t="s">
        <v>493</v>
      </c>
      <c r="B17" s="2144"/>
      <c r="C17" s="2145"/>
      <c r="D17" s="163" t="s">
        <v>237</v>
      </c>
      <c r="E17" s="1818" t="s">
        <v>866</v>
      </c>
      <c r="F17" s="2097"/>
      <c r="G17" s="2098"/>
      <c r="H17" s="990">
        <v>1</v>
      </c>
      <c r="I17" s="990"/>
      <c r="J17" s="990" t="s">
        <v>1132</v>
      </c>
      <c r="K17" s="993">
        <v>16300</v>
      </c>
      <c r="L17" s="990"/>
      <c r="M17" s="990"/>
      <c r="N17" s="990"/>
      <c r="O17" s="990"/>
      <c r="P17" s="990"/>
      <c r="Q17" s="990"/>
      <c r="R17" s="990"/>
      <c r="S17" s="991"/>
    </row>
    <row r="18" spans="1:19">
      <c r="A18" s="2147" t="s">
        <v>41</v>
      </c>
      <c r="B18" s="2148"/>
      <c r="C18" s="164" t="s">
        <v>50</v>
      </c>
      <c r="D18" s="165" t="s">
        <v>246</v>
      </c>
      <c r="E18" s="1785" t="s">
        <v>867</v>
      </c>
      <c r="F18" s="2097"/>
      <c r="G18" s="2098"/>
      <c r="H18" s="990"/>
      <c r="I18" s="990"/>
      <c r="J18" s="990"/>
      <c r="K18" s="992"/>
      <c r="L18" s="990"/>
      <c r="M18" s="990"/>
      <c r="N18" s="990"/>
      <c r="O18" s="990"/>
      <c r="P18" s="990">
        <v>1</v>
      </c>
      <c r="Q18" s="990"/>
      <c r="R18" s="990" t="s">
        <v>1054</v>
      </c>
      <c r="S18" s="994">
        <v>1450</v>
      </c>
    </row>
    <row r="19" spans="1:19" ht="41.25" customHeight="1">
      <c r="A19" s="2138"/>
      <c r="B19" s="2148"/>
      <c r="C19" s="166" t="s">
        <v>51</v>
      </c>
      <c r="D19" s="165" t="s">
        <v>247</v>
      </c>
      <c r="E19" s="1785" t="s">
        <v>868</v>
      </c>
      <c r="F19" s="2097"/>
      <c r="G19" s="2098"/>
      <c r="H19" s="990">
        <v>1</v>
      </c>
      <c r="I19" s="990"/>
      <c r="J19" s="990" t="s">
        <v>1132</v>
      </c>
      <c r="K19" s="993">
        <v>3625</v>
      </c>
      <c r="L19" s="990"/>
      <c r="M19" s="990"/>
      <c r="N19" s="990"/>
      <c r="O19" s="990"/>
      <c r="P19" s="990"/>
      <c r="Q19" s="990"/>
      <c r="R19" s="990"/>
      <c r="S19" s="991"/>
    </row>
    <row r="20" spans="1:19">
      <c r="A20" s="2138"/>
      <c r="B20" s="2148"/>
      <c r="C20" s="166" t="s">
        <v>39</v>
      </c>
      <c r="D20" s="165" t="s">
        <v>248</v>
      </c>
      <c r="E20" s="1785" t="s">
        <v>869</v>
      </c>
      <c r="F20" s="2097"/>
      <c r="G20" s="2098"/>
      <c r="H20" s="995"/>
      <c r="I20" s="995"/>
      <c r="J20" s="995"/>
      <c r="K20" s="995"/>
      <c r="L20" s="990">
        <v>1</v>
      </c>
      <c r="M20" s="990"/>
      <c r="N20" s="990" t="s">
        <v>1140</v>
      </c>
      <c r="O20" s="993">
        <v>1500</v>
      </c>
      <c r="P20" s="990"/>
      <c r="Q20" s="990"/>
      <c r="R20" s="990"/>
      <c r="S20" s="991"/>
    </row>
    <row r="21" spans="1:19" ht="15.75" thickBot="1">
      <c r="A21" s="2138"/>
      <c r="B21" s="2148"/>
      <c r="C21" s="167" t="s">
        <v>40</v>
      </c>
      <c r="D21" s="165" t="s">
        <v>249</v>
      </c>
      <c r="E21" s="1785" t="s">
        <v>870</v>
      </c>
      <c r="F21" s="2097"/>
      <c r="G21" s="2098"/>
      <c r="H21" s="990"/>
      <c r="I21" s="990"/>
      <c r="J21" s="990"/>
      <c r="K21" s="992"/>
      <c r="L21" s="990"/>
      <c r="M21" s="990"/>
      <c r="N21" s="990"/>
      <c r="O21" s="990"/>
      <c r="P21" s="990">
        <v>1</v>
      </c>
      <c r="Q21" s="990"/>
      <c r="R21" s="990" t="s">
        <v>1055</v>
      </c>
      <c r="S21" s="994">
        <v>1270</v>
      </c>
    </row>
    <row r="22" spans="1:19" ht="48" thickBot="1">
      <c r="A22" s="2385" t="s">
        <v>130</v>
      </c>
      <c r="B22" s="2386"/>
      <c r="C22" s="559" t="s">
        <v>132</v>
      </c>
      <c r="D22" s="160" t="s">
        <v>263</v>
      </c>
      <c r="E22" s="2153"/>
      <c r="F22" s="2097"/>
      <c r="G22" s="2098"/>
      <c r="H22" s="990"/>
      <c r="I22" s="990"/>
      <c r="J22" s="990"/>
      <c r="K22" s="992"/>
      <c r="L22" s="990">
        <v>1</v>
      </c>
      <c r="M22" s="990"/>
      <c r="N22" s="990" t="s">
        <v>1132</v>
      </c>
      <c r="O22" s="993">
        <v>5100</v>
      </c>
      <c r="P22" s="990"/>
      <c r="Q22" s="990"/>
      <c r="R22" s="990"/>
      <c r="S22" s="991"/>
    </row>
    <row r="23" spans="1:19">
      <c r="A23" s="2384" t="s">
        <v>42</v>
      </c>
      <c r="B23" s="2148"/>
      <c r="C23" s="169" t="s">
        <v>38</v>
      </c>
      <c r="D23" s="170" t="s">
        <v>239</v>
      </c>
      <c r="E23" s="1818" t="s">
        <v>871</v>
      </c>
      <c r="F23" s="2097"/>
      <c r="G23" s="2098"/>
      <c r="H23" s="990">
        <v>1</v>
      </c>
      <c r="I23" s="990"/>
      <c r="J23" s="990" t="s">
        <v>1141</v>
      </c>
      <c r="K23" s="993">
        <v>800</v>
      </c>
      <c r="L23" s="990">
        <v>1</v>
      </c>
      <c r="M23" s="966"/>
      <c r="N23" s="990" t="s">
        <v>1141</v>
      </c>
      <c r="O23" s="993">
        <v>800</v>
      </c>
      <c r="P23" s="990">
        <v>2</v>
      </c>
      <c r="Q23" s="990"/>
      <c r="R23" s="990" t="s">
        <v>1142</v>
      </c>
      <c r="S23" s="994">
        <v>2000</v>
      </c>
    </row>
    <row r="24" spans="1:19">
      <c r="A24" s="2148"/>
      <c r="B24" s="2148"/>
      <c r="C24" s="171" t="s">
        <v>55</v>
      </c>
      <c r="D24" s="170" t="s">
        <v>240</v>
      </c>
      <c r="E24" s="2155"/>
      <c r="F24" s="2097"/>
      <c r="G24" s="2098"/>
      <c r="H24" s="990">
        <v>1</v>
      </c>
      <c r="I24" s="990"/>
      <c r="J24" s="990">
        <v>2</v>
      </c>
      <c r="K24" s="993">
        <v>620</v>
      </c>
      <c r="L24" s="990"/>
      <c r="M24" s="990"/>
      <c r="N24" s="990"/>
      <c r="O24" s="990"/>
      <c r="P24" s="990"/>
      <c r="Q24" s="990"/>
      <c r="R24" s="990"/>
      <c r="S24" s="991"/>
    </row>
    <row r="27" spans="1:19">
      <c r="K27" s="1015">
        <f>SUM(K15:K24)</f>
        <v>21345</v>
      </c>
    </row>
    <row r="29" spans="1:19">
      <c r="A29" s="2198" t="s">
        <v>1270</v>
      </c>
      <c r="B29" s="2199"/>
      <c r="C29" s="2199"/>
      <c r="D29" s="2199"/>
      <c r="E29" s="2199"/>
      <c r="F29" s="2199"/>
    </row>
    <row r="30" spans="1:19" ht="105">
      <c r="A30" s="1520" t="s">
        <v>1271</v>
      </c>
      <c r="B30" s="1520" t="s">
        <v>1272</v>
      </c>
      <c r="C30" s="1520" t="s">
        <v>1273</v>
      </c>
      <c r="D30" s="1520" t="s">
        <v>1274</v>
      </c>
      <c r="E30" s="1520" t="s">
        <v>1275</v>
      </c>
      <c r="F30" s="1520" t="s">
        <v>1276</v>
      </c>
    </row>
    <row r="31" spans="1:19">
      <c r="A31" s="1885" t="s">
        <v>1381</v>
      </c>
      <c r="B31" s="1885" t="s">
        <v>1278</v>
      </c>
      <c r="C31" s="1886" t="s">
        <v>1307</v>
      </c>
      <c r="D31" s="1886" t="s">
        <v>954</v>
      </c>
      <c r="E31" s="1521" t="s">
        <v>1382</v>
      </c>
      <c r="F31" s="1522">
        <v>2</v>
      </c>
    </row>
    <row r="32" spans="1:19">
      <c r="A32" s="1885"/>
      <c r="B32" s="1885"/>
      <c r="C32" s="1886"/>
      <c r="D32" s="1886"/>
      <c r="E32" s="1521" t="s">
        <v>1544</v>
      </c>
      <c r="F32" s="1522">
        <v>1</v>
      </c>
    </row>
    <row r="33" spans="1:6">
      <c r="A33" s="1885"/>
      <c r="B33" s="1885"/>
      <c r="C33" s="1886"/>
      <c r="D33" s="1886"/>
      <c r="E33" s="1521" t="s">
        <v>1285</v>
      </c>
      <c r="F33" s="1521">
        <v>3</v>
      </c>
    </row>
    <row r="34" spans="1:6">
      <c r="A34" s="1887" t="s">
        <v>1389</v>
      </c>
      <c r="B34" s="1885" t="s">
        <v>1287</v>
      </c>
      <c r="C34" s="1886" t="s">
        <v>1307</v>
      </c>
      <c r="D34" s="1886" t="s">
        <v>954</v>
      </c>
      <c r="E34" s="1521" t="s">
        <v>237</v>
      </c>
      <c r="F34" s="1521"/>
    </row>
    <row r="35" spans="1:6">
      <c r="A35" s="1887"/>
      <c r="B35" s="1885"/>
      <c r="C35" s="1886"/>
      <c r="D35" s="1886"/>
      <c r="E35" s="1521" t="s">
        <v>1390</v>
      </c>
      <c r="F35" s="1522">
        <v>4</v>
      </c>
    </row>
    <row r="36" spans="1:6">
      <c r="A36" s="1887" t="s">
        <v>1286</v>
      </c>
      <c r="B36" s="1885" t="s">
        <v>1287</v>
      </c>
      <c r="C36" s="1886" t="s">
        <v>1283</v>
      </c>
      <c r="D36" s="1886" t="s">
        <v>954</v>
      </c>
      <c r="E36" s="1521" t="s">
        <v>1390</v>
      </c>
      <c r="F36" s="1522"/>
    </row>
    <row r="37" spans="1:6">
      <c r="A37" s="1887"/>
      <c r="B37" s="1885"/>
      <c r="C37" s="1886"/>
      <c r="D37" s="1886"/>
      <c r="E37" s="1521" t="s">
        <v>237</v>
      </c>
      <c r="F37" s="1521">
        <v>1</v>
      </c>
    </row>
    <row r="38" spans="1:6">
      <c r="A38" s="1887"/>
      <c r="B38" s="1885"/>
      <c r="C38" s="1886"/>
      <c r="D38" s="1886"/>
      <c r="E38" s="1521" t="s">
        <v>1285</v>
      </c>
      <c r="F38" s="1521">
        <v>1</v>
      </c>
    </row>
    <row r="39" spans="1:6">
      <c r="A39" s="1887" t="s">
        <v>1288</v>
      </c>
      <c r="B39" s="1885" t="s">
        <v>1287</v>
      </c>
      <c r="C39" s="1886" t="s">
        <v>1289</v>
      </c>
      <c r="D39" s="1886" t="s">
        <v>954</v>
      </c>
      <c r="E39" s="1521" t="s">
        <v>237</v>
      </c>
      <c r="F39" s="1521"/>
    </row>
    <row r="40" spans="1:6">
      <c r="A40" s="1887"/>
      <c r="B40" s="1885"/>
      <c r="C40" s="1886"/>
      <c r="D40" s="1886"/>
      <c r="E40" s="1521" t="s">
        <v>1390</v>
      </c>
      <c r="F40" s="1522"/>
    </row>
    <row r="41" spans="1:6">
      <c r="A41" s="1888" t="s">
        <v>1393</v>
      </c>
      <c r="B41" s="1885" t="s">
        <v>1282</v>
      </c>
      <c r="C41" s="1886" t="s">
        <v>1283</v>
      </c>
      <c r="D41" s="1886" t="s">
        <v>954</v>
      </c>
      <c r="E41" s="1521" t="s">
        <v>237</v>
      </c>
      <c r="F41" s="1521"/>
    </row>
    <row r="42" spans="1:6">
      <c r="A42" s="1888"/>
      <c r="B42" s="1885"/>
      <c r="C42" s="1886"/>
      <c r="D42" s="1886"/>
      <c r="E42" s="1521" t="s">
        <v>1390</v>
      </c>
      <c r="F42" s="1522"/>
    </row>
    <row r="43" spans="1:6">
      <c r="A43" s="1885" t="s">
        <v>1398</v>
      </c>
      <c r="B43" s="1885" t="s">
        <v>1287</v>
      </c>
      <c r="C43" s="1886" t="s">
        <v>1307</v>
      </c>
      <c r="D43" s="1886" t="s">
        <v>954</v>
      </c>
      <c r="E43" s="1521" t="s">
        <v>1285</v>
      </c>
      <c r="F43" s="1521"/>
    </row>
    <row r="44" spans="1:6">
      <c r="A44" s="1885"/>
      <c r="B44" s="1885"/>
      <c r="C44" s="1886"/>
      <c r="D44" s="1886"/>
      <c r="E44" s="1521" t="s">
        <v>1382</v>
      </c>
      <c r="F44" s="1522"/>
    </row>
    <row r="45" spans="1:6">
      <c r="A45" s="1885"/>
      <c r="B45" s="1885"/>
      <c r="C45" s="1886"/>
      <c r="D45" s="1886"/>
      <c r="E45" s="1521" t="s">
        <v>1387</v>
      </c>
      <c r="F45" s="1522">
        <v>1</v>
      </c>
    </row>
    <row r="46" spans="1:6">
      <c r="A46" s="1885"/>
      <c r="B46" s="1885"/>
      <c r="C46" s="1886"/>
      <c r="D46" s="1886"/>
      <c r="E46" s="1521" t="s">
        <v>237</v>
      </c>
      <c r="F46" s="1521"/>
    </row>
  </sheetData>
  <mergeCells count="52">
    <mergeCell ref="A29:F29"/>
    <mergeCell ref="A39:A40"/>
    <mergeCell ref="B39:B40"/>
    <mergeCell ref="C39:C40"/>
    <mergeCell ref="D39:D40"/>
    <mergeCell ref="A34:A35"/>
    <mergeCell ref="B34:B35"/>
    <mergeCell ref="C34:C35"/>
    <mergeCell ref="D34:D35"/>
    <mergeCell ref="A31:A33"/>
    <mergeCell ref="B31:B33"/>
    <mergeCell ref="C31:C33"/>
    <mergeCell ref="D31:D33"/>
    <mergeCell ref="A36:A38"/>
    <mergeCell ref="B36:B38"/>
    <mergeCell ref="C36:C38"/>
    <mergeCell ref="D36:D38"/>
    <mergeCell ref="A43:A46"/>
    <mergeCell ref="B43:B46"/>
    <mergeCell ref="C43:C46"/>
    <mergeCell ref="D43:D46"/>
    <mergeCell ref="A41:A42"/>
    <mergeCell ref="B41:B42"/>
    <mergeCell ref="C41:C42"/>
    <mergeCell ref="D41:D42"/>
    <mergeCell ref="P13:S13"/>
    <mergeCell ref="A17:C17"/>
    <mergeCell ref="E17:G17"/>
    <mergeCell ref="B2:D2"/>
    <mergeCell ref="B3:D3"/>
    <mergeCell ref="B4:D4"/>
    <mergeCell ref="B6:D6"/>
    <mergeCell ref="B8:D8"/>
    <mergeCell ref="A10:B10"/>
    <mergeCell ref="C10:S10"/>
    <mergeCell ref="E12:G13"/>
    <mergeCell ref="A14:B14"/>
    <mergeCell ref="E14:G14"/>
    <mergeCell ref="A15:B16"/>
    <mergeCell ref="E15:G16"/>
    <mergeCell ref="H13:K13"/>
    <mergeCell ref="L13:O13"/>
    <mergeCell ref="A23:B24"/>
    <mergeCell ref="E23:G23"/>
    <mergeCell ref="E24:G24"/>
    <mergeCell ref="A18:B21"/>
    <mergeCell ref="E18:G18"/>
    <mergeCell ref="E19:G19"/>
    <mergeCell ref="E20:G20"/>
    <mergeCell ref="E21:G21"/>
    <mergeCell ref="A22:B22"/>
    <mergeCell ref="E22:G22"/>
  </mergeCells>
  <dataValidations count="3">
    <dataValidation type="list" allowBlank="1" showErrorMessage="1" sqref="G8">
      <formula1>"Enjeu EAU AESN,Enjeu EAU AEAP,Enjeu ZH et prairies AEAP,Enjeu Erosion AEAP,Enjeu Biodiversité MASA"</formula1>
    </dataValidation>
    <dataValidation type="list" allowBlank="1" showErrorMessage="1" sqref="G2">
      <formula1>$M$2:$M$3</formula1>
    </dataValidation>
    <dataValidation type="list" allowBlank="1" showErrorMessage="1" sqref="G3">
      <formula1>$M$4:$M$5</formula1>
    </dataValidation>
  </dataValidations>
  <hyperlinks>
    <hyperlink ref="I2" location="SOMMAIRE!A1" display="Retour sommaire"/>
    <hyperlink ref="I4" location="SYNTHESE!A1" display="Retour synthèse"/>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XFD52"/>
  <sheetViews>
    <sheetView topLeftCell="A13" workbookViewId="0">
      <selection activeCell="B4" sqref="B4:D4"/>
    </sheetView>
  </sheetViews>
  <sheetFormatPr baseColWidth="10" defaultRowHeight="15"/>
  <cols>
    <col min="1" max="1" width="20.42578125" style="1" bestFit="1" customWidth="1"/>
    <col min="2" max="2" width="15.7109375" style="1" customWidth="1"/>
    <col min="3" max="3" width="40.28515625" style="1" customWidth="1"/>
    <col min="4" max="4" width="9.140625" style="1" customWidth="1"/>
    <col min="5" max="5" width="7.5703125" style="1" customWidth="1"/>
    <col min="6" max="6" width="16.28515625" style="1" bestFit="1" customWidth="1"/>
    <col min="7" max="7" width="20.28515625" style="1" bestFit="1" customWidth="1"/>
    <col min="8" max="8" width="2" hidden="1" customWidth="1"/>
    <col min="9" max="9" width="5.7109375" customWidth="1"/>
    <col min="10" max="10" width="16.42578125" bestFit="1" customWidth="1"/>
  </cols>
  <sheetData>
    <row r="1" spans="1:20" ht="15.75" thickBot="1">
      <c r="A1"/>
      <c r="B1"/>
      <c r="C1"/>
      <c r="D1"/>
      <c r="E1"/>
      <c r="F1"/>
      <c r="G1"/>
    </row>
    <row r="2" spans="1:20" ht="15.75" thickBot="1">
      <c r="A2" s="109" t="s">
        <v>0</v>
      </c>
      <c r="B2" s="2387" t="s">
        <v>862</v>
      </c>
      <c r="C2" s="2144"/>
      <c r="D2" s="2145"/>
      <c r="E2" s="110"/>
      <c r="F2" s="111" t="s">
        <v>462</v>
      </c>
      <c r="G2" s="112" t="s">
        <v>53</v>
      </c>
      <c r="J2" s="32" t="s">
        <v>73</v>
      </c>
    </row>
    <row r="3" spans="1:20" ht="15.75" thickBot="1">
      <c r="A3" s="113" t="s">
        <v>344</v>
      </c>
      <c r="B3" s="2387" t="s">
        <v>784</v>
      </c>
      <c r="C3" s="2175"/>
      <c r="D3" s="2176"/>
      <c r="E3" s="110"/>
      <c r="F3" s="114" t="s">
        <v>10</v>
      </c>
      <c r="G3" s="112" t="s">
        <v>16</v>
      </c>
      <c r="J3" s="14"/>
      <c r="K3" s="15"/>
    </row>
    <row r="4" spans="1:20" ht="15.75" thickBot="1">
      <c r="A4" s="114" t="s">
        <v>3</v>
      </c>
      <c r="B4" s="2032" t="s">
        <v>872</v>
      </c>
      <c r="C4" s="2144"/>
      <c r="D4" s="2145"/>
      <c r="E4" s="110"/>
      <c r="F4" s="116" t="s">
        <v>26</v>
      </c>
      <c r="G4" s="117">
        <v>10</v>
      </c>
      <c r="J4" s="13" t="s">
        <v>381</v>
      </c>
      <c r="K4" s="15"/>
    </row>
    <row r="5" spans="1:20" ht="15.75" customHeight="1" thickBot="1">
      <c r="A5" s="110"/>
      <c r="B5" s="110"/>
      <c r="C5" s="110"/>
      <c r="D5" s="110"/>
      <c r="E5" s="110"/>
      <c r="F5" s="110"/>
      <c r="G5" s="110"/>
    </row>
    <row r="6" spans="1:20" ht="60.75" thickBot="1">
      <c r="A6" s="109" t="s">
        <v>465</v>
      </c>
      <c r="B6" s="2102" t="s">
        <v>1588</v>
      </c>
      <c r="C6" s="2103"/>
      <c r="D6" s="2104"/>
      <c r="E6" s="110"/>
      <c r="F6" s="118" t="s">
        <v>466</v>
      </c>
      <c r="G6" s="119" t="s">
        <v>863</v>
      </c>
    </row>
    <row r="7" spans="1:20" ht="15.75" thickBot="1">
      <c r="A7"/>
      <c r="B7" s="110"/>
      <c r="C7" s="110"/>
      <c r="D7" s="110"/>
      <c r="E7" s="110"/>
      <c r="F7" s="120"/>
      <c r="G7" s="110"/>
    </row>
    <row r="8" spans="1:20" ht="30.75" thickBot="1">
      <c r="A8" s="121" t="s">
        <v>7</v>
      </c>
      <c r="B8" s="2032" t="s">
        <v>873</v>
      </c>
      <c r="C8" s="2144"/>
      <c r="D8" s="2145"/>
      <c r="E8" s="122"/>
      <c r="F8" s="121" t="s">
        <v>469</v>
      </c>
      <c r="G8" s="123" t="s">
        <v>508</v>
      </c>
    </row>
    <row r="9" spans="1:20">
      <c r="A9"/>
      <c r="B9" s="110"/>
      <c r="C9" s="110"/>
      <c r="D9" s="110"/>
      <c r="E9" s="110"/>
      <c r="F9" s="120"/>
      <c r="G9" s="110"/>
    </row>
    <row r="10" spans="1:20" ht="120.75" customHeight="1">
      <c r="A10" s="2174" t="s">
        <v>471</v>
      </c>
      <c r="B10" s="2148"/>
      <c r="C10" s="2028" t="s">
        <v>874</v>
      </c>
      <c r="D10" s="2028"/>
      <c r="E10" s="2028"/>
      <c r="F10" s="2028"/>
      <c r="G10" s="2028"/>
      <c r="J10" s="1259"/>
    </row>
    <row r="11" spans="1:20">
      <c r="A11" s="126"/>
      <c r="B11" s="115"/>
      <c r="C11" s="115"/>
      <c r="D11" s="115"/>
      <c r="E11" s="122"/>
      <c r="F11" s="125"/>
      <c r="G11" s="125"/>
    </row>
    <row r="12" spans="1:20">
      <c r="A12" s="126"/>
      <c r="B12" s="115"/>
      <c r="C12" s="115"/>
      <c r="D12" s="115"/>
      <c r="E12" s="2148"/>
      <c r="F12" s="2148"/>
      <c r="G12" s="2148"/>
    </row>
    <row r="13" spans="1:20" ht="15" customHeight="1">
      <c r="A13" s="110"/>
      <c r="B13" s="110"/>
      <c r="C13" s="110"/>
      <c r="D13" s="110"/>
      <c r="E13" s="2141"/>
      <c r="F13" s="2141"/>
      <c r="G13" s="2141"/>
      <c r="H13" s="2">
        <v>1</v>
      </c>
      <c r="I13" s="2390">
        <v>2025</v>
      </c>
      <c r="J13" s="2390"/>
      <c r="K13" s="2390"/>
      <c r="L13" s="2391"/>
      <c r="M13" s="2390">
        <v>2026</v>
      </c>
      <c r="N13" s="2390"/>
      <c r="O13" s="2390"/>
      <c r="P13" s="2391"/>
      <c r="Q13" s="2390">
        <v>2027</v>
      </c>
      <c r="R13" s="2390"/>
      <c r="S13" s="2390"/>
      <c r="T13" s="2391"/>
    </row>
    <row r="14" spans="1:20" ht="90.75" thickBot="1">
      <c r="A14" s="2184" t="s">
        <v>5</v>
      </c>
      <c r="B14" s="2137"/>
      <c r="C14" s="128" t="s">
        <v>1</v>
      </c>
      <c r="D14" s="128" t="s">
        <v>260</v>
      </c>
      <c r="E14" s="2182" t="s">
        <v>6</v>
      </c>
      <c r="F14" s="2097"/>
      <c r="G14" s="2098"/>
      <c r="H14" s="2">
        <v>1</v>
      </c>
      <c r="I14" s="997" t="s">
        <v>944</v>
      </c>
      <c r="J14" s="998" t="s">
        <v>945</v>
      </c>
      <c r="K14" s="997" t="s">
        <v>946</v>
      </c>
      <c r="L14" s="999" t="s">
        <v>947</v>
      </c>
      <c r="M14" s="997" t="s">
        <v>944</v>
      </c>
      <c r="N14" s="998" t="s">
        <v>945</v>
      </c>
      <c r="O14" s="997" t="s">
        <v>946</v>
      </c>
      <c r="P14" s="999" t="s">
        <v>947</v>
      </c>
      <c r="Q14" s="997" t="s">
        <v>944</v>
      </c>
      <c r="R14" s="998" t="s">
        <v>945</v>
      </c>
      <c r="S14" s="997" t="s">
        <v>946</v>
      </c>
      <c r="T14" s="999" t="s">
        <v>947</v>
      </c>
    </row>
    <row r="15" spans="1:20" ht="15" customHeight="1">
      <c r="A15" s="2183" t="s">
        <v>20</v>
      </c>
      <c r="B15" s="2140"/>
      <c r="C15" s="130" t="s">
        <v>54</v>
      </c>
      <c r="D15" s="137" t="s">
        <v>261</v>
      </c>
      <c r="E15" s="1828" t="s">
        <v>875</v>
      </c>
      <c r="F15" s="2140"/>
      <c r="G15" s="2137"/>
      <c r="H15" s="2">
        <v>1</v>
      </c>
      <c r="I15" s="1001"/>
      <c r="J15" s="1001"/>
      <c r="K15" s="1001"/>
      <c r="L15" s="1001"/>
      <c r="M15" s="1001">
        <v>1</v>
      </c>
      <c r="N15" s="1001"/>
      <c r="O15" s="1001">
        <v>120</v>
      </c>
      <c r="P15" s="1002">
        <v>82200</v>
      </c>
      <c r="Q15" s="1001"/>
      <c r="R15" s="1001"/>
      <c r="S15" s="1001"/>
      <c r="T15" s="1001"/>
    </row>
    <row r="16" spans="1:20" ht="15.75" thickBot="1">
      <c r="A16" s="2148"/>
      <c r="B16" s="2148"/>
      <c r="C16" s="560" t="s">
        <v>21</v>
      </c>
      <c r="D16" s="137" t="s">
        <v>234</v>
      </c>
      <c r="E16" s="1845"/>
      <c r="F16" s="1845"/>
      <c r="G16" s="2139"/>
      <c r="H16" s="2">
        <v>1</v>
      </c>
      <c r="I16" s="1001"/>
      <c r="J16" s="1001"/>
      <c r="K16" s="1001"/>
      <c r="L16" s="1001"/>
      <c r="M16" s="1001"/>
      <c r="N16" s="1001"/>
      <c r="O16" s="1001"/>
      <c r="P16" s="1001"/>
      <c r="Q16" s="1001">
        <v>1</v>
      </c>
      <c r="R16" s="1001">
        <v>120</v>
      </c>
      <c r="S16" s="1001"/>
      <c r="T16" s="1002">
        <v>120600</v>
      </c>
    </row>
    <row r="17" spans="1:16384" ht="30" customHeight="1" thickBot="1">
      <c r="A17" s="2148"/>
      <c r="B17" s="2148"/>
      <c r="C17" s="561" t="s">
        <v>22</v>
      </c>
      <c r="D17" s="562" t="s">
        <v>235</v>
      </c>
      <c r="E17" s="2141"/>
      <c r="F17" s="2141"/>
      <c r="G17" s="2142"/>
      <c r="H17" s="2">
        <v>1</v>
      </c>
      <c r="I17" s="1001">
        <v>1</v>
      </c>
      <c r="J17" s="1001">
        <v>1</v>
      </c>
      <c r="K17" s="1001">
        <v>80</v>
      </c>
      <c r="L17" s="1002">
        <v>122400</v>
      </c>
      <c r="M17" s="1001"/>
      <c r="N17" s="1001"/>
      <c r="O17" s="1001"/>
      <c r="P17" s="1001"/>
      <c r="Q17" s="1001"/>
      <c r="R17" s="1001"/>
      <c r="S17" s="1001"/>
      <c r="T17" s="1001"/>
    </row>
    <row r="18" spans="1:16384" ht="39" customHeight="1" thickBot="1">
      <c r="A18" s="2159" t="s">
        <v>484</v>
      </c>
      <c r="B18" s="2140"/>
      <c r="C18" s="563" t="s">
        <v>485</v>
      </c>
      <c r="D18" s="564" t="s">
        <v>264</v>
      </c>
      <c r="E18" s="2388"/>
      <c r="F18" s="2153"/>
      <c r="G18" s="2389"/>
      <c r="H18" s="9">
        <v>1</v>
      </c>
      <c r="I18" s="1001">
        <v>1</v>
      </c>
      <c r="J18" s="1001">
        <v>1</v>
      </c>
      <c r="K18" s="1001">
        <v>70</v>
      </c>
      <c r="L18" s="1002">
        <v>184450</v>
      </c>
      <c r="M18" s="1001"/>
      <c r="N18" s="1001"/>
      <c r="O18" s="1001"/>
      <c r="P18" s="1001"/>
      <c r="Q18" s="1001"/>
      <c r="R18" s="1001"/>
      <c r="S18" s="1001"/>
      <c r="T18" s="1001"/>
    </row>
    <row r="19" spans="1:16384" ht="37.5" customHeight="1" thickBot="1">
      <c r="A19" s="2146" t="s">
        <v>493</v>
      </c>
      <c r="B19" s="2144"/>
      <c r="C19" s="2172"/>
      <c r="D19" s="565" t="s">
        <v>237</v>
      </c>
      <c r="E19" s="1818" t="s">
        <v>866</v>
      </c>
      <c r="F19" s="2097"/>
      <c r="G19" s="2098"/>
      <c r="H19" s="9">
        <v>1</v>
      </c>
      <c r="I19" s="1003">
        <v>2</v>
      </c>
      <c r="J19" s="1003"/>
      <c r="K19" s="1003" t="s">
        <v>1132</v>
      </c>
      <c r="L19" s="1004">
        <v>16300</v>
      </c>
      <c r="M19" s="1003"/>
      <c r="N19" s="1003"/>
      <c r="O19" s="1003"/>
      <c r="P19" s="1003"/>
      <c r="Q19" s="1003">
        <v>1</v>
      </c>
      <c r="R19" s="1000"/>
      <c r="S19" s="1007" t="s">
        <v>1132</v>
      </c>
      <c r="T19" s="1008">
        <v>16300</v>
      </c>
    </row>
    <row r="20" spans="1:16384" s="17" customFormat="1" ht="15.75" customHeight="1">
      <c r="A20" s="2154" t="s">
        <v>42</v>
      </c>
      <c r="B20" s="2140"/>
      <c r="C20" s="169" t="s">
        <v>38</v>
      </c>
      <c r="D20" s="170" t="s">
        <v>239</v>
      </c>
      <c r="E20" s="1818" t="s">
        <v>871</v>
      </c>
      <c r="F20" s="2097"/>
      <c r="G20" s="2098"/>
      <c r="H20" s="9">
        <v>1</v>
      </c>
      <c r="I20" s="1003">
        <v>1</v>
      </c>
      <c r="J20" s="1003"/>
      <c r="K20" s="1003" t="s">
        <v>1141</v>
      </c>
      <c r="L20" s="1004">
        <v>800</v>
      </c>
      <c r="M20" s="1003">
        <v>1</v>
      </c>
      <c r="N20" s="996"/>
      <c r="O20" s="1003" t="s">
        <v>1141</v>
      </c>
      <c r="P20" s="1004">
        <v>800</v>
      </c>
      <c r="Q20" s="1003">
        <v>2</v>
      </c>
      <c r="R20" s="1000"/>
      <c r="S20" s="1007" t="s">
        <v>1142</v>
      </c>
      <c r="T20" s="1008">
        <v>2000</v>
      </c>
      <c r="U20" s="16"/>
      <c r="V20" s="18"/>
      <c r="W20" s="16"/>
      <c r="X20" s="18"/>
      <c r="Y20" s="16"/>
      <c r="Z20" s="18"/>
      <c r="AA20" s="16"/>
      <c r="AB20" s="18"/>
      <c r="AC20" s="16"/>
      <c r="AD20" s="18"/>
      <c r="AE20" s="16"/>
      <c r="AF20" s="18"/>
      <c r="AG20" s="16"/>
      <c r="AH20" s="18"/>
      <c r="AI20" s="16"/>
      <c r="AJ20" s="18"/>
      <c r="AK20" s="16"/>
      <c r="AL20" s="18"/>
      <c r="AM20" s="16"/>
      <c r="AN20" s="18"/>
      <c r="AO20" s="16"/>
      <c r="AP20" s="18"/>
      <c r="AQ20" s="16"/>
      <c r="AR20" s="18"/>
      <c r="AS20" s="16"/>
      <c r="AT20" s="18"/>
      <c r="AU20" s="16"/>
      <c r="AV20" s="18"/>
      <c r="AW20" s="16"/>
      <c r="AX20" s="18"/>
      <c r="AY20" s="16"/>
      <c r="AZ20" s="18"/>
      <c r="BA20" s="16"/>
      <c r="BB20" s="18"/>
      <c r="BC20" s="16"/>
      <c r="BD20" s="18"/>
      <c r="BE20" s="16"/>
      <c r="BF20" s="18"/>
      <c r="BG20" s="16"/>
      <c r="BH20" s="18"/>
      <c r="BI20" s="16"/>
      <c r="BJ20" s="18"/>
      <c r="BK20" s="16"/>
      <c r="BL20" s="18"/>
      <c r="BM20" s="16"/>
      <c r="BN20" s="18"/>
      <c r="BO20" s="16"/>
      <c r="BP20" s="18"/>
      <c r="BQ20" s="16"/>
      <c r="BR20" s="18"/>
      <c r="BS20" s="16"/>
      <c r="BT20" s="18"/>
      <c r="BU20" s="16"/>
      <c r="BV20" s="18"/>
      <c r="BW20" s="16"/>
      <c r="BX20" s="18"/>
      <c r="BY20" s="16"/>
      <c r="BZ20" s="18"/>
      <c r="CA20" s="16"/>
      <c r="CB20" s="18"/>
      <c r="CC20" s="16"/>
      <c r="CD20" s="18"/>
      <c r="CE20" s="16"/>
      <c r="CF20" s="18"/>
      <c r="CG20" s="16"/>
      <c r="CH20" s="18"/>
      <c r="CI20" s="16"/>
      <c r="CJ20" s="18"/>
      <c r="CK20" s="16"/>
      <c r="CL20" s="18"/>
      <c r="CM20" s="16"/>
      <c r="CN20" s="18"/>
      <c r="CO20" s="16"/>
      <c r="CP20" s="18"/>
      <c r="CQ20" s="16"/>
      <c r="CR20" s="18"/>
      <c r="CS20" s="16"/>
      <c r="CT20" s="18"/>
      <c r="CU20" s="16"/>
      <c r="CV20" s="18"/>
      <c r="CW20" s="16"/>
      <c r="CX20" s="18"/>
      <c r="CY20" s="16"/>
      <c r="CZ20" s="18"/>
      <c r="DA20" s="16"/>
      <c r="DB20" s="18"/>
      <c r="DC20" s="16"/>
      <c r="DD20" s="18"/>
      <c r="DE20" s="16"/>
      <c r="DF20" s="18"/>
      <c r="DG20" s="16"/>
      <c r="DH20" s="18"/>
      <c r="DI20" s="16"/>
      <c r="DJ20" s="18"/>
      <c r="DK20" s="16"/>
      <c r="DL20" s="18"/>
      <c r="DM20" s="16"/>
      <c r="DN20" s="18"/>
      <c r="DO20" s="16"/>
      <c r="DP20" s="18"/>
      <c r="DQ20" s="16"/>
      <c r="DR20" s="18"/>
      <c r="DS20" s="16"/>
      <c r="DT20" s="18"/>
      <c r="DU20" s="16"/>
      <c r="DV20" s="18"/>
      <c r="DW20" s="16"/>
      <c r="DX20" s="18"/>
      <c r="DY20" s="16"/>
      <c r="DZ20" s="18"/>
      <c r="EA20" s="16"/>
      <c r="EB20" s="18"/>
      <c r="EC20" s="16"/>
      <c r="ED20" s="18"/>
      <c r="EE20" s="16"/>
      <c r="EF20" s="18"/>
      <c r="EG20" s="16"/>
      <c r="EH20" s="18"/>
      <c r="EI20" s="16"/>
      <c r="EJ20" s="18"/>
      <c r="EK20" s="16"/>
      <c r="EL20" s="18"/>
      <c r="EM20" s="16"/>
      <c r="EN20" s="18"/>
      <c r="EO20" s="16"/>
      <c r="EP20" s="18"/>
      <c r="EQ20" s="16"/>
      <c r="ER20" s="18"/>
      <c r="ES20" s="16"/>
      <c r="ET20" s="18"/>
      <c r="EU20" s="16"/>
      <c r="EV20" s="18"/>
      <c r="EW20" s="16"/>
      <c r="EX20" s="18"/>
      <c r="EY20" s="16"/>
      <c r="EZ20" s="18"/>
      <c r="FA20" s="16"/>
      <c r="FB20" s="18"/>
      <c r="FC20" s="16"/>
      <c r="FD20" s="18"/>
      <c r="FE20" s="16"/>
      <c r="FF20" s="18"/>
      <c r="FG20" s="16"/>
      <c r="FH20" s="18"/>
      <c r="FI20" s="16"/>
      <c r="FJ20" s="18"/>
      <c r="FK20" s="16"/>
      <c r="FL20" s="18"/>
      <c r="FM20" s="16"/>
      <c r="FN20" s="18"/>
      <c r="FO20" s="16"/>
      <c r="FP20" s="18"/>
      <c r="FQ20" s="16"/>
      <c r="FR20" s="18"/>
      <c r="FS20" s="16"/>
      <c r="FT20" s="18"/>
      <c r="FU20" s="16"/>
      <c r="FV20" s="18"/>
      <c r="FW20" s="16"/>
      <c r="FX20" s="18"/>
      <c r="FY20" s="16"/>
      <c r="FZ20" s="18"/>
      <c r="GA20" s="16"/>
      <c r="GB20" s="18"/>
      <c r="GC20" s="16"/>
      <c r="GD20" s="18"/>
      <c r="GE20" s="16"/>
      <c r="GF20" s="18"/>
      <c r="GG20" s="16"/>
      <c r="GH20" s="18"/>
      <c r="GI20" s="16"/>
      <c r="GJ20" s="18"/>
      <c r="GK20" s="16"/>
      <c r="GL20" s="18"/>
      <c r="GM20" s="16"/>
      <c r="GN20" s="18"/>
      <c r="GO20" s="16"/>
      <c r="GP20" s="18"/>
      <c r="GQ20" s="16"/>
      <c r="GR20" s="18"/>
      <c r="GS20" s="16"/>
      <c r="GT20" s="18"/>
      <c r="GU20" s="16"/>
      <c r="GV20" s="18"/>
      <c r="GW20" s="16"/>
      <c r="GX20" s="18"/>
      <c r="GY20" s="16"/>
      <c r="GZ20" s="18"/>
      <c r="HA20" s="16"/>
      <c r="HB20" s="18"/>
      <c r="HC20" s="16"/>
      <c r="HD20" s="18"/>
      <c r="HE20" s="16"/>
      <c r="HF20" s="18"/>
      <c r="HG20" s="16"/>
      <c r="HH20" s="18"/>
      <c r="HI20" s="16"/>
      <c r="HJ20" s="18"/>
      <c r="HK20" s="16"/>
      <c r="HL20" s="18"/>
      <c r="HM20" s="16"/>
      <c r="HN20" s="18"/>
      <c r="HO20" s="16"/>
      <c r="HP20" s="18"/>
      <c r="HQ20" s="16"/>
      <c r="HR20" s="18"/>
      <c r="HS20" s="16"/>
      <c r="HT20" s="18"/>
      <c r="HU20" s="16"/>
      <c r="HV20" s="18"/>
      <c r="HW20" s="16"/>
      <c r="HX20" s="18"/>
      <c r="HY20" s="16"/>
      <c r="HZ20" s="18"/>
      <c r="IA20" s="16"/>
      <c r="IB20" s="18"/>
      <c r="IC20" s="16"/>
      <c r="ID20" s="18"/>
      <c r="IE20" s="16"/>
      <c r="IF20" s="18"/>
      <c r="IG20" s="16"/>
      <c r="IH20" s="18"/>
      <c r="II20" s="16"/>
      <c r="IJ20" s="18"/>
      <c r="IK20" s="16"/>
      <c r="IL20" s="18"/>
      <c r="IM20" s="16"/>
      <c r="IN20" s="18"/>
      <c r="IO20" s="16"/>
      <c r="IP20" s="18"/>
      <c r="IQ20" s="16"/>
      <c r="IR20" s="18"/>
      <c r="IS20" s="16"/>
      <c r="IT20" s="18"/>
      <c r="IU20" s="16"/>
      <c r="IV20" s="18"/>
      <c r="IW20" s="16"/>
      <c r="IX20" s="18"/>
      <c r="IY20" s="16"/>
      <c r="IZ20" s="18"/>
      <c r="JA20" s="16"/>
      <c r="JB20" s="18"/>
      <c r="JC20" s="16"/>
      <c r="JD20" s="18"/>
      <c r="JE20" s="16"/>
      <c r="JF20" s="18"/>
      <c r="JG20" s="16"/>
      <c r="JH20" s="18"/>
      <c r="JI20" s="16"/>
      <c r="JJ20" s="18"/>
      <c r="JK20" s="16"/>
      <c r="JL20" s="18"/>
      <c r="JM20" s="16"/>
      <c r="JN20" s="18"/>
      <c r="JO20" s="16"/>
      <c r="JP20" s="18"/>
      <c r="JQ20" s="16"/>
      <c r="JR20" s="18"/>
      <c r="JS20" s="16"/>
      <c r="JT20" s="18"/>
      <c r="JU20" s="16"/>
      <c r="JV20" s="18"/>
      <c r="JW20" s="16"/>
      <c r="JX20" s="18"/>
      <c r="JY20" s="16"/>
      <c r="JZ20" s="18"/>
      <c r="KA20" s="16"/>
      <c r="KB20" s="18"/>
      <c r="KC20" s="16"/>
      <c r="KD20" s="18"/>
      <c r="KE20" s="16"/>
      <c r="KF20" s="18"/>
      <c r="KG20" s="16"/>
      <c r="KH20" s="18"/>
      <c r="KI20" s="16"/>
      <c r="KJ20" s="18"/>
      <c r="KK20" s="16"/>
      <c r="KL20" s="18"/>
      <c r="KM20" s="16"/>
      <c r="KN20" s="18"/>
      <c r="KO20" s="16"/>
      <c r="KP20" s="18"/>
      <c r="KQ20" s="16"/>
      <c r="KR20" s="18"/>
      <c r="KS20" s="16"/>
      <c r="KT20" s="18"/>
      <c r="KU20" s="16"/>
      <c r="KV20" s="18"/>
      <c r="KW20" s="16"/>
      <c r="KX20" s="18"/>
      <c r="KY20" s="16"/>
      <c r="KZ20" s="18"/>
      <c r="LA20" s="16"/>
      <c r="LB20" s="18"/>
      <c r="LC20" s="16"/>
      <c r="LD20" s="18"/>
      <c r="LE20" s="16"/>
      <c r="LF20" s="18"/>
      <c r="LG20" s="16"/>
      <c r="LH20" s="18"/>
      <c r="LI20" s="16"/>
      <c r="LJ20" s="18"/>
      <c r="LK20" s="16"/>
      <c r="LL20" s="18"/>
      <c r="LM20" s="16"/>
      <c r="LN20" s="18"/>
      <c r="LO20" s="16"/>
      <c r="LP20" s="18"/>
      <c r="LQ20" s="16"/>
      <c r="LR20" s="18"/>
      <c r="LS20" s="16"/>
      <c r="LT20" s="18"/>
      <c r="LU20" s="16"/>
      <c r="LV20" s="18"/>
      <c r="LW20" s="16"/>
      <c r="LX20" s="18"/>
      <c r="LY20" s="16"/>
      <c r="LZ20" s="18"/>
      <c r="MA20" s="16"/>
      <c r="MB20" s="18"/>
      <c r="MC20" s="16"/>
      <c r="MD20" s="18"/>
      <c r="ME20" s="16"/>
      <c r="MF20" s="18"/>
      <c r="MG20" s="16"/>
      <c r="MH20" s="18"/>
      <c r="MI20" s="16"/>
      <c r="MJ20" s="18"/>
      <c r="MK20" s="16"/>
      <c r="ML20" s="18"/>
      <c r="MM20" s="16"/>
      <c r="MN20" s="18"/>
      <c r="MO20" s="16"/>
      <c r="MP20" s="18"/>
      <c r="MQ20" s="16"/>
      <c r="MR20" s="18"/>
      <c r="MS20" s="16"/>
      <c r="MT20" s="18"/>
      <c r="MU20" s="16"/>
      <c r="MV20" s="18"/>
      <c r="MW20" s="16"/>
      <c r="MX20" s="18"/>
      <c r="MY20" s="16"/>
      <c r="MZ20" s="18"/>
      <c r="NA20" s="16"/>
      <c r="NB20" s="18"/>
      <c r="NC20" s="16"/>
      <c r="ND20" s="18"/>
      <c r="NE20" s="16"/>
      <c r="NF20" s="18"/>
      <c r="NG20" s="16"/>
      <c r="NH20" s="18"/>
      <c r="NI20" s="16"/>
      <c r="NJ20" s="18"/>
      <c r="NK20" s="16"/>
      <c r="NL20" s="18"/>
      <c r="NM20" s="16"/>
      <c r="NN20" s="18"/>
      <c r="NO20" s="16"/>
      <c r="NP20" s="18"/>
      <c r="NQ20" s="16"/>
      <c r="NR20" s="18"/>
      <c r="NS20" s="16"/>
      <c r="NT20" s="18"/>
      <c r="NU20" s="16"/>
      <c r="NV20" s="18"/>
      <c r="NW20" s="16"/>
      <c r="NX20" s="18"/>
      <c r="NY20" s="16"/>
      <c r="NZ20" s="18"/>
      <c r="OA20" s="16"/>
      <c r="OB20" s="18"/>
      <c r="OC20" s="16"/>
      <c r="OD20" s="18"/>
      <c r="OE20" s="16"/>
      <c r="OF20" s="18"/>
      <c r="OG20" s="16"/>
      <c r="OH20" s="18"/>
      <c r="OI20" s="16"/>
      <c r="OJ20" s="18"/>
      <c r="OK20" s="16"/>
      <c r="OL20" s="18"/>
      <c r="OM20" s="16"/>
      <c r="ON20" s="18"/>
      <c r="OO20" s="16"/>
      <c r="OP20" s="18"/>
      <c r="OQ20" s="16"/>
      <c r="OR20" s="18"/>
      <c r="OS20" s="16"/>
      <c r="OT20" s="18"/>
      <c r="OU20" s="16"/>
      <c r="OV20" s="18"/>
      <c r="OW20" s="16"/>
      <c r="OX20" s="18"/>
      <c r="OY20" s="16"/>
      <c r="OZ20" s="18"/>
      <c r="PA20" s="16"/>
      <c r="PB20" s="18"/>
      <c r="PC20" s="16"/>
      <c r="PD20" s="18"/>
      <c r="PE20" s="16"/>
      <c r="PF20" s="18"/>
      <c r="PG20" s="16"/>
      <c r="PH20" s="18"/>
      <c r="PI20" s="16"/>
      <c r="PJ20" s="18"/>
      <c r="PK20" s="16"/>
      <c r="PL20" s="18"/>
      <c r="PM20" s="16"/>
      <c r="PN20" s="18"/>
      <c r="PO20" s="16"/>
      <c r="PP20" s="18"/>
      <c r="PQ20" s="16"/>
      <c r="PR20" s="18"/>
      <c r="PS20" s="16"/>
      <c r="PT20" s="18"/>
      <c r="PU20" s="16"/>
      <c r="PV20" s="18"/>
      <c r="PW20" s="16"/>
      <c r="PX20" s="18"/>
      <c r="PY20" s="16"/>
      <c r="PZ20" s="18"/>
      <c r="QA20" s="16"/>
      <c r="QB20" s="18"/>
      <c r="QC20" s="16"/>
      <c r="QD20" s="18"/>
      <c r="QE20" s="16"/>
      <c r="QF20" s="18"/>
      <c r="QG20" s="16"/>
      <c r="QH20" s="18"/>
      <c r="QI20" s="16"/>
      <c r="QJ20" s="18"/>
      <c r="QK20" s="16"/>
      <c r="QL20" s="18"/>
      <c r="QM20" s="16"/>
      <c r="QN20" s="18"/>
      <c r="QO20" s="16"/>
      <c r="QP20" s="18"/>
      <c r="QQ20" s="16"/>
      <c r="QR20" s="18"/>
      <c r="QS20" s="16"/>
      <c r="QT20" s="18"/>
      <c r="QU20" s="16"/>
      <c r="QV20" s="18"/>
      <c r="QW20" s="16"/>
      <c r="QX20" s="18"/>
      <c r="QY20" s="16"/>
      <c r="QZ20" s="18"/>
      <c r="RA20" s="16"/>
      <c r="RB20" s="18"/>
      <c r="RC20" s="16"/>
      <c r="RD20" s="18"/>
      <c r="RE20" s="16"/>
      <c r="RF20" s="18"/>
      <c r="RG20" s="16"/>
      <c r="RH20" s="18"/>
      <c r="RI20" s="16"/>
      <c r="RJ20" s="18"/>
      <c r="RK20" s="16"/>
      <c r="RL20" s="18"/>
      <c r="RM20" s="16"/>
      <c r="RN20" s="18"/>
      <c r="RO20" s="16"/>
      <c r="RP20" s="18"/>
      <c r="RQ20" s="16"/>
      <c r="RR20" s="18"/>
      <c r="RS20" s="16"/>
      <c r="RT20" s="18"/>
      <c r="RU20" s="16"/>
      <c r="RV20" s="18"/>
      <c r="RW20" s="16"/>
      <c r="RX20" s="18"/>
      <c r="RY20" s="16"/>
      <c r="RZ20" s="18"/>
      <c r="SA20" s="16"/>
      <c r="SB20" s="18"/>
      <c r="SC20" s="16"/>
      <c r="SD20" s="18"/>
      <c r="SE20" s="16"/>
      <c r="SF20" s="18"/>
      <c r="SG20" s="16"/>
      <c r="SH20" s="18"/>
      <c r="SI20" s="16"/>
      <c r="SJ20" s="18"/>
      <c r="SK20" s="16"/>
      <c r="SL20" s="18"/>
      <c r="SM20" s="16"/>
      <c r="SN20" s="18"/>
      <c r="SO20" s="16"/>
      <c r="SP20" s="18"/>
      <c r="SQ20" s="16"/>
      <c r="SR20" s="18"/>
      <c r="SS20" s="16"/>
      <c r="ST20" s="18"/>
      <c r="SU20" s="16"/>
      <c r="SV20" s="18"/>
      <c r="SW20" s="16"/>
      <c r="SX20" s="18"/>
      <c r="SY20" s="16"/>
      <c r="SZ20" s="18"/>
      <c r="TA20" s="16"/>
      <c r="TB20" s="18"/>
      <c r="TC20" s="16"/>
      <c r="TD20" s="18"/>
      <c r="TE20" s="16"/>
      <c r="TF20" s="18"/>
      <c r="TG20" s="16"/>
      <c r="TH20" s="18"/>
      <c r="TI20" s="16"/>
      <c r="TJ20" s="18"/>
      <c r="TK20" s="16"/>
      <c r="TL20" s="18"/>
      <c r="TM20" s="16"/>
      <c r="TN20" s="18"/>
      <c r="TO20" s="16"/>
      <c r="TP20" s="18"/>
      <c r="TQ20" s="16"/>
      <c r="TR20" s="18"/>
      <c r="TS20" s="16"/>
      <c r="TT20" s="18"/>
      <c r="TU20" s="16"/>
      <c r="TV20" s="18"/>
      <c r="TW20" s="16"/>
      <c r="TX20" s="18"/>
      <c r="TY20" s="16"/>
      <c r="TZ20" s="18"/>
      <c r="UA20" s="16"/>
      <c r="UB20" s="18"/>
      <c r="UC20" s="16"/>
      <c r="UD20" s="18"/>
      <c r="UE20" s="16"/>
      <c r="UF20" s="18"/>
      <c r="UG20" s="16"/>
      <c r="UH20" s="18"/>
      <c r="UI20" s="16"/>
      <c r="UJ20" s="18"/>
      <c r="UK20" s="16"/>
      <c r="UL20" s="18"/>
      <c r="UM20" s="16"/>
      <c r="UN20" s="18"/>
      <c r="UO20" s="16"/>
      <c r="UP20" s="18"/>
      <c r="UQ20" s="16"/>
      <c r="UR20" s="18"/>
      <c r="US20" s="16"/>
      <c r="UT20" s="18"/>
      <c r="UU20" s="16"/>
      <c r="UV20" s="18"/>
      <c r="UW20" s="16"/>
      <c r="UX20" s="18"/>
      <c r="UY20" s="16"/>
      <c r="UZ20" s="18"/>
      <c r="VA20" s="16"/>
      <c r="VB20" s="18"/>
      <c r="VC20" s="16"/>
      <c r="VD20" s="18"/>
      <c r="VE20" s="16"/>
      <c r="VF20" s="18"/>
      <c r="VG20" s="16"/>
      <c r="VH20" s="18"/>
      <c r="VI20" s="16"/>
      <c r="VJ20" s="18"/>
      <c r="VK20" s="16"/>
      <c r="VL20" s="18"/>
      <c r="VM20" s="16"/>
      <c r="VN20" s="18"/>
      <c r="VO20" s="16"/>
      <c r="VP20" s="18"/>
      <c r="VQ20" s="16"/>
      <c r="VR20" s="18"/>
      <c r="VS20" s="16"/>
      <c r="VT20" s="18"/>
      <c r="VU20" s="16"/>
      <c r="VV20" s="18"/>
      <c r="VW20" s="16"/>
      <c r="VX20" s="18"/>
      <c r="VY20" s="16"/>
      <c r="VZ20" s="18"/>
      <c r="WA20" s="16"/>
      <c r="WB20" s="18"/>
      <c r="WC20" s="16"/>
      <c r="WD20" s="18"/>
      <c r="WE20" s="16"/>
      <c r="WF20" s="18"/>
      <c r="WG20" s="16"/>
      <c r="WH20" s="18"/>
      <c r="WI20" s="16"/>
      <c r="WJ20" s="18"/>
      <c r="WK20" s="16"/>
      <c r="WL20" s="18"/>
      <c r="WM20" s="16"/>
      <c r="WN20" s="18"/>
      <c r="WO20" s="16"/>
      <c r="WP20" s="18"/>
      <c r="WQ20" s="16"/>
      <c r="WR20" s="18"/>
      <c r="WS20" s="16"/>
      <c r="WT20" s="18"/>
      <c r="WU20" s="16"/>
      <c r="WV20" s="18"/>
      <c r="WW20" s="16"/>
      <c r="WX20" s="18"/>
      <c r="WY20" s="16"/>
      <c r="WZ20" s="18"/>
      <c r="XA20" s="16"/>
      <c r="XB20" s="18"/>
      <c r="XC20" s="16"/>
      <c r="XD20" s="18"/>
      <c r="XE20" s="16"/>
      <c r="XF20" s="18"/>
      <c r="XG20" s="16"/>
      <c r="XH20" s="18"/>
      <c r="XI20" s="16"/>
      <c r="XJ20" s="18"/>
      <c r="XK20" s="16"/>
      <c r="XL20" s="18"/>
      <c r="XM20" s="16"/>
      <c r="XN20" s="18"/>
      <c r="XO20" s="16"/>
      <c r="XP20" s="18"/>
      <c r="XQ20" s="16"/>
      <c r="XR20" s="18"/>
      <c r="XS20" s="16"/>
      <c r="XT20" s="18"/>
      <c r="XU20" s="16"/>
      <c r="XV20" s="18"/>
      <c r="XW20" s="16"/>
      <c r="XX20" s="18"/>
      <c r="XY20" s="16"/>
      <c r="XZ20" s="18"/>
      <c r="YA20" s="16"/>
      <c r="YB20" s="18"/>
      <c r="YC20" s="16"/>
      <c r="YD20" s="18"/>
      <c r="YE20" s="16"/>
      <c r="YF20" s="18"/>
      <c r="YG20" s="16"/>
      <c r="YH20" s="18"/>
      <c r="YI20" s="16"/>
      <c r="YJ20" s="18"/>
      <c r="YK20" s="16"/>
      <c r="YL20" s="18"/>
      <c r="YM20" s="16"/>
      <c r="YN20" s="18"/>
      <c r="YO20" s="16"/>
      <c r="YP20" s="18"/>
      <c r="YQ20" s="16"/>
      <c r="YR20" s="18"/>
      <c r="YS20" s="16"/>
      <c r="YT20" s="18"/>
      <c r="YU20" s="16"/>
      <c r="YV20" s="18"/>
      <c r="YW20" s="16"/>
      <c r="YX20" s="18"/>
      <c r="YY20" s="16"/>
      <c r="YZ20" s="18"/>
      <c r="ZA20" s="16"/>
      <c r="ZB20" s="18"/>
      <c r="ZC20" s="16"/>
      <c r="ZD20" s="18"/>
      <c r="ZE20" s="16"/>
      <c r="ZF20" s="18"/>
      <c r="ZG20" s="16"/>
      <c r="ZH20" s="18"/>
      <c r="ZI20" s="16"/>
      <c r="ZJ20" s="18"/>
      <c r="ZK20" s="16"/>
      <c r="ZL20" s="18"/>
      <c r="ZM20" s="16"/>
      <c r="ZN20" s="18"/>
      <c r="ZO20" s="16"/>
      <c r="ZP20" s="18"/>
      <c r="ZQ20" s="16"/>
      <c r="ZR20" s="18"/>
      <c r="ZS20" s="16"/>
      <c r="ZT20" s="18"/>
      <c r="ZU20" s="16"/>
      <c r="ZV20" s="18"/>
      <c r="ZW20" s="16"/>
      <c r="ZX20" s="18"/>
      <c r="ZY20" s="16"/>
      <c r="ZZ20" s="18"/>
      <c r="AAA20" s="16"/>
      <c r="AAB20" s="18"/>
      <c r="AAC20" s="16"/>
      <c r="AAD20" s="18"/>
      <c r="AAE20" s="16"/>
      <c r="AAF20" s="18"/>
      <c r="AAG20" s="16"/>
      <c r="AAH20" s="18"/>
      <c r="AAI20" s="16"/>
      <c r="AAJ20" s="18"/>
      <c r="AAK20" s="16"/>
      <c r="AAL20" s="18"/>
      <c r="AAM20" s="16"/>
      <c r="AAN20" s="18"/>
      <c r="AAO20" s="16"/>
      <c r="AAP20" s="18"/>
      <c r="AAQ20" s="16"/>
      <c r="AAR20" s="18"/>
      <c r="AAS20" s="16"/>
      <c r="AAT20" s="18"/>
      <c r="AAU20" s="16"/>
      <c r="AAV20" s="18"/>
      <c r="AAW20" s="16"/>
      <c r="AAX20" s="18"/>
      <c r="AAY20" s="16"/>
      <c r="AAZ20" s="18"/>
      <c r="ABA20" s="16"/>
      <c r="ABB20" s="18"/>
      <c r="ABC20" s="16"/>
      <c r="ABD20" s="18"/>
      <c r="ABE20" s="16"/>
      <c r="ABF20" s="18"/>
      <c r="ABG20" s="16"/>
      <c r="ABH20" s="18"/>
      <c r="ABI20" s="16"/>
      <c r="ABJ20" s="18"/>
      <c r="ABK20" s="16"/>
      <c r="ABL20" s="18"/>
      <c r="ABM20" s="16"/>
      <c r="ABN20" s="18"/>
      <c r="ABO20" s="16"/>
      <c r="ABP20" s="18"/>
      <c r="ABQ20" s="16"/>
      <c r="ABR20" s="18"/>
      <c r="ABS20" s="16"/>
      <c r="ABT20" s="18"/>
      <c r="ABU20" s="16"/>
      <c r="ABV20" s="18"/>
      <c r="ABW20" s="16"/>
      <c r="ABX20" s="18"/>
      <c r="ABY20" s="16"/>
      <c r="ABZ20" s="18"/>
      <c r="ACA20" s="16"/>
      <c r="ACB20" s="18"/>
      <c r="ACC20" s="16"/>
      <c r="ACD20" s="18"/>
      <c r="ACE20" s="16"/>
      <c r="ACF20" s="18"/>
      <c r="ACG20" s="16"/>
      <c r="ACH20" s="18"/>
      <c r="ACI20" s="16"/>
      <c r="ACJ20" s="18"/>
      <c r="ACK20" s="16"/>
      <c r="ACL20" s="18"/>
      <c r="ACM20" s="16"/>
      <c r="ACN20" s="18"/>
      <c r="ACO20" s="16"/>
      <c r="ACP20" s="18"/>
      <c r="ACQ20" s="16"/>
      <c r="ACR20" s="18"/>
      <c r="ACS20" s="16"/>
      <c r="ACT20" s="18"/>
      <c r="ACU20" s="16"/>
      <c r="ACV20" s="18"/>
      <c r="ACW20" s="16"/>
      <c r="ACX20" s="18"/>
      <c r="ACY20" s="16"/>
      <c r="ACZ20" s="18"/>
      <c r="ADA20" s="16"/>
      <c r="ADB20" s="18"/>
      <c r="ADC20" s="16"/>
      <c r="ADD20" s="18"/>
      <c r="ADE20" s="16"/>
      <c r="ADF20" s="18"/>
      <c r="ADG20" s="16"/>
      <c r="ADH20" s="18"/>
      <c r="ADI20" s="16"/>
      <c r="ADJ20" s="18"/>
      <c r="ADK20" s="16"/>
      <c r="ADL20" s="18"/>
      <c r="ADM20" s="16"/>
      <c r="ADN20" s="18"/>
      <c r="ADO20" s="16"/>
      <c r="ADP20" s="18"/>
      <c r="ADQ20" s="16"/>
      <c r="ADR20" s="18"/>
      <c r="ADS20" s="16"/>
      <c r="ADT20" s="18"/>
      <c r="ADU20" s="16"/>
      <c r="ADV20" s="18"/>
      <c r="ADW20" s="16"/>
      <c r="ADX20" s="18"/>
      <c r="ADY20" s="16"/>
      <c r="ADZ20" s="18"/>
      <c r="AEA20" s="16"/>
      <c r="AEB20" s="18"/>
      <c r="AEC20" s="16"/>
      <c r="AED20" s="18"/>
      <c r="AEE20" s="16"/>
      <c r="AEF20" s="18"/>
      <c r="AEG20" s="16"/>
      <c r="AEH20" s="18"/>
      <c r="AEI20" s="16"/>
      <c r="AEJ20" s="18"/>
      <c r="AEK20" s="16"/>
      <c r="AEL20" s="18"/>
      <c r="AEM20" s="16"/>
      <c r="AEN20" s="18"/>
      <c r="AEO20" s="16"/>
      <c r="AEP20" s="18"/>
      <c r="AEQ20" s="16"/>
      <c r="AER20" s="18"/>
      <c r="AES20" s="16"/>
      <c r="AET20" s="18"/>
      <c r="AEU20" s="16"/>
      <c r="AEV20" s="18"/>
      <c r="AEW20" s="16"/>
      <c r="AEX20" s="18"/>
      <c r="AEY20" s="16"/>
      <c r="AEZ20" s="18"/>
      <c r="AFA20" s="16"/>
      <c r="AFB20" s="18"/>
      <c r="AFC20" s="16"/>
      <c r="AFD20" s="18"/>
      <c r="AFE20" s="16"/>
      <c r="AFF20" s="18"/>
      <c r="AFG20" s="16"/>
      <c r="AFH20" s="18"/>
      <c r="AFI20" s="16"/>
      <c r="AFJ20" s="18"/>
      <c r="AFK20" s="16"/>
      <c r="AFL20" s="18"/>
      <c r="AFM20" s="16"/>
      <c r="AFN20" s="18"/>
      <c r="AFO20" s="16"/>
      <c r="AFP20" s="18"/>
      <c r="AFQ20" s="16"/>
      <c r="AFR20" s="18"/>
      <c r="AFS20" s="16"/>
      <c r="AFT20" s="18"/>
      <c r="AFU20" s="16"/>
      <c r="AFV20" s="18"/>
      <c r="AFW20" s="16"/>
      <c r="AFX20" s="18"/>
      <c r="AFY20" s="16"/>
      <c r="AFZ20" s="18"/>
      <c r="AGA20" s="16"/>
      <c r="AGB20" s="18"/>
      <c r="AGC20" s="16"/>
      <c r="AGD20" s="18"/>
      <c r="AGE20" s="16"/>
      <c r="AGF20" s="18"/>
      <c r="AGG20" s="16"/>
      <c r="AGH20" s="18"/>
      <c r="AGI20" s="16"/>
      <c r="AGJ20" s="18"/>
      <c r="AGK20" s="16"/>
      <c r="AGL20" s="18"/>
      <c r="AGM20" s="16"/>
      <c r="AGN20" s="18"/>
      <c r="AGO20" s="16"/>
      <c r="AGP20" s="18"/>
      <c r="AGQ20" s="16"/>
      <c r="AGR20" s="18"/>
      <c r="AGS20" s="16"/>
      <c r="AGT20" s="18"/>
      <c r="AGU20" s="16"/>
      <c r="AGV20" s="18"/>
      <c r="AGW20" s="16"/>
      <c r="AGX20" s="18"/>
      <c r="AGY20" s="16"/>
      <c r="AGZ20" s="18"/>
      <c r="AHA20" s="16"/>
      <c r="AHB20" s="18"/>
      <c r="AHC20" s="16"/>
      <c r="AHD20" s="18"/>
      <c r="AHE20" s="16"/>
      <c r="AHF20" s="18"/>
      <c r="AHG20" s="16"/>
      <c r="AHH20" s="18"/>
      <c r="AHI20" s="16"/>
      <c r="AHJ20" s="18"/>
      <c r="AHK20" s="16"/>
      <c r="AHL20" s="18"/>
      <c r="AHM20" s="16"/>
      <c r="AHN20" s="18"/>
      <c r="AHO20" s="16"/>
      <c r="AHP20" s="18"/>
      <c r="AHQ20" s="16"/>
      <c r="AHR20" s="18"/>
      <c r="AHS20" s="16"/>
      <c r="AHT20" s="18"/>
      <c r="AHU20" s="16"/>
      <c r="AHV20" s="18"/>
      <c r="AHW20" s="16"/>
      <c r="AHX20" s="18"/>
      <c r="AHY20" s="16"/>
      <c r="AHZ20" s="18"/>
      <c r="AIA20" s="16"/>
      <c r="AIB20" s="18"/>
      <c r="AIC20" s="16"/>
      <c r="AID20" s="18"/>
      <c r="AIE20" s="16"/>
      <c r="AIF20" s="18"/>
      <c r="AIG20" s="16"/>
      <c r="AIH20" s="18"/>
      <c r="AII20" s="16"/>
      <c r="AIJ20" s="18"/>
      <c r="AIK20" s="16"/>
      <c r="AIL20" s="18"/>
      <c r="AIM20" s="16"/>
      <c r="AIN20" s="18"/>
      <c r="AIO20" s="16"/>
      <c r="AIP20" s="18"/>
      <c r="AIQ20" s="16"/>
      <c r="AIR20" s="18"/>
      <c r="AIS20" s="16"/>
      <c r="AIT20" s="18"/>
      <c r="AIU20" s="16"/>
      <c r="AIV20" s="18"/>
      <c r="AIW20" s="16"/>
      <c r="AIX20" s="18"/>
      <c r="AIY20" s="16"/>
      <c r="AIZ20" s="18"/>
      <c r="AJA20" s="16"/>
      <c r="AJB20" s="18"/>
      <c r="AJC20" s="16"/>
      <c r="AJD20" s="18"/>
      <c r="AJE20" s="16"/>
      <c r="AJF20" s="18"/>
      <c r="AJG20" s="16"/>
      <c r="AJH20" s="18"/>
      <c r="AJI20" s="16"/>
      <c r="AJJ20" s="18"/>
      <c r="AJK20" s="16"/>
      <c r="AJL20" s="18"/>
      <c r="AJM20" s="16"/>
      <c r="AJN20" s="18"/>
      <c r="AJO20" s="16"/>
      <c r="AJP20" s="18"/>
      <c r="AJQ20" s="16"/>
      <c r="AJR20" s="18"/>
      <c r="AJS20" s="16"/>
      <c r="AJT20" s="18"/>
      <c r="AJU20" s="16"/>
      <c r="AJV20" s="18"/>
      <c r="AJW20" s="16"/>
      <c r="AJX20" s="18"/>
      <c r="AJY20" s="16"/>
      <c r="AJZ20" s="18"/>
      <c r="AKA20" s="16"/>
      <c r="AKB20" s="18"/>
      <c r="AKC20" s="16"/>
      <c r="AKD20" s="18"/>
      <c r="AKE20" s="16"/>
      <c r="AKF20" s="18"/>
      <c r="AKG20" s="16"/>
      <c r="AKH20" s="18"/>
      <c r="AKI20" s="16"/>
      <c r="AKJ20" s="18"/>
      <c r="AKK20" s="16"/>
      <c r="AKL20" s="18"/>
      <c r="AKM20" s="16"/>
      <c r="AKN20" s="18"/>
      <c r="AKO20" s="16"/>
      <c r="AKP20" s="18"/>
      <c r="AKQ20" s="16"/>
      <c r="AKR20" s="18"/>
      <c r="AKS20" s="16"/>
      <c r="AKT20" s="18"/>
      <c r="AKU20" s="16"/>
      <c r="AKV20" s="18"/>
      <c r="AKW20" s="16"/>
      <c r="AKX20" s="18"/>
      <c r="AKY20" s="16"/>
      <c r="AKZ20" s="18"/>
      <c r="ALA20" s="16"/>
      <c r="ALB20" s="18"/>
      <c r="ALC20" s="16"/>
      <c r="ALD20" s="18"/>
      <c r="ALE20" s="16"/>
      <c r="ALF20" s="18"/>
      <c r="ALG20" s="16"/>
      <c r="ALH20" s="18"/>
      <c r="ALI20" s="16"/>
      <c r="ALJ20" s="18"/>
      <c r="ALK20" s="16"/>
      <c r="ALL20" s="18"/>
      <c r="ALM20" s="16"/>
      <c r="ALN20" s="18"/>
      <c r="ALO20" s="16"/>
      <c r="ALP20" s="18"/>
      <c r="ALQ20" s="16"/>
      <c r="ALR20" s="18"/>
      <c r="ALS20" s="16"/>
      <c r="ALT20" s="18"/>
      <c r="ALU20" s="16"/>
      <c r="ALV20" s="18"/>
      <c r="ALW20" s="16"/>
      <c r="ALX20" s="18"/>
      <c r="ALY20" s="16"/>
      <c r="ALZ20" s="18"/>
      <c r="AMA20" s="16"/>
      <c r="AMB20" s="18"/>
      <c r="AMC20" s="16"/>
      <c r="AMD20" s="18"/>
      <c r="AME20" s="16"/>
      <c r="AMF20" s="18"/>
      <c r="AMG20" s="16"/>
      <c r="AMH20" s="18"/>
      <c r="AMI20" s="16"/>
      <c r="AMJ20" s="18"/>
      <c r="AMK20" s="16"/>
      <c r="AML20" s="18"/>
      <c r="AMM20" s="16"/>
      <c r="AMN20" s="18"/>
      <c r="AMO20" s="16"/>
      <c r="AMP20" s="18"/>
      <c r="AMQ20" s="16"/>
      <c r="AMR20" s="18"/>
      <c r="AMS20" s="16"/>
      <c r="AMT20" s="18"/>
      <c r="AMU20" s="16"/>
      <c r="AMV20" s="18"/>
      <c r="AMW20" s="16"/>
      <c r="AMX20" s="18"/>
      <c r="AMY20" s="16"/>
      <c r="AMZ20" s="18"/>
      <c r="ANA20" s="16"/>
      <c r="ANB20" s="18"/>
      <c r="ANC20" s="16"/>
      <c r="AND20" s="18"/>
      <c r="ANE20" s="16"/>
      <c r="ANF20" s="18"/>
      <c r="ANG20" s="16"/>
      <c r="ANH20" s="18"/>
      <c r="ANI20" s="16"/>
      <c r="ANJ20" s="18"/>
      <c r="ANK20" s="16"/>
      <c r="ANL20" s="18"/>
      <c r="ANM20" s="16"/>
      <c r="ANN20" s="18"/>
      <c r="ANO20" s="16"/>
      <c r="ANP20" s="18"/>
      <c r="ANQ20" s="16"/>
      <c r="ANR20" s="18"/>
      <c r="ANS20" s="16"/>
      <c r="ANT20" s="18"/>
      <c r="ANU20" s="16"/>
      <c r="ANV20" s="18"/>
      <c r="ANW20" s="16"/>
      <c r="ANX20" s="18"/>
      <c r="ANY20" s="16"/>
      <c r="ANZ20" s="18"/>
      <c r="AOA20" s="16"/>
      <c r="AOB20" s="18"/>
      <c r="AOC20" s="16"/>
      <c r="AOD20" s="18"/>
      <c r="AOE20" s="16"/>
      <c r="AOF20" s="18"/>
      <c r="AOG20" s="16"/>
      <c r="AOH20" s="18"/>
      <c r="AOI20" s="16"/>
      <c r="AOJ20" s="18"/>
      <c r="AOK20" s="16"/>
      <c r="AOL20" s="18"/>
      <c r="AOM20" s="16"/>
      <c r="AON20" s="18"/>
      <c r="AOO20" s="16"/>
      <c r="AOP20" s="18"/>
      <c r="AOQ20" s="16"/>
      <c r="AOR20" s="18"/>
      <c r="AOS20" s="16"/>
      <c r="AOT20" s="18"/>
      <c r="AOU20" s="16"/>
      <c r="AOV20" s="18"/>
      <c r="AOW20" s="16"/>
      <c r="AOX20" s="18"/>
      <c r="AOY20" s="16"/>
      <c r="AOZ20" s="18"/>
      <c r="APA20" s="16"/>
      <c r="APB20" s="18"/>
      <c r="APC20" s="16"/>
      <c r="APD20" s="18"/>
      <c r="APE20" s="16"/>
      <c r="APF20" s="18"/>
      <c r="APG20" s="16"/>
      <c r="APH20" s="18"/>
      <c r="API20" s="16"/>
      <c r="APJ20" s="18"/>
      <c r="APK20" s="16"/>
      <c r="APL20" s="18"/>
      <c r="APM20" s="16"/>
      <c r="APN20" s="18"/>
      <c r="APO20" s="16"/>
      <c r="APP20" s="18"/>
      <c r="APQ20" s="16"/>
      <c r="APR20" s="18"/>
      <c r="APS20" s="16"/>
      <c r="APT20" s="18"/>
      <c r="APU20" s="16"/>
      <c r="APV20" s="18"/>
      <c r="APW20" s="16"/>
      <c r="APX20" s="18"/>
      <c r="APY20" s="16"/>
      <c r="APZ20" s="18"/>
      <c r="AQA20" s="16"/>
      <c r="AQB20" s="18"/>
      <c r="AQC20" s="16"/>
      <c r="AQD20" s="18"/>
      <c r="AQE20" s="16"/>
      <c r="AQF20" s="18"/>
      <c r="AQG20" s="16"/>
      <c r="AQH20" s="18"/>
      <c r="AQI20" s="16"/>
      <c r="AQJ20" s="18"/>
      <c r="AQK20" s="16"/>
      <c r="AQL20" s="18"/>
      <c r="AQM20" s="16"/>
      <c r="AQN20" s="18"/>
      <c r="AQO20" s="16"/>
      <c r="AQP20" s="18"/>
      <c r="AQQ20" s="16"/>
      <c r="AQR20" s="18"/>
      <c r="AQS20" s="16"/>
      <c r="AQT20" s="18"/>
      <c r="AQU20" s="16"/>
      <c r="AQV20" s="18"/>
      <c r="AQW20" s="16"/>
      <c r="AQX20" s="18"/>
      <c r="AQY20" s="16"/>
      <c r="AQZ20" s="18"/>
      <c r="ARA20" s="16"/>
      <c r="ARB20" s="18"/>
      <c r="ARC20" s="16"/>
      <c r="ARD20" s="18"/>
      <c r="ARE20" s="16"/>
      <c r="ARF20" s="18"/>
      <c r="ARG20" s="16"/>
      <c r="ARH20" s="18"/>
      <c r="ARI20" s="16"/>
      <c r="ARJ20" s="18"/>
      <c r="ARK20" s="16"/>
      <c r="ARL20" s="18"/>
      <c r="ARM20" s="16"/>
      <c r="ARN20" s="18"/>
      <c r="ARO20" s="16"/>
      <c r="ARP20" s="18"/>
      <c r="ARQ20" s="16"/>
      <c r="ARR20" s="18"/>
      <c r="ARS20" s="16"/>
      <c r="ART20" s="18"/>
      <c r="ARU20" s="16"/>
      <c r="ARV20" s="18"/>
      <c r="ARW20" s="16"/>
      <c r="ARX20" s="18"/>
      <c r="ARY20" s="16"/>
      <c r="ARZ20" s="18"/>
      <c r="ASA20" s="16"/>
      <c r="ASB20" s="18"/>
      <c r="ASC20" s="16"/>
      <c r="ASD20" s="18"/>
      <c r="ASE20" s="16"/>
      <c r="ASF20" s="18"/>
      <c r="ASG20" s="16"/>
      <c r="ASH20" s="18"/>
      <c r="ASI20" s="16"/>
      <c r="ASJ20" s="18"/>
      <c r="ASK20" s="16"/>
      <c r="ASL20" s="18"/>
      <c r="ASM20" s="16"/>
      <c r="ASN20" s="18"/>
      <c r="ASO20" s="16"/>
      <c r="ASP20" s="18"/>
      <c r="ASQ20" s="16"/>
      <c r="ASR20" s="18"/>
      <c r="ASS20" s="16"/>
      <c r="AST20" s="18"/>
      <c r="ASU20" s="16"/>
      <c r="ASV20" s="18"/>
      <c r="ASW20" s="16"/>
      <c r="ASX20" s="18"/>
      <c r="ASY20" s="16"/>
      <c r="ASZ20" s="18"/>
      <c r="ATA20" s="16"/>
      <c r="ATB20" s="18"/>
      <c r="ATC20" s="16"/>
      <c r="ATD20" s="18"/>
      <c r="ATE20" s="16"/>
      <c r="ATF20" s="18"/>
      <c r="ATG20" s="16"/>
      <c r="ATH20" s="18"/>
      <c r="ATI20" s="16"/>
      <c r="ATJ20" s="18"/>
      <c r="ATK20" s="16"/>
      <c r="ATL20" s="18"/>
      <c r="ATM20" s="16"/>
      <c r="ATN20" s="18"/>
      <c r="ATO20" s="16"/>
      <c r="ATP20" s="18"/>
      <c r="ATQ20" s="16"/>
      <c r="ATR20" s="18"/>
      <c r="ATS20" s="16"/>
      <c r="ATT20" s="18"/>
      <c r="ATU20" s="16"/>
      <c r="ATV20" s="18"/>
      <c r="ATW20" s="16"/>
      <c r="ATX20" s="18"/>
      <c r="ATY20" s="16"/>
      <c r="ATZ20" s="18"/>
      <c r="AUA20" s="16"/>
      <c r="AUB20" s="18"/>
      <c r="AUC20" s="16"/>
      <c r="AUD20" s="18"/>
      <c r="AUE20" s="16"/>
      <c r="AUF20" s="18"/>
      <c r="AUG20" s="16"/>
      <c r="AUH20" s="18"/>
      <c r="AUI20" s="16"/>
      <c r="AUJ20" s="18"/>
      <c r="AUK20" s="16"/>
      <c r="AUL20" s="18"/>
      <c r="AUM20" s="16"/>
      <c r="AUN20" s="18"/>
      <c r="AUO20" s="16"/>
      <c r="AUP20" s="18"/>
      <c r="AUQ20" s="16"/>
      <c r="AUR20" s="18"/>
      <c r="AUS20" s="16"/>
      <c r="AUT20" s="18"/>
      <c r="AUU20" s="16"/>
      <c r="AUV20" s="18"/>
      <c r="AUW20" s="16"/>
      <c r="AUX20" s="18"/>
      <c r="AUY20" s="16"/>
      <c r="AUZ20" s="18"/>
      <c r="AVA20" s="16"/>
      <c r="AVB20" s="18"/>
      <c r="AVC20" s="16"/>
      <c r="AVD20" s="18"/>
      <c r="AVE20" s="16"/>
      <c r="AVF20" s="18"/>
      <c r="AVG20" s="16"/>
      <c r="AVH20" s="18"/>
      <c r="AVI20" s="16"/>
      <c r="AVJ20" s="18"/>
      <c r="AVK20" s="16"/>
      <c r="AVL20" s="18"/>
      <c r="AVM20" s="16"/>
      <c r="AVN20" s="18"/>
      <c r="AVO20" s="16"/>
      <c r="AVP20" s="18"/>
      <c r="AVQ20" s="16"/>
      <c r="AVR20" s="18"/>
      <c r="AVS20" s="16"/>
      <c r="AVT20" s="18"/>
      <c r="AVU20" s="16"/>
      <c r="AVV20" s="18"/>
      <c r="AVW20" s="16"/>
      <c r="AVX20" s="18"/>
      <c r="AVY20" s="16"/>
      <c r="AVZ20" s="18"/>
      <c r="AWA20" s="16"/>
      <c r="AWB20" s="18"/>
      <c r="AWC20" s="16"/>
      <c r="AWD20" s="18"/>
      <c r="AWE20" s="16"/>
      <c r="AWF20" s="18"/>
      <c r="AWG20" s="16"/>
      <c r="AWH20" s="18"/>
      <c r="AWI20" s="16"/>
      <c r="AWJ20" s="18"/>
      <c r="AWK20" s="16"/>
      <c r="AWL20" s="18"/>
      <c r="AWM20" s="16"/>
      <c r="AWN20" s="18"/>
      <c r="AWO20" s="16"/>
      <c r="AWP20" s="18"/>
      <c r="AWQ20" s="16"/>
      <c r="AWR20" s="18"/>
      <c r="AWS20" s="16"/>
      <c r="AWT20" s="18"/>
      <c r="AWU20" s="16"/>
      <c r="AWV20" s="18"/>
      <c r="AWW20" s="16"/>
      <c r="AWX20" s="18"/>
      <c r="AWY20" s="16"/>
      <c r="AWZ20" s="18"/>
      <c r="AXA20" s="16"/>
      <c r="AXB20" s="18"/>
      <c r="AXC20" s="16"/>
      <c r="AXD20" s="18"/>
      <c r="AXE20" s="16"/>
      <c r="AXF20" s="18"/>
      <c r="AXG20" s="16"/>
      <c r="AXH20" s="18"/>
      <c r="AXI20" s="16"/>
      <c r="AXJ20" s="18"/>
      <c r="AXK20" s="16"/>
      <c r="AXL20" s="18"/>
      <c r="AXM20" s="16"/>
      <c r="AXN20" s="18"/>
      <c r="AXO20" s="16"/>
      <c r="AXP20" s="18"/>
      <c r="AXQ20" s="16"/>
      <c r="AXR20" s="18"/>
      <c r="AXS20" s="16"/>
      <c r="AXT20" s="18"/>
      <c r="AXU20" s="16"/>
      <c r="AXV20" s="18"/>
      <c r="AXW20" s="16"/>
      <c r="AXX20" s="18"/>
      <c r="AXY20" s="16"/>
      <c r="AXZ20" s="18"/>
      <c r="AYA20" s="16"/>
      <c r="AYB20" s="18"/>
      <c r="AYC20" s="16"/>
      <c r="AYD20" s="18"/>
      <c r="AYE20" s="16"/>
      <c r="AYF20" s="18"/>
      <c r="AYG20" s="16"/>
      <c r="AYH20" s="18"/>
      <c r="AYI20" s="16"/>
      <c r="AYJ20" s="18"/>
      <c r="AYK20" s="16"/>
      <c r="AYL20" s="18"/>
      <c r="AYM20" s="16"/>
      <c r="AYN20" s="18"/>
      <c r="AYO20" s="16"/>
      <c r="AYP20" s="18"/>
      <c r="AYQ20" s="16"/>
      <c r="AYR20" s="18"/>
      <c r="AYS20" s="16"/>
      <c r="AYT20" s="18"/>
      <c r="AYU20" s="16"/>
      <c r="AYV20" s="18"/>
      <c r="AYW20" s="16"/>
      <c r="AYX20" s="18"/>
      <c r="AYY20" s="16"/>
      <c r="AYZ20" s="18"/>
      <c r="AZA20" s="16"/>
      <c r="AZB20" s="18"/>
      <c r="AZC20" s="16"/>
      <c r="AZD20" s="18"/>
      <c r="AZE20" s="16"/>
      <c r="AZF20" s="18"/>
      <c r="AZG20" s="16"/>
      <c r="AZH20" s="18"/>
      <c r="AZI20" s="16"/>
      <c r="AZJ20" s="18"/>
      <c r="AZK20" s="16"/>
      <c r="AZL20" s="18"/>
      <c r="AZM20" s="16"/>
      <c r="AZN20" s="18"/>
      <c r="AZO20" s="16"/>
      <c r="AZP20" s="18"/>
      <c r="AZQ20" s="16"/>
      <c r="AZR20" s="18"/>
      <c r="AZS20" s="16"/>
      <c r="AZT20" s="18"/>
      <c r="AZU20" s="16"/>
      <c r="AZV20" s="18"/>
      <c r="AZW20" s="16"/>
      <c r="AZX20" s="18"/>
      <c r="AZY20" s="16"/>
      <c r="AZZ20" s="18"/>
      <c r="BAA20" s="16"/>
      <c r="BAB20" s="18"/>
      <c r="BAC20" s="16"/>
      <c r="BAD20" s="18"/>
      <c r="BAE20" s="16"/>
      <c r="BAF20" s="18"/>
      <c r="BAG20" s="16"/>
      <c r="BAH20" s="18"/>
      <c r="BAI20" s="16"/>
      <c r="BAJ20" s="18"/>
      <c r="BAK20" s="16"/>
      <c r="BAL20" s="18"/>
      <c r="BAM20" s="16"/>
      <c r="BAN20" s="18"/>
      <c r="BAO20" s="16"/>
      <c r="BAP20" s="18"/>
      <c r="BAQ20" s="16"/>
      <c r="BAR20" s="18"/>
      <c r="BAS20" s="16"/>
      <c r="BAT20" s="18"/>
      <c r="BAU20" s="16"/>
      <c r="BAV20" s="18"/>
      <c r="BAW20" s="16"/>
      <c r="BAX20" s="18"/>
      <c r="BAY20" s="16"/>
      <c r="BAZ20" s="18"/>
      <c r="BBA20" s="16"/>
      <c r="BBB20" s="18"/>
      <c r="BBC20" s="16"/>
      <c r="BBD20" s="18"/>
      <c r="BBE20" s="16"/>
      <c r="BBF20" s="18"/>
      <c r="BBG20" s="16"/>
      <c r="BBH20" s="18"/>
      <c r="BBI20" s="16"/>
      <c r="BBJ20" s="18"/>
      <c r="BBK20" s="16"/>
      <c r="BBL20" s="18"/>
      <c r="BBM20" s="16"/>
      <c r="BBN20" s="18"/>
      <c r="BBO20" s="16"/>
      <c r="BBP20" s="18"/>
      <c r="BBQ20" s="16"/>
      <c r="BBR20" s="18"/>
      <c r="BBS20" s="16"/>
      <c r="BBT20" s="18"/>
      <c r="BBU20" s="16"/>
      <c r="BBV20" s="18"/>
      <c r="BBW20" s="16"/>
      <c r="BBX20" s="18"/>
      <c r="BBY20" s="16"/>
      <c r="BBZ20" s="18"/>
      <c r="BCA20" s="16"/>
      <c r="BCB20" s="18"/>
      <c r="BCC20" s="16"/>
      <c r="BCD20" s="18"/>
      <c r="BCE20" s="16"/>
      <c r="BCF20" s="18"/>
      <c r="BCG20" s="16"/>
      <c r="BCH20" s="18"/>
      <c r="BCI20" s="16"/>
      <c r="BCJ20" s="18"/>
      <c r="BCK20" s="16"/>
      <c r="BCL20" s="18"/>
      <c r="BCM20" s="16"/>
      <c r="BCN20" s="18"/>
      <c r="BCO20" s="16"/>
      <c r="BCP20" s="18"/>
      <c r="BCQ20" s="16"/>
      <c r="BCR20" s="18"/>
      <c r="BCS20" s="16"/>
      <c r="BCT20" s="18"/>
      <c r="BCU20" s="16"/>
      <c r="BCV20" s="18"/>
      <c r="BCW20" s="16"/>
      <c r="BCX20" s="18"/>
      <c r="BCY20" s="16"/>
      <c r="BCZ20" s="18"/>
      <c r="BDA20" s="16"/>
      <c r="BDB20" s="18"/>
      <c r="BDC20" s="16"/>
      <c r="BDD20" s="18"/>
      <c r="BDE20" s="16"/>
      <c r="BDF20" s="18"/>
      <c r="BDG20" s="16"/>
      <c r="BDH20" s="18"/>
      <c r="BDI20" s="16"/>
      <c r="BDJ20" s="18"/>
      <c r="BDK20" s="16"/>
      <c r="BDL20" s="18"/>
      <c r="BDM20" s="16"/>
      <c r="BDN20" s="18"/>
      <c r="BDO20" s="16"/>
      <c r="BDP20" s="18"/>
      <c r="BDQ20" s="16"/>
      <c r="BDR20" s="18"/>
      <c r="BDS20" s="16"/>
      <c r="BDT20" s="18"/>
      <c r="BDU20" s="16"/>
      <c r="BDV20" s="18"/>
      <c r="BDW20" s="16"/>
      <c r="BDX20" s="18"/>
      <c r="BDY20" s="16"/>
      <c r="BDZ20" s="18"/>
      <c r="BEA20" s="16"/>
      <c r="BEB20" s="18"/>
      <c r="BEC20" s="16"/>
      <c r="BED20" s="18"/>
      <c r="BEE20" s="16"/>
      <c r="BEF20" s="18"/>
      <c r="BEG20" s="16"/>
      <c r="BEH20" s="18"/>
      <c r="BEI20" s="16"/>
      <c r="BEJ20" s="18"/>
      <c r="BEK20" s="16"/>
      <c r="BEL20" s="18"/>
      <c r="BEM20" s="16"/>
      <c r="BEN20" s="18"/>
      <c r="BEO20" s="16"/>
      <c r="BEP20" s="18"/>
      <c r="BEQ20" s="16"/>
      <c r="BER20" s="18"/>
      <c r="BES20" s="16"/>
      <c r="BET20" s="18"/>
      <c r="BEU20" s="16"/>
      <c r="BEV20" s="18"/>
      <c r="BEW20" s="16"/>
      <c r="BEX20" s="18"/>
      <c r="BEY20" s="16"/>
      <c r="BEZ20" s="18"/>
      <c r="BFA20" s="16"/>
      <c r="BFB20" s="18"/>
      <c r="BFC20" s="16"/>
      <c r="BFD20" s="18"/>
      <c r="BFE20" s="16"/>
      <c r="BFF20" s="18"/>
      <c r="BFG20" s="16"/>
      <c r="BFH20" s="18"/>
      <c r="BFI20" s="16"/>
      <c r="BFJ20" s="18"/>
      <c r="BFK20" s="16"/>
      <c r="BFL20" s="18"/>
      <c r="BFM20" s="16"/>
      <c r="BFN20" s="18"/>
      <c r="BFO20" s="16"/>
      <c r="BFP20" s="18"/>
      <c r="BFQ20" s="16"/>
      <c r="BFR20" s="18"/>
      <c r="BFS20" s="16"/>
      <c r="BFT20" s="18"/>
      <c r="BFU20" s="16"/>
      <c r="BFV20" s="18"/>
      <c r="BFW20" s="16"/>
      <c r="BFX20" s="18"/>
      <c r="BFY20" s="16"/>
      <c r="BFZ20" s="18"/>
      <c r="BGA20" s="16"/>
      <c r="BGB20" s="18"/>
      <c r="BGC20" s="16"/>
      <c r="BGD20" s="18"/>
      <c r="BGE20" s="16"/>
      <c r="BGF20" s="18"/>
      <c r="BGG20" s="16"/>
      <c r="BGH20" s="18"/>
      <c r="BGI20" s="16"/>
      <c r="BGJ20" s="18"/>
      <c r="BGK20" s="16"/>
      <c r="BGL20" s="18"/>
      <c r="BGM20" s="16"/>
      <c r="BGN20" s="18"/>
      <c r="BGO20" s="16"/>
      <c r="BGP20" s="18"/>
      <c r="BGQ20" s="16"/>
      <c r="BGR20" s="18"/>
      <c r="BGS20" s="16"/>
      <c r="BGT20" s="18"/>
      <c r="BGU20" s="16"/>
      <c r="BGV20" s="18"/>
      <c r="BGW20" s="16"/>
      <c r="BGX20" s="18"/>
      <c r="BGY20" s="16"/>
      <c r="BGZ20" s="18"/>
      <c r="BHA20" s="16"/>
      <c r="BHB20" s="18"/>
      <c r="BHC20" s="16"/>
      <c r="BHD20" s="18"/>
      <c r="BHE20" s="16"/>
      <c r="BHF20" s="18"/>
      <c r="BHG20" s="16"/>
      <c r="BHH20" s="18"/>
      <c r="BHI20" s="16"/>
      <c r="BHJ20" s="18"/>
      <c r="BHK20" s="16"/>
      <c r="BHL20" s="18"/>
      <c r="BHM20" s="16"/>
      <c r="BHN20" s="18"/>
      <c r="BHO20" s="16"/>
      <c r="BHP20" s="18"/>
      <c r="BHQ20" s="16"/>
      <c r="BHR20" s="18"/>
      <c r="BHS20" s="16"/>
      <c r="BHT20" s="18"/>
      <c r="BHU20" s="16"/>
      <c r="BHV20" s="18"/>
      <c r="BHW20" s="16"/>
      <c r="BHX20" s="18"/>
      <c r="BHY20" s="16"/>
      <c r="BHZ20" s="18"/>
      <c r="BIA20" s="16"/>
      <c r="BIB20" s="18"/>
      <c r="BIC20" s="16"/>
      <c r="BID20" s="18"/>
      <c r="BIE20" s="16"/>
      <c r="BIF20" s="18"/>
      <c r="BIG20" s="16"/>
      <c r="BIH20" s="18"/>
      <c r="BII20" s="16"/>
      <c r="BIJ20" s="18"/>
      <c r="BIK20" s="16"/>
      <c r="BIL20" s="18"/>
      <c r="BIM20" s="16"/>
      <c r="BIN20" s="18"/>
      <c r="BIO20" s="16"/>
      <c r="BIP20" s="18"/>
      <c r="BIQ20" s="16"/>
      <c r="BIR20" s="18"/>
      <c r="BIS20" s="16"/>
      <c r="BIT20" s="18"/>
      <c r="BIU20" s="16"/>
      <c r="BIV20" s="18"/>
      <c r="BIW20" s="16"/>
      <c r="BIX20" s="18"/>
      <c r="BIY20" s="16"/>
      <c r="BIZ20" s="18"/>
      <c r="BJA20" s="16"/>
      <c r="BJB20" s="18"/>
      <c r="BJC20" s="16"/>
      <c r="BJD20" s="18"/>
      <c r="BJE20" s="16"/>
      <c r="BJF20" s="18"/>
      <c r="BJG20" s="16"/>
      <c r="BJH20" s="18"/>
      <c r="BJI20" s="16"/>
      <c r="BJJ20" s="18"/>
      <c r="BJK20" s="16"/>
      <c r="BJL20" s="18"/>
      <c r="BJM20" s="16"/>
      <c r="BJN20" s="18"/>
      <c r="BJO20" s="16"/>
      <c r="BJP20" s="18"/>
      <c r="BJQ20" s="16"/>
      <c r="BJR20" s="18"/>
      <c r="BJS20" s="16"/>
      <c r="BJT20" s="18"/>
      <c r="BJU20" s="16"/>
      <c r="BJV20" s="18"/>
      <c r="BJW20" s="16"/>
      <c r="BJX20" s="18"/>
      <c r="BJY20" s="16"/>
      <c r="BJZ20" s="18"/>
      <c r="BKA20" s="16"/>
      <c r="BKB20" s="18"/>
      <c r="BKC20" s="16"/>
      <c r="BKD20" s="18"/>
      <c r="BKE20" s="16"/>
      <c r="BKF20" s="18"/>
      <c r="BKG20" s="16"/>
      <c r="BKH20" s="18"/>
      <c r="BKI20" s="16"/>
      <c r="BKJ20" s="18"/>
      <c r="BKK20" s="16"/>
      <c r="BKL20" s="18"/>
      <c r="BKM20" s="16"/>
      <c r="BKN20" s="18"/>
      <c r="BKO20" s="16"/>
      <c r="BKP20" s="18"/>
      <c r="BKQ20" s="16"/>
      <c r="BKR20" s="18"/>
      <c r="BKS20" s="16"/>
      <c r="BKT20" s="18"/>
      <c r="BKU20" s="16"/>
      <c r="BKV20" s="18"/>
      <c r="BKW20" s="16"/>
      <c r="BKX20" s="18"/>
      <c r="BKY20" s="16"/>
      <c r="BKZ20" s="18"/>
      <c r="BLA20" s="16"/>
      <c r="BLB20" s="18"/>
      <c r="BLC20" s="16"/>
      <c r="BLD20" s="18"/>
      <c r="BLE20" s="16"/>
      <c r="BLF20" s="18"/>
      <c r="BLG20" s="16"/>
      <c r="BLH20" s="18"/>
      <c r="BLI20" s="16"/>
      <c r="BLJ20" s="18"/>
      <c r="BLK20" s="16"/>
      <c r="BLL20" s="18"/>
      <c r="BLM20" s="16"/>
      <c r="BLN20" s="18"/>
      <c r="BLO20" s="16"/>
      <c r="BLP20" s="18"/>
      <c r="BLQ20" s="16"/>
      <c r="BLR20" s="18"/>
      <c r="BLS20" s="16"/>
      <c r="BLT20" s="18"/>
      <c r="BLU20" s="16"/>
      <c r="BLV20" s="18"/>
      <c r="BLW20" s="16"/>
      <c r="BLX20" s="18"/>
      <c r="BLY20" s="16"/>
      <c r="BLZ20" s="18"/>
      <c r="BMA20" s="16"/>
      <c r="BMB20" s="18"/>
      <c r="BMC20" s="16"/>
      <c r="BMD20" s="18"/>
      <c r="BME20" s="16"/>
      <c r="BMF20" s="18"/>
      <c r="BMG20" s="16"/>
      <c r="BMH20" s="18"/>
      <c r="BMI20" s="16"/>
      <c r="BMJ20" s="18"/>
      <c r="BMK20" s="16"/>
      <c r="BML20" s="18"/>
      <c r="BMM20" s="16"/>
      <c r="BMN20" s="18"/>
      <c r="BMO20" s="16"/>
      <c r="BMP20" s="18"/>
      <c r="BMQ20" s="16"/>
      <c r="BMR20" s="18"/>
      <c r="BMS20" s="16"/>
      <c r="BMT20" s="18"/>
      <c r="BMU20" s="16"/>
      <c r="BMV20" s="18"/>
      <c r="BMW20" s="16"/>
      <c r="BMX20" s="18"/>
      <c r="BMY20" s="16"/>
      <c r="BMZ20" s="18"/>
      <c r="BNA20" s="16"/>
      <c r="BNB20" s="18"/>
      <c r="BNC20" s="16"/>
      <c r="BND20" s="18"/>
      <c r="BNE20" s="16"/>
      <c r="BNF20" s="18"/>
      <c r="BNG20" s="16"/>
      <c r="BNH20" s="18"/>
      <c r="BNI20" s="16"/>
      <c r="BNJ20" s="18"/>
      <c r="BNK20" s="16"/>
      <c r="BNL20" s="18"/>
      <c r="BNM20" s="16"/>
      <c r="BNN20" s="18"/>
      <c r="BNO20" s="16"/>
      <c r="BNP20" s="18"/>
      <c r="BNQ20" s="16"/>
      <c r="BNR20" s="18"/>
      <c r="BNS20" s="16"/>
      <c r="BNT20" s="18"/>
      <c r="BNU20" s="16"/>
      <c r="BNV20" s="18"/>
      <c r="BNW20" s="16"/>
      <c r="BNX20" s="18"/>
      <c r="BNY20" s="16"/>
      <c r="BNZ20" s="18"/>
      <c r="BOA20" s="16"/>
      <c r="BOB20" s="18"/>
      <c r="BOC20" s="16"/>
      <c r="BOD20" s="18"/>
      <c r="BOE20" s="16"/>
      <c r="BOF20" s="18"/>
      <c r="BOG20" s="16"/>
      <c r="BOH20" s="18"/>
      <c r="BOI20" s="16"/>
      <c r="BOJ20" s="18"/>
      <c r="BOK20" s="16"/>
      <c r="BOL20" s="18"/>
      <c r="BOM20" s="16"/>
      <c r="BON20" s="18"/>
      <c r="BOO20" s="16"/>
      <c r="BOP20" s="18"/>
      <c r="BOQ20" s="16"/>
      <c r="BOR20" s="18"/>
      <c r="BOS20" s="16"/>
      <c r="BOT20" s="18"/>
      <c r="BOU20" s="16"/>
      <c r="BOV20" s="18"/>
      <c r="BOW20" s="16"/>
      <c r="BOX20" s="18"/>
      <c r="BOY20" s="16"/>
      <c r="BOZ20" s="18"/>
      <c r="BPA20" s="16"/>
      <c r="BPB20" s="18"/>
      <c r="BPC20" s="16"/>
      <c r="BPD20" s="18"/>
      <c r="BPE20" s="16"/>
      <c r="BPF20" s="18"/>
      <c r="BPG20" s="16"/>
      <c r="BPH20" s="18"/>
      <c r="BPI20" s="16"/>
      <c r="BPJ20" s="18"/>
      <c r="BPK20" s="16"/>
      <c r="BPL20" s="18"/>
      <c r="BPM20" s="16"/>
      <c r="BPN20" s="18"/>
      <c r="BPO20" s="16"/>
      <c r="BPP20" s="18"/>
      <c r="BPQ20" s="16"/>
      <c r="BPR20" s="18"/>
      <c r="BPS20" s="16"/>
      <c r="BPT20" s="18"/>
      <c r="BPU20" s="16"/>
      <c r="BPV20" s="18"/>
      <c r="BPW20" s="16"/>
      <c r="BPX20" s="18"/>
      <c r="BPY20" s="16"/>
      <c r="BPZ20" s="18"/>
      <c r="BQA20" s="16"/>
      <c r="BQB20" s="18"/>
      <c r="BQC20" s="16"/>
      <c r="BQD20" s="18"/>
      <c r="BQE20" s="16"/>
      <c r="BQF20" s="18"/>
      <c r="BQG20" s="16"/>
      <c r="BQH20" s="18"/>
      <c r="BQI20" s="16"/>
      <c r="BQJ20" s="18"/>
      <c r="BQK20" s="16"/>
      <c r="BQL20" s="18"/>
      <c r="BQM20" s="16"/>
      <c r="BQN20" s="18"/>
      <c r="BQO20" s="16"/>
      <c r="BQP20" s="18"/>
      <c r="BQQ20" s="16"/>
      <c r="BQR20" s="18"/>
      <c r="BQS20" s="16"/>
      <c r="BQT20" s="18"/>
      <c r="BQU20" s="16"/>
      <c r="BQV20" s="18"/>
      <c r="BQW20" s="16"/>
      <c r="BQX20" s="18"/>
      <c r="BQY20" s="16"/>
      <c r="BQZ20" s="18"/>
      <c r="BRA20" s="16"/>
      <c r="BRB20" s="18"/>
      <c r="BRC20" s="16"/>
      <c r="BRD20" s="18"/>
      <c r="BRE20" s="16"/>
      <c r="BRF20" s="18"/>
      <c r="BRG20" s="16"/>
      <c r="BRH20" s="18"/>
      <c r="BRI20" s="16"/>
      <c r="BRJ20" s="18"/>
      <c r="BRK20" s="16"/>
      <c r="BRL20" s="18"/>
      <c r="BRM20" s="16"/>
      <c r="BRN20" s="18"/>
      <c r="BRO20" s="16"/>
      <c r="BRP20" s="18"/>
      <c r="BRQ20" s="16"/>
      <c r="BRR20" s="18"/>
      <c r="BRS20" s="16"/>
      <c r="BRT20" s="18"/>
      <c r="BRU20" s="16"/>
      <c r="BRV20" s="18"/>
      <c r="BRW20" s="16"/>
      <c r="BRX20" s="18"/>
      <c r="BRY20" s="16"/>
      <c r="BRZ20" s="18"/>
      <c r="BSA20" s="16"/>
      <c r="BSB20" s="18"/>
      <c r="BSC20" s="16"/>
      <c r="BSD20" s="18"/>
      <c r="BSE20" s="16"/>
      <c r="BSF20" s="18"/>
      <c r="BSG20" s="16"/>
      <c r="BSH20" s="18"/>
      <c r="BSI20" s="16"/>
      <c r="BSJ20" s="18"/>
      <c r="BSK20" s="16"/>
      <c r="BSL20" s="18"/>
      <c r="BSM20" s="16"/>
      <c r="BSN20" s="18"/>
      <c r="BSO20" s="16"/>
      <c r="BSP20" s="18"/>
      <c r="BSQ20" s="16"/>
      <c r="BSR20" s="18"/>
      <c r="BSS20" s="16"/>
      <c r="BST20" s="18"/>
      <c r="BSU20" s="16"/>
      <c r="BSV20" s="18"/>
      <c r="BSW20" s="16"/>
      <c r="BSX20" s="18"/>
      <c r="BSY20" s="16"/>
      <c r="BSZ20" s="18"/>
      <c r="BTA20" s="16"/>
      <c r="BTB20" s="18"/>
      <c r="BTC20" s="16"/>
      <c r="BTD20" s="18"/>
      <c r="BTE20" s="16"/>
      <c r="BTF20" s="18"/>
      <c r="BTG20" s="16"/>
      <c r="BTH20" s="18"/>
      <c r="BTI20" s="16"/>
      <c r="BTJ20" s="18"/>
      <c r="BTK20" s="16"/>
      <c r="BTL20" s="18"/>
      <c r="BTM20" s="16"/>
      <c r="BTN20" s="18"/>
      <c r="BTO20" s="16"/>
      <c r="BTP20" s="18"/>
      <c r="BTQ20" s="16"/>
      <c r="BTR20" s="18"/>
      <c r="BTS20" s="16"/>
      <c r="BTT20" s="18"/>
      <c r="BTU20" s="16"/>
      <c r="BTV20" s="18"/>
      <c r="BTW20" s="16"/>
      <c r="BTX20" s="18"/>
      <c r="BTY20" s="16"/>
      <c r="BTZ20" s="18"/>
      <c r="BUA20" s="16"/>
      <c r="BUB20" s="18"/>
      <c r="BUC20" s="16"/>
      <c r="BUD20" s="18"/>
      <c r="BUE20" s="16"/>
      <c r="BUF20" s="18"/>
      <c r="BUG20" s="16"/>
      <c r="BUH20" s="18"/>
      <c r="BUI20" s="16"/>
      <c r="BUJ20" s="18"/>
      <c r="BUK20" s="16"/>
      <c r="BUL20" s="18"/>
      <c r="BUM20" s="16"/>
      <c r="BUN20" s="18"/>
      <c r="BUO20" s="16"/>
      <c r="BUP20" s="18"/>
      <c r="BUQ20" s="16"/>
      <c r="BUR20" s="18"/>
      <c r="BUS20" s="16"/>
      <c r="BUT20" s="18"/>
      <c r="BUU20" s="16"/>
      <c r="BUV20" s="18"/>
      <c r="BUW20" s="16"/>
      <c r="BUX20" s="18"/>
      <c r="BUY20" s="16"/>
      <c r="BUZ20" s="18"/>
      <c r="BVA20" s="16"/>
      <c r="BVB20" s="18"/>
      <c r="BVC20" s="16"/>
      <c r="BVD20" s="18"/>
      <c r="BVE20" s="16"/>
      <c r="BVF20" s="18"/>
      <c r="BVG20" s="16"/>
      <c r="BVH20" s="18"/>
      <c r="BVI20" s="16"/>
      <c r="BVJ20" s="18"/>
      <c r="BVK20" s="16"/>
      <c r="BVL20" s="18"/>
      <c r="BVM20" s="16"/>
      <c r="BVN20" s="18"/>
      <c r="BVO20" s="16"/>
      <c r="BVP20" s="18"/>
      <c r="BVQ20" s="16"/>
      <c r="BVR20" s="18"/>
      <c r="BVS20" s="16"/>
      <c r="BVT20" s="18"/>
      <c r="BVU20" s="16"/>
      <c r="BVV20" s="18"/>
      <c r="BVW20" s="16"/>
      <c r="BVX20" s="18"/>
      <c r="BVY20" s="16"/>
      <c r="BVZ20" s="18"/>
      <c r="BWA20" s="16"/>
      <c r="BWB20" s="18"/>
      <c r="BWC20" s="16"/>
      <c r="BWD20" s="18"/>
      <c r="BWE20" s="16"/>
      <c r="BWF20" s="18"/>
      <c r="BWG20" s="16"/>
      <c r="BWH20" s="18"/>
      <c r="BWI20" s="16"/>
      <c r="BWJ20" s="18"/>
      <c r="BWK20" s="16"/>
      <c r="BWL20" s="18"/>
      <c r="BWM20" s="16"/>
      <c r="BWN20" s="18"/>
      <c r="BWO20" s="16"/>
      <c r="BWP20" s="18"/>
      <c r="BWQ20" s="16"/>
      <c r="BWR20" s="18"/>
      <c r="BWS20" s="16"/>
      <c r="BWT20" s="18"/>
      <c r="BWU20" s="16"/>
      <c r="BWV20" s="18"/>
      <c r="BWW20" s="16"/>
      <c r="BWX20" s="18"/>
      <c r="BWY20" s="16"/>
      <c r="BWZ20" s="18"/>
      <c r="BXA20" s="16"/>
      <c r="BXB20" s="18"/>
      <c r="BXC20" s="16"/>
      <c r="BXD20" s="18"/>
      <c r="BXE20" s="16"/>
      <c r="BXF20" s="18"/>
      <c r="BXG20" s="16"/>
      <c r="BXH20" s="18"/>
      <c r="BXI20" s="16"/>
      <c r="BXJ20" s="18"/>
      <c r="BXK20" s="16"/>
      <c r="BXL20" s="18"/>
      <c r="BXM20" s="16"/>
      <c r="BXN20" s="18"/>
      <c r="BXO20" s="16"/>
      <c r="BXP20" s="18"/>
      <c r="BXQ20" s="16"/>
      <c r="BXR20" s="18"/>
      <c r="BXS20" s="16"/>
      <c r="BXT20" s="18"/>
      <c r="BXU20" s="16"/>
      <c r="BXV20" s="18"/>
      <c r="BXW20" s="16"/>
      <c r="BXX20" s="18"/>
      <c r="BXY20" s="16"/>
      <c r="BXZ20" s="18"/>
      <c r="BYA20" s="16"/>
      <c r="BYB20" s="18"/>
      <c r="BYC20" s="16"/>
      <c r="BYD20" s="18"/>
      <c r="BYE20" s="16"/>
      <c r="BYF20" s="18"/>
      <c r="BYG20" s="16"/>
      <c r="BYH20" s="18"/>
      <c r="BYI20" s="16"/>
      <c r="BYJ20" s="18"/>
      <c r="BYK20" s="16"/>
      <c r="BYL20" s="18"/>
      <c r="BYM20" s="16"/>
      <c r="BYN20" s="18"/>
      <c r="BYO20" s="16"/>
      <c r="BYP20" s="18"/>
      <c r="BYQ20" s="16"/>
      <c r="BYR20" s="18"/>
      <c r="BYS20" s="16"/>
      <c r="BYT20" s="18"/>
      <c r="BYU20" s="16"/>
      <c r="BYV20" s="18"/>
      <c r="BYW20" s="16"/>
      <c r="BYX20" s="18"/>
      <c r="BYY20" s="16"/>
      <c r="BYZ20" s="18"/>
      <c r="BZA20" s="16"/>
      <c r="BZB20" s="18"/>
      <c r="BZC20" s="16"/>
      <c r="BZD20" s="18"/>
      <c r="BZE20" s="16"/>
      <c r="BZF20" s="18"/>
      <c r="BZG20" s="16"/>
      <c r="BZH20" s="18"/>
      <c r="BZI20" s="16"/>
      <c r="BZJ20" s="18"/>
      <c r="BZK20" s="16"/>
      <c r="BZL20" s="18"/>
      <c r="BZM20" s="16"/>
      <c r="BZN20" s="18"/>
      <c r="BZO20" s="16"/>
      <c r="BZP20" s="18"/>
      <c r="BZQ20" s="16"/>
      <c r="BZR20" s="18"/>
      <c r="BZS20" s="16"/>
      <c r="BZT20" s="18"/>
      <c r="BZU20" s="16"/>
      <c r="BZV20" s="18"/>
      <c r="BZW20" s="16"/>
      <c r="BZX20" s="18"/>
      <c r="BZY20" s="16"/>
      <c r="BZZ20" s="18"/>
      <c r="CAA20" s="16"/>
      <c r="CAB20" s="18"/>
      <c r="CAC20" s="16"/>
      <c r="CAD20" s="18"/>
      <c r="CAE20" s="16"/>
      <c r="CAF20" s="18"/>
      <c r="CAG20" s="16"/>
      <c r="CAH20" s="18"/>
      <c r="CAI20" s="16"/>
      <c r="CAJ20" s="18"/>
      <c r="CAK20" s="16"/>
      <c r="CAL20" s="18"/>
      <c r="CAM20" s="16"/>
      <c r="CAN20" s="18"/>
      <c r="CAO20" s="16"/>
      <c r="CAP20" s="18"/>
      <c r="CAQ20" s="16"/>
      <c r="CAR20" s="18"/>
      <c r="CAS20" s="16"/>
      <c r="CAT20" s="18"/>
      <c r="CAU20" s="16"/>
      <c r="CAV20" s="18"/>
      <c r="CAW20" s="16"/>
      <c r="CAX20" s="18"/>
      <c r="CAY20" s="16"/>
      <c r="CAZ20" s="18"/>
      <c r="CBA20" s="16"/>
      <c r="CBB20" s="18"/>
      <c r="CBC20" s="16"/>
      <c r="CBD20" s="18"/>
      <c r="CBE20" s="16"/>
      <c r="CBF20" s="18"/>
      <c r="CBG20" s="16"/>
      <c r="CBH20" s="18"/>
      <c r="CBI20" s="16"/>
      <c r="CBJ20" s="18"/>
      <c r="CBK20" s="16"/>
      <c r="CBL20" s="18"/>
      <c r="CBM20" s="16"/>
      <c r="CBN20" s="18"/>
      <c r="CBO20" s="16"/>
      <c r="CBP20" s="18"/>
      <c r="CBQ20" s="16"/>
      <c r="CBR20" s="18"/>
      <c r="CBS20" s="16"/>
      <c r="CBT20" s="18"/>
      <c r="CBU20" s="16"/>
      <c r="CBV20" s="18"/>
      <c r="CBW20" s="16"/>
      <c r="CBX20" s="18"/>
      <c r="CBY20" s="16"/>
      <c r="CBZ20" s="18"/>
      <c r="CCA20" s="16"/>
      <c r="CCB20" s="18"/>
      <c r="CCC20" s="16"/>
      <c r="CCD20" s="18"/>
      <c r="CCE20" s="16"/>
      <c r="CCF20" s="18"/>
      <c r="CCG20" s="16"/>
      <c r="CCH20" s="18"/>
      <c r="CCI20" s="16"/>
      <c r="CCJ20" s="18"/>
      <c r="CCK20" s="16"/>
      <c r="CCL20" s="18"/>
      <c r="CCM20" s="16"/>
      <c r="CCN20" s="18"/>
      <c r="CCO20" s="16"/>
      <c r="CCP20" s="18"/>
      <c r="CCQ20" s="16"/>
      <c r="CCR20" s="18"/>
      <c r="CCS20" s="16"/>
      <c r="CCT20" s="18"/>
      <c r="CCU20" s="16"/>
      <c r="CCV20" s="18"/>
      <c r="CCW20" s="16"/>
      <c r="CCX20" s="18"/>
      <c r="CCY20" s="16"/>
      <c r="CCZ20" s="18"/>
      <c r="CDA20" s="16"/>
      <c r="CDB20" s="18"/>
      <c r="CDC20" s="16"/>
      <c r="CDD20" s="18"/>
      <c r="CDE20" s="16"/>
      <c r="CDF20" s="18"/>
      <c r="CDG20" s="16"/>
      <c r="CDH20" s="18"/>
      <c r="CDI20" s="16"/>
      <c r="CDJ20" s="18"/>
      <c r="CDK20" s="16"/>
      <c r="CDL20" s="18"/>
      <c r="CDM20" s="16"/>
      <c r="CDN20" s="18"/>
      <c r="CDO20" s="16"/>
      <c r="CDP20" s="18"/>
      <c r="CDQ20" s="16"/>
      <c r="CDR20" s="18"/>
      <c r="CDS20" s="16"/>
      <c r="CDT20" s="18"/>
      <c r="CDU20" s="16"/>
      <c r="CDV20" s="18"/>
      <c r="CDW20" s="16"/>
      <c r="CDX20" s="18"/>
      <c r="CDY20" s="16"/>
      <c r="CDZ20" s="18"/>
      <c r="CEA20" s="16"/>
      <c r="CEB20" s="18"/>
      <c r="CEC20" s="16"/>
      <c r="CED20" s="18"/>
      <c r="CEE20" s="16"/>
      <c r="CEF20" s="18"/>
      <c r="CEG20" s="16"/>
      <c r="CEH20" s="18"/>
      <c r="CEI20" s="16"/>
      <c r="CEJ20" s="18"/>
      <c r="CEK20" s="16"/>
      <c r="CEL20" s="18"/>
      <c r="CEM20" s="16"/>
      <c r="CEN20" s="18"/>
      <c r="CEO20" s="16"/>
      <c r="CEP20" s="18"/>
      <c r="CEQ20" s="16"/>
      <c r="CER20" s="18"/>
      <c r="CES20" s="16"/>
      <c r="CET20" s="18"/>
      <c r="CEU20" s="16"/>
      <c r="CEV20" s="18"/>
      <c r="CEW20" s="16"/>
      <c r="CEX20" s="18"/>
      <c r="CEY20" s="16"/>
      <c r="CEZ20" s="18"/>
      <c r="CFA20" s="16"/>
      <c r="CFB20" s="18"/>
      <c r="CFC20" s="16"/>
      <c r="CFD20" s="18"/>
      <c r="CFE20" s="16"/>
      <c r="CFF20" s="18"/>
      <c r="CFG20" s="16"/>
      <c r="CFH20" s="18"/>
      <c r="CFI20" s="16"/>
      <c r="CFJ20" s="18"/>
      <c r="CFK20" s="16"/>
      <c r="CFL20" s="18"/>
      <c r="CFM20" s="16"/>
      <c r="CFN20" s="18"/>
      <c r="CFO20" s="16"/>
      <c r="CFP20" s="18"/>
      <c r="CFQ20" s="16"/>
      <c r="CFR20" s="18"/>
      <c r="CFS20" s="16"/>
      <c r="CFT20" s="18"/>
      <c r="CFU20" s="16"/>
      <c r="CFV20" s="18"/>
      <c r="CFW20" s="16"/>
      <c r="CFX20" s="18"/>
      <c r="CFY20" s="16"/>
      <c r="CFZ20" s="18"/>
      <c r="CGA20" s="16"/>
      <c r="CGB20" s="18"/>
      <c r="CGC20" s="16"/>
      <c r="CGD20" s="18"/>
      <c r="CGE20" s="16"/>
      <c r="CGF20" s="18"/>
      <c r="CGG20" s="16"/>
      <c r="CGH20" s="18"/>
      <c r="CGI20" s="16"/>
      <c r="CGJ20" s="18"/>
      <c r="CGK20" s="16"/>
      <c r="CGL20" s="18"/>
      <c r="CGM20" s="16"/>
      <c r="CGN20" s="18"/>
      <c r="CGO20" s="16"/>
      <c r="CGP20" s="18"/>
      <c r="CGQ20" s="16"/>
      <c r="CGR20" s="18"/>
      <c r="CGS20" s="16"/>
      <c r="CGT20" s="18"/>
      <c r="CGU20" s="16"/>
      <c r="CGV20" s="18"/>
      <c r="CGW20" s="16"/>
      <c r="CGX20" s="18"/>
      <c r="CGY20" s="16"/>
      <c r="CGZ20" s="18"/>
      <c r="CHA20" s="16"/>
      <c r="CHB20" s="18"/>
      <c r="CHC20" s="16"/>
      <c r="CHD20" s="18"/>
      <c r="CHE20" s="16"/>
      <c r="CHF20" s="18"/>
      <c r="CHG20" s="16"/>
      <c r="CHH20" s="18"/>
      <c r="CHI20" s="16"/>
      <c r="CHJ20" s="18"/>
      <c r="CHK20" s="16"/>
      <c r="CHL20" s="18"/>
      <c r="CHM20" s="16"/>
      <c r="CHN20" s="18"/>
      <c r="CHO20" s="16"/>
      <c r="CHP20" s="18"/>
      <c r="CHQ20" s="16"/>
      <c r="CHR20" s="18"/>
      <c r="CHS20" s="16"/>
      <c r="CHT20" s="18"/>
      <c r="CHU20" s="16"/>
      <c r="CHV20" s="18"/>
      <c r="CHW20" s="16"/>
      <c r="CHX20" s="18"/>
      <c r="CHY20" s="16"/>
      <c r="CHZ20" s="18"/>
      <c r="CIA20" s="16"/>
      <c r="CIB20" s="18"/>
      <c r="CIC20" s="16"/>
      <c r="CID20" s="18"/>
      <c r="CIE20" s="16"/>
      <c r="CIF20" s="18"/>
      <c r="CIG20" s="16"/>
      <c r="CIH20" s="18"/>
      <c r="CII20" s="16"/>
      <c r="CIJ20" s="18"/>
      <c r="CIK20" s="16"/>
      <c r="CIL20" s="18"/>
      <c r="CIM20" s="16"/>
      <c r="CIN20" s="18"/>
      <c r="CIO20" s="16"/>
      <c r="CIP20" s="18"/>
      <c r="CIQ20" s="16"/>
      <c r="CIR20" s="18"/>
      <c r="CIS20" s="16"/>
      <c r="CIT20" s="18"/>
      <c r="CIU20" s="16"/>
      <c r="CIV20" s="18"/>
      <c r="CIW20" s="16"/>
      <c r="CIX20" s="18"/>
      <c r="CIY20" s="16"/>
      <c r="CIZ20" s="18"/>
      <c r="CJA20" s="16"/>
      <c r="CJB20" s="18"/>
      <c r="CJC20" s="16"/>
      <c r="CJD20" s="18"/>
      <c r="CJE20" s="16"/>
      <c r="CJF20" s="18"/>
      <c r="CJG20" s="16"/>
      <c r="CJH20" s="18"/>
      <c r="CJI20" s="16"/>
      <c r="CJJ20" s="18"/>
      <c r="CJK20" s="16"/>
      <c r="CJL20" s="18"/>
      <c r="CJM20" s="16"/>
      <c r="CJN20" s="18"/>
      <c r="CJO20" s="16"/>
      <c r="CJP20" s="18"/>
      <c r="CJQ20" s="16"/>
      <c r="CJR20" s="18"/>
      <c r="CJS20" s="16"/>
      <c r="CJT20" s="18"/>
      <c r="CJU20" s="16"/>
      <c r="CJV20" s="18"/>
      <c r="CJW20" s="16"/>
      <c r="CJX20" s="18"/>
      <c r="CJY20" s="16"/>
      <c r="CJZ20" s="18"/>
      <c r="CKA20" s="16"/>
      <c r="CKB20" s="18"/>
      <c r="CKC20" s="16"/>
      <c r="CKD20" s="18"/>
      <c r="CKE20" s="16"/>
      <c r="CKF20" s="18"/>
      <c r="CKG20" s="16"/>
      <c r="CKH20" s="18"/>
      <c r="CKI20" s="16"/>
      <c r="CKJ20" s="18"/>
      <c r="CKK20" s="16"/>
      <c r="CKL20" s="18"/>
      <c r="CKM20" s="16"/>
      <c r="CKN20" s="18"/>
      <c r="CKO20" s="16"/>
      <c r="CKP20" s="18"/>
      <c r="CKQ20" s="16"/>
      <c r="CKR20" s="18"/>
      <c r="CKS20" s="16"/>
      <c r="CKT20" s="18"/>
      <c r="CKU20" s="16"/>
      <c r="CKV20" s="18"/>
      <c r="CKW20" s="16"/>
      <c r="CKX20" s="18"/>
      <c r="CKY20" s="16"/>
      <c r="CKZ20" s="18"/>
      <c r="CLA20" s="16"/>
      <c r="CLB20" s="18"/>
      <c r="CLC20" s="16"/>
      <c r="CLD20" s="18"/>
      <c r="CLE20" s="16"/>
      <c r="CLF20" s="18"/>
      <c r="CLG20" s="16"/>
      <c r="CLH20" s="18"/>
      <c r="CLI20" s="16"/>
      <c r="CLJ20" s="18"/>
      <c r="CLK20" s="16"/>
      <c r="CLL20" s="18"/>
      <c r="CLM20" s="16"/>
      <c r="CLN20" s="18"/>
      <c r="CLO20" s="16"/>
      <c r="CLP20" s="18"/>
      <c r="CLQ20" s="16"/>
      <c r="CLR20" s="18"/>
      <c r="CLS20" s="16"/>
      <c r="CLT20" s="18"/>
      <c r="CLU20" s="16"/>
      <c r="CLV20" s="18"/>
      <c r="CLW20" s="16"/>
      <c r="CLX20" s="18"/>
      <c r="CLY20" s="16"/>
      <c r="CLZ20" s="18"/>
      <c r="CMA20" s="16"/>
      <c r="CMB20" s="18"/>
      <c r="CMC20" s="16"/>
      <c r="CMD20" s="18"/>
      <c r="CME20" s="16"/>
      <c r="CMF20" s="18"/>
      <c r="CMG20" s="16"/>
      <c r="CMH20" s="18"/>
      <c r="CMI20" s="16"/>
      <c r="CMJ20" s="18"/>
      <c r="CMK20" s="16"/>
      <c r="CML20" s="18"/>
      <c r="CMM20" s="16"/>
      <c r="CMN20" s="18"/>
      <c r="CMO20" s="16"/>
      <c r="CMP20" s="18"/>
      <c r="CMQ20" s="16"/>
      <c r="CMR20" s="18"/>
      <c r="CMS20" s="16"/>
      <c r="CMT20" s="18"/>
      <c r="CMU20" s="16"/>
      <c r="CMV20" s="18"/>
      <c r="CMW20" s="16"/>
      <c r="CMX20" s="18"/>
      <c r="CMY20" s="16"/>
      <c r="CMZ20" s="18"/>
      <c r="CNA20" s="16"/>
      <c r="CNB20" s="18"/>
      <c r="CNC20" s="16"/>
      <c r="CND20" s="18"/>
      <c r="CNE20" s="16"/>
      <c r="CNF20" s="18"/>
      <c r="CNG20" s="16"/>
      <c r="CNH20" s="18"/>
      <c r="CNI20" s="16"/>
      <c r="CNJ20" s="18"/>
      <c r="CNK20" s="16"/>
      <c r="CNL20" s="18"/>
      <c r="CNM20" s="16"/>
      <c r="CNN20" s="18"/>
      <c r="CNO20" s="16"/>
      <c r="CNP20" s="18"/>
      <c r="CNQ20" s="16"/>
      <c r="CNR20" s="18"/>
      <c r="CNS20" s="16"/>
      <c r="CNT20" s="18"/>
      <c r="CNU20" s="16"/>
      <c r="CNV20" s="18"/>
      <c r="CNW20" s="16"/>
      <c r="CNX20" s="18"/>
      <c r="CNY20" s="16"/>
      <c r="CNZ20" s="18"/>
      <c r="COA20" s="16"/>
      <c r="COB20" s="18"/>
      <c r="COC20" s="16"/>
      <c r="COD20" s="18"/>
      <c r="COE20" s="16"/>
      <c r="COF20" s="18"/>
      <c r="COG20" s="16"/>
      <c r="COH20" s="18"/>
      <c r="COI20" s="16"/>
      <c r="COJ20" s="18"/>
      <c r="COK20" s="16"/>
      <c r="COL20" s="18"/>
      <c r="COM20" s="16"/>
      <c r="CON20" s="18"/>
      <c r="COO20" s="16"/>
      <c r="COP20" s="18"/>
      <c r="COQ20" s="16"/>
      <c r="COR20" s="18"/>
      <c r="COS20" s="16"/>
      <c r="COT20" s="18"/>
      <c r="COU20" s="16"/>
      <c r="COV20" s="18"/>
      <c r="COW20" s="16"/>
      <c r="COX20" s="18"/>
      <c r="COY20" s="16"/>
      <c r="COZ20" s="18"/>
      <c r="CPA20" s="16"/>
      <c r="CPB20" s="18"/>
      <c r="CPC20" s="16"/>
      <c r="CPD20" s="18"/>
      <c r="CPE20" s="16"/>
      <c r="CPF20" s="18"/>
      <c r="CPG20" s="16"/>
      <c r="CPH20" s="18"/>
      <c r="CPI20" s="16"/>
      <c r="CPJ20" s="18"/>
      <c r="CPK20" s="16"/>
      <c r="CPL20" s="18"/>
      <c r="CPM20" s="16"/>
      <c r="CPN20" s="18"/>
      <c r="CPO20" s="16"/>
      <c r="CPP20" s="18"/>
      <c r="CPQ20" s="16"/>
      <c r="CPR20" s="18"/>
      <c r="CPS20" s="16"/>
      <c r="CPT20" s="18"/>
      <c r="CPU20" s="16"/>
      <c r="CPV20" s="18"/>
      <c r="CPW20" s="16"/>
      <c r="CPX20" s="18"/>
      <c r="CPY20" s="16"/>
      <c r="CPZ20" s="18"/>
      <c r="CQA20" s="16"/>
      <c r="CQB20" s="18"/>
      <c r="CQC20" s="16"/>
      <c r="CQD20" s="18"/>
      <c r="CQE20" s="16"/>
      <c r="CQF20" s="18"/>
      <c r="CQG20" s="16"/>
      <c r="CQH20" s="18"/>
      <c r="CQI20" s="16"/>
      <c r="CQJ20" s="18"/>
      <c r="CQK20" s="16"/>
      <c r="CQL20" s="18"/>
      <c r="CQM20" s="16"/>
      <c r="CQN20" s="18"/>
      <c r="CQO20" s="16"/>
      <c r="CQP20" s="18"/>
      <c r="CQQ20" s="16"/>
      <c r="CQR20" s="18"/>
      <c r="CQS20" s="16"/>
      <c r="CQT20" s="18"/>
      <c r="CQU20" s="16"/>
      <c r="CQV20" s="18"/>
      <c r="CQW20" s="16"/>
      <c r="CQX20" s="18"/>
      <c r="CQY20" s="16"/>
      <c r="CQZ20" s="18"/>
      <c r="CRA20" s="16"/>
      <c r="CRB20" s="18"/>
      <c r="CRC20" s="16"/>
      <c r="CRD20" s="18"/>
      <c r="CRE20" s="16"/>
      <c r="CRF20" s="18"/>
      <c r="CRG20" s="16"/>
      <c r="CRH20" s="18"/>
      <c r="CRI20" s="16"/>
      <c r="CRJ20" s="18"/>
      <c r="CRK20" s="16"/>
      <c r="CRL20" s="18"/>
      <c r="CRM20" s="16"/>
      <c r="CRN20" s="18"/>
      <c r="CRO20" s="16"/>
      <c r="CRP20" s="18"/>
      <c r="CRQ20" s="16"/>
      <c r="CRR20" s="18"/>
      <c r="CRS20" s="16"/>
      <c r="CRT20" s="18"/>
      <c r="CRU20" s="16"/>
      <c r="CRV20" s="18"/>
      <c r="CRW20" s="16"/>
      <c r="CRX20" s="18"/>
      <c r="CRY20" s="16"/>
      <c r="CRZ20" s="18"/>
      <c r="CSA20" s="16"/>
      <c r="CSB20" s="18"/>
      <c r="CSC20" s="16"/>
      <c r="CSD20" s="18"/>
      <c r="CSE20" s="16"/>
      <c r="CSF20" s="18"/>
      <c r="CSG20" s="16"/>
      <c r="CSH20" s="18"/>
      <c r="CSI20" s="16"/>
      <c r="CSJ20" s="18"/>
      <c r="CSK20" s="16"/>
      <c r="CSL20" s="18"/>
      <c r="CSM20" s="16"/>
      <c r="CSN20" s="18"/>
      <c r="CSO20" s="16"/>
      <c r="CSP20" s="18"/>
      <c r="CSQ20" s="16"/>
      <c r="CSR20" s="18"/>
      <c r="CSS20" s="16"/>
      <c r="CST20" s="18"/>
      <c r="CSU20" s="16"/>
      <c r="CSV20" s="18"/>
      <c r="CSW20" s="16"/>
      <c r="CSX20" s="18"/>
      <c r="CSY20" s="16"/>
      <c r="CSZ20" s="18"/>
      <c r="CTA20" s="16"/>
      <c r="CTB20" s="18"/>
      <c r="CTC20" s="16"/>
      <c r="CTD20" s="18"/>
      <c r="CTE20" s="16"/>
      <c r="CTF20" s="18"/>
      <c r="CTG20" s="16"/>
      <c r="CTH20" s="18"/>
      <c r="CTI20" s="16"/>
      <c r="CTJ20" s="18"/>
      <c r="CTK20" s="16"/>
      <c r="CTL20" s="18"/>
      <c r="CTM20" s="16"/>
      <c r="CTN20" s="18"/>
      <c r="CTO20" s="16"/>
      <c r="CTP20" s="18"/>
      <c r="CTQ20" s="16"/>
      <c r="CTR20" s="18"/>
      <c r="CTS20" s="16"/>
      <c r="CTT20" s="18"/>
      <c r="CTU20" s="16"/>
      <c r="CTV20" s="18"/>
      <c r="CTW20" s="16"/>
      <c r="CTX20" s="18"/>
      <c r="CTY20" s="16"/>
      <c r="CTZ20" s="18"/>
      <c r="CUA20" s="16"/>
      <c r="CUB20" s="18"/>
      <c r="CUC20" s="16"/>
      <c r="CUD20" s="18"/>
      <c r="CUE20" s="16"/>
      <c r="CUF20" s="18"/>
      <c r="CUG20" s="16"/>
      <c r="CUH20" s="18"/>
      <c r="CUI20" s="16"/>
      <c r="CUJ20" s="18"/>
      <c r="CUK20" s="16"/>
      <c r="CUL20" s="18"/>
      <c r="CUM20" s="16"/>
      <c r="CUN20" s="18"/>
      <c r="CUO20" s="16"/>
      <c r="CUP20" s="18"/>
      <c r="CUQ20" s="16"/>
      <c r="CUR20" s="18"/>
      <c r="CUS20" s="16"/>
      <c r="CUT20" s="18"/>
      <c r="CUU20" s="16"/>
      <c r="CUV20" s="18"/>
      <c r="CUW20" s="16"/>
      <c r="CUX20" s="18"/>
      <c r="CUY20" s="16"/>
      <c r="CUZ20" s="18"/>
      <c r="CVA20" s="16"/>
      <c r="CVB20" s="18"/>
      <c r="CVC20" s="16"/>
      <c r="CVD20" s="18"/>
      <c r="CVE20" s="16"/>
      <c r="CVF20" s="18"/>
      <c r="CVG20" s="16"/>
      <c r="CVH20" s="18"/>
      <c r="CVI20" s="16"/>
      <c r="CVJ20" s="18"/>
      <c r="CVK20" s="16"/>
      <c r="CVL20" s="18"/>
      <c r="CVM20" s="16"/>
      <c r="CVN20" s="18"/>
      <c r="CVO20" s="16"/>
      <c r="CVP20" s="18"/>
      <c r="CVQ20" s="16"/>
      <c r="CVR20" s="18"/>
      <c r="CVS20" s="16"/>
      <c r="CVT20" s="18"/>
      <c r="CVU20" s="16"/>
      <c r="CVV20" s="18"/>
      <c r="CVW20" s="16"/>
      <c r="CVX20" s="18"/>
      <c r="CVY20" s="16"/>
      <c r="CVZ20" s="18"/>
      <c r="CWA20" s="16"/>
      <c r="CWB20" s="18"/>
      <c r="CWC20" s="16"/>
      <c r="CWD20" s="18"/>
      <c r="CWE20" s="16"/>
      <c r="CWF20" s="18"/>
      <c r="CWG20" s="16"/>
      <c r="CWH20" s="18"/>
      <c r="CWI20" s="16"/>
      <c r="CWJ20" s="18"/>
      <c r="CWK20" s="16"/>
      <c r="CWL20" s="18"/>
      <c r="CWM20" s="16"/>
      <c r="CWN20" s="18"/>
      <c r="CWO20" s="16"/>
      <c r="CWP20" s="18"/>
      <c r="CWQ20" s="16"/>
      <c r="CWR20" s="18"/>
      <c r="CWS20" s="16"/>
      <c r="CWT20" s="18"/>
      <c r="CWU20" s="16"/>
      <c r="CWV20" s="18"/>
      <c r="CWW20" s="16"/>
      <c r="CWX20" s="18"/>
      <c r="CWY20" s="16"/>
      <c r="CWZ20" s="18"/>
      <c r="CXA20" s="16"/>
      <c r="CXB20" s="18"/>
      <c r="CXC20" s="16"/>
      <c r="CXD20" s="18"/>
      <c r="CXE20" s="16"/>
      <c r="CXF20" s="18"/>
      <c r="CXG20" s="16"/>
      <c r="CXH20" s="18"/>
      <c r="CXI20" s="16"/>
      <c r="CXJ20" s="18"/>
      <c r="CXK20" s="16"/>
      <c r="CXL20" s="18"/>
      <c r="CXM20" s="16"/>
      <c r="CXN20" s="18"/>
      <c r="CXO20" s="16"/>
      <c r="CXP20" s="18"/>
      <c r="CXQ20" s="16"/>
      <c r="CXR20" s="18"/>
      <c r="CXS20" s="16"/>
      <c r="CXT20" s="18"/>
      <c r="CXU20" s="16"/>
      <c r="CXV20" s="18"/>
      <c r="CXW20" s="16"/>
      <c r="CXX20" s="18"/>
      <c r="CXY20" s="16"/>
      <c r="CXZ20" s="18"/>
      <c r="CYA20" s="16"/>
      <c r="CYB20" s="18"/>
      <c r="CYC20" s="16"/>
      <c r="CYD20" s="18"/>
      <c r="CYE20" s="16"/>
      <c r="CYF20" s="18"/>
      <c r="CYG20" s="16"/>
      <c r="CYH20" s="18"/>
      <c r="CYI20" s="16"/>
      <c r="CYJ20" s="18"/>
      <c r="CYK20" s="16"/>
      <c r="CYL20" s="18"/>
      <c r="CYM20" s="16"/>
      <c r="CYN20" s="18"/>
      <c r="CYO20" s="16"/>
      <c r="CYP20" s="18"/>
      <c r="CYQ20" s="16"/>
      <c r="CYR20" s="18"/>
      <c r="CYS20" s="16"/>
      <c r="CYT20" s="18"/>
      <c r="CYU20" s="16"/>
      <c r="CYV20" s="18"/>
      <c r="CYW20" s="16"/>
      <c r="CYX20" s="18"/>
      <c r="CYY20" s="16"/>
      <c r="CYZ20" s="18"/>
      <c r="CZA20" s="16"/>
      <c r="CZB20" s="18"/>
      <c r="CZC20" s="16"/>
      <c r="CZD20" s="18"/>
      <c r="CZE20" s="16"/>
      <c r="CZF20" s="18"/>
      <c r="CZG20" s="16"/>
      <c r="CZH20" s="18"/>
      <c r="CZI20" s="16"/>
      <c r="CZJ20" s="18"/>
      <c r="CZK20" s="16"/>
      <c r="CZL20" s="18"/>
      <c r="CZM20" s="16"/>
      <c r="CZN20" s="18"/>
      <c r="CZO20" s="16"/>
      <c r="CZP20" s="18"/>
      <c r="CZQ20" s="16"/>
      <c r="CZR20" s="18"/>
      <c r="CZS20" s="16"/>
      <c r="CZT20" s="18"/>
      <c r="CZU20" s="16"/>
      <c r="CZV20" s="18"/>
      <c r="CZW20" s="16"/>
      <c r="CZX20" s="18"/>
      <c r="CZY20" s="16"/>
      <c r="CZZ20" s="18"/>
      <c r="DAA20" s="16"/>
      <c r="DAB20" s="18"/>
      <c r="DAC20" s="16"/>
      <c r="DAD20" s="18"/>
      <c r="DAE20" s="16"/>
      <c r="DAF20" s="18"/>
      <c r="DAG20" s="16"/>
      <c r="DAH20" s="18"/>
      <c r="DAI20" s="16"/>
      <c r="DAJ20" s="18"/>
      <c r="DAK20" s="16"/>
      <c r="DAL20" s="18"/>
      <c r="DAM20" s="16"/>
      <c r="DAN20" s="18"/>
      <c r="DAO20" s="16"/>
      <c r="DAP20" s="18"/>
      <c r="DAQ20" s="16"/>
      <c r="DAR20" s="18"/>
      <c r="DAS20" s="16"/>
      <c r="DAT20" s="18"/>
      <c r="DAU20" s="16"/>
      <c r="DAV20" s="18"/>
      <c r="DAW20" s="16"/>
      <c r="DAX20" s="18"/>
      <c r="DAY20" s="16"/>
      <c r="DAZ20" s="18"/>
      <c r="DBA20" s="16"/>
      <c r="DBB20" s="18"/>
      <c r="DBC20" s="16"/>
      <c r="DBD20" s="18"/>
      <c r="DBE20" s="16"/>
      <c r="DBF20" s="18"/>
      <c r="DBG20" s="16"/>
      <c r="DBH20" s="18"/>
      <c r="DBI20" s="16"/>
      <c r="DBJ20" s="18"/>
      <c r="DBK20" s="16"/>
      <c r="DBL20" s="18"/>
      <c r="DBM20" s="16"/>
      <c r="DBN20" s="18"/>
      <c r="DBO20" s="16"/>
      <c r="DBP20" s="18"/>
      <c r="DBQ20" s="16"/>
      <c r="DBR20" s="18"/>
      <c r="DBS20" s="16"/>
      <c r="DBT20" s="18"/>
      <c r="DBU20" s="16"/>
      <c r="DBV20" s="18"/>
      <c r="DBW20" s="16"/>
      <c r="DBX20" s="18"/>
      <c r="DBY20" s="16"/>
      <c r="DBZ20" s="18"/>
      <c r="DCA20" s="16"/>
      <c r="DCB20" s="18"/>
      <c r="DCC20" s="16"/>
      <c r="DCD20" s="18"/>
      <c r="DCE20" s="16"/>
      <c r="DCF20" s="18"/>
      <c r="DCG20" s="16"/>
      <c r="DCH20" s="18"/>
      <c r="DCI20" s="16"/>
      <c r="DCJ20" s="18"/>
      <c r="DCK20" s="16"/>
      <c r="DCL20" s="18"/>
      <c r="DCM20" s="16"/>
      <c r="DCN20" s="18"/>
      <c r="DCO20" s="16"/>
      <c r="DCP20" s="18"/>
      <c r="DCQ20" s="16"/>
      <c r="DCR20" s="18"/>
      <c r="DCS20" s="16"/>
      <c r="DCT20" s="18"/>
      <c r="DCU20" s="16"/>
      <c r="DCV20" s="18"/>
      <c r="DCW20" s="16"/>
      <c r="DCX20" s="18"/>
      <c r="DCY20" s="16"/>
      <c r="DCZ20" s="18"/>
      <c r="DDA20" s="16"/>
      <c r="DDB20" s="18"/>
      <c r="DDC20" s="16"/>
      <c r="DDD20" s="18"/>
      <c r="DDE20" s="16"/>
      <c r="DDF20" s="18"/>
      <c r="DDG20" s="16"/>
      <c r="DDH20" s="18"/>
      <c r="DDI20" s="16"/>
      <c r="DDJ20" s="18"/>
      <c r="DDK20" s="16"/>
      <c r="DDL20" s="18"/>
      <c r="DDM20" s="16"/>
      <c r="DDN20" s="18"/>
      <c r="DDO20" s="16"/>
      <c r="DDP20" s="18"/>
      <c r="DDQ20" s="16"/>
      <c r="DDR20" s="18"/>
      <c r="DDS20" s="16"/>
      <c r="DDT20" s="18"/>
      <c r="DDU20" s="16"/>
      <c r="DDV20" s="18"/>
      <c r="DDW20" s="16"/>
      <c r="DDX20" s="18"/>
      <c r="DDY20" s="16"/>
      <c r="DDZ20" s="18"/>
      <c r="DEA20" s="16"/>
      <c r="DEB20" s="18"/>
      <c r="DEC20" s="16"/>
      <c r="DED20" s="18"/>
      <c r="DEE20" s="16"/>
      <c r="DEF20" s="18"/>
      <c r="DEG20" s="16"/>
      <c r="DEH20" s="18"/>
      <c r="DEI20" s="16"/>
      <c r="DEJ20" s="18"/>
      <c r="DEK20" s="16"/>
      <c r="DEL20" s="18"/>
      <c r="DEM20" s="16"/>
      <c r="DEN20" s="18"/>
      <c r="DEO20" s="16"/>
      <c r="DEP20" s="18"/>
      <c r="DEQ20" s="16"/>
      <c r="DER20" s="18"/>
      <c r="DES20" s="16"/>
      <c r="DET20" s="18"/>
      <c r="DEU20" s="16"/>
      <c r="DEV20" s="18"/>
      <c r="DEW20" s="16"/>
      <c r="DEX20" s="18"/>
      <c r="DEY20" s="16"/>
      <c r="DEZ20" s="18"/>
      <c r="DFA20" s="16"/>
      <c r="DFB20" s="18"/>
      <c r="DFC20" s="16"/>
      <c r="DFD20" s="18"/>
      <c r="DFE20" s="16"/>
      <c r="DFF20" s="18"/>
      <c r="DFG20" s="16"/>
      <c r="DFH20" s="18"/>
      <c r="DFI20" s="16"/>
      <c r="DFJ20" s="18"/>
      <c r="DFK20" s="16"/>
      <c r="DFL20" s="18"/>
      <c r="DFM20" s="16"/>
      <c r="DFN20" s="18"/>
      <c r="DFO20" s="16"/>
      <c r="DFP20" s="18"/>
      <c r="DFQ20" s="16"/>
      <c r="DFR20" s="18"/>
      <c r="DFS20" s="16"/>
      <c r="DFT20" s="18"/>
      <c r="DFU20" s="16"/>
      <c r="DFV20" s="18"/>
      <c r="DFW20" s="16"/>
      <c r="DFX20" s="18"/>
      <c r="DFY20" s="16"/>
      <c r="DFZ20" s="18"/>
      <c r="DGA20" s="16"/>
      <c r="DGB20" s="18"/>
      <c r="DGC20" s="16"/>
      <c r="DGD20" s="18"/>
      <c r="DGE20" s="16"/>
      <c r="DGF20" s="18"/>
      <c r="DGG20" s="16"/>
      <c r="DGH20" s="18"/>
      <c r="DGI20" s="16"/>
      <c r="DGJ20" s="18"/>
      <c r="DGK20" s="16"/>
      <c r="DGL20" s="18"/>
      <c r="DGM20" s="16"/>
      <c r="DGN20" s="18"/>
      <c r="DGO20" s="16"/>
      <c r="DGP20" s="18"/>
      <c r="DGQ20" s="16"/>
      <c r="DGR20" s="18"/>
      <c r="DGS20" s="16"/>
      <c r="DGT20" s="18"/>
      <c r="DGU20" s="16"/>
      <c r="DGV20" s="18"/>
      <c r="DGW20" s="16"/>
      <c r="DGX20" s="18"/>
      <c r="DGY20" s="16"/>
      <c r="DGZ20" s="18"/>
      <c r="DHA20" s="16"/>
      <c r="DHB20" s="18"/>
      <c r="DHC20" s="16"/>
      <c r="DHD20" s="18"/>
      <c r="DHE20" s="16"/>
      <c r="DHF20" s="18"/>
      <c r="DHG20" s="16"/>
      <c r="DHH20" s="18"/>
      <c r="DHI20" s="16"/>
      <c r="DHJ20" s="18"/>
      <c r="DHK20" s="16"/>
      <c r="DHL20" s="18"/>
      <c r="DHM20" s="16"/>
      <c r="DHN20" s="18"/>
      <c r="DHO20" s="16"/>
      <c r="DHP20" s="18"/>
      <c r="DHQ20" s="16"/>
      <c r="DHR20" s="18"/>
      <c r="DHS20" s="16"/>
      <c r="DHT20" s="18"/>
      <c r="DHU20" s="16"/>
      <c r="DHV20" s="18"/>
      <c r="DHW20" s="16"/>
      <c r="DHX20" s="18"/>
      <c r="DHY20" s="16"/>
      <c r="DHZ20" s="18"/>
      <c r="DIA20" s="16"/>
      <c r="DIB20" s="18"/>
      <c r="DIC20" s="16"/>
      <c r="DID20" s="18"/>
      <c r="DIE20" s="16"/>
      <c r="DIF20" s="18"/>
      <c r="DIG20" s="16"/>
      <c r="DIH20" s="18"/>
      <c r="DII20" s="16"/>
      <c r="DIJ20" s="18"/>
      <c r="DIK20" s="16"/>
      <c r="DIL20" s="18"/>
      <c r="DIM20" s="16"/>
      <c r="DIN20" s="18"/>
      <c r="DIO20" s="16"/>
      <c r="DIP20" s="18"/>
      <c r="DIQ20" s="16"/>
      <c r="DIR20" s="18"/>
      <c r="DIS20" s="16"/>
      <c r="DIT20" s="18"/>
      <c r="DIU20" s="16"/>
      <c r="DIV20" s="18"/>
      <c r="DIW20" s="16"/>
      <c r="DIX20" s="18"/>
      <c r="DIY20" s="16"/>
      <c r="DIZ20" s="18"/>
      <c r="DJA20" s="16"/>
      <c r="DJB20" s="18"/>
      <c r="DJC20" s="16"/>
      <c r="DJD20" s="18"/>
      <c r="DJE20" s="16"/>
      <c r="DJF20" s="18"/>
      <c r="DJG20" s="16"/>
      <c r="DJH20" s="18"/>
      <c r="DJI20" s="16"/>
      <c r="DJJ20" s="18"/>
      <c r="DJK20" s="16"/>
      <c r="DJL20" s="18"/>
      <c r="DJM20" s="16"/>
      <c r="DJN20" s="18"/>
      <c r="DJO20" s="16"/>
      <c r="DJP20" s="18"/>
      <c r="DJQ20" s="16"/>
      <c r="DJR20" s="18"/>
      <c r="DJS20" s="16"/>
      <c r="DJT20" s="18"/>
      <c r="DJU20" s="16"/>
      <c r="DJV20" s="18"/>
      <c r="DJW20" s="16"/>
      <c r="DJX20" s="18"/>
      <c r="DJY20" s="16"/>
      <c r="DJZ20" s="18"/>
      <c r="DKA20" s="16"/>
      <c r="DKB20" s="18"/>
      <c r="DKC20" s="16"/>
      <c r="DKD20" s="18"/>
      <c r="DKE20" s="16"/>
      <c r="DKF20" s="18"/>
      <c r="DKG20" s="16"/>
      <c r="DKH20" s="18"/>
      <c r="DKI20" s="16"/>
      <c r="DKJ20" s="18"/>
      <c r="DKK20" s="16"/>
      <c r="DKL20" s="18"/>
      <c r="DKM20" s="16"/>
      <c r="DKN20" s="18"/>
      <c r="DKO20" s="16"/>
      <c r="DKP20" s="18"/>
      <c r="DKQ20" s="16"/>
      <c r="DKR20" s="18"/>
      <c r="DKS20" s="16"/>
      <c r="DKT20" s="18"/>
      <c r="DKU20" s="16"/>
      <c r="DKV20" s="18"/>
      <c r="DKW20" s="16"/>
      <c r="DKX20" s="18"/>
      <c r="DKY20" s="16"/>
      <c r="DKZ20" s="18"/>
      <c r="DLA20" s="16"/>
      <c r="DLB20" s="18"/>
      <c r="DLC20" s="16"/>
      <c r="DLD20" s="18"/>
      <c r="DLE20" s="16"/>
      <c r="DLF20" s="18"/>
      <c r="DLG20" s="16"/>
      <c r="DLH20" s="18"/>
      <c r="DLI20" s="16"/>
      <c r="DLJ20" s="18"/>
      <c r="DLK20" s="16"/>
      <c r="DLL20" s="18"/>
      <c r="DLM20" s="16"/>
      <c r="DLN20" s="18"/>
      <c r="DLO20" s="16"/>
      <c r="DLP20" s="18"/>
      <c r="DLQ20" s="16"/>
      <c r="DLR20" s="18"/>
      <c r="DLS20" s="16"/>
      <c r="DLT20" s="18"/>
      <c r="DLU20" s="16"/>
      <c r="DLV20" s="18"/>
      <c r="DLW20" s="16"/>
      <c r="DLX20" s="18"/>
      <c r="DLY20" s="16"/>
      <c r="DLZ20" s="18"/>
      <c r="DMA20" s="16"/>
      <c r="DMB20" s="18"/>
      <c r="DMC20" s="16"/>
      <c r="DMD20" s="18"/>
      <c r="DME20" s="16"/>
      <c r="DMF20" s="18"/>
      <c r="DMG20" s="16"/>
      <c r="DMH20" s="18"/>
      <c r="DMI20" s="16"/>
      <c r="DMJ20" s="18"/>
      <c r="DMK20" s="16"/>
      <c r="DML20" s="18"/>
      <c r="DMM20" s="16"/>
      <c r="DMN20" s="18"/>
      <c r="DMO20" s="16"/>
      <c r="DMP20" s="18"/>
      <c r="DMQ20" s="16"/>
      <c r="DMR20" s="18"/>
      <c r="DMS20" s="16"/>
      <c r="DMT20" s="18"/>
      <c r="DMU20" s="16"/>
      <c r="DMV20" s="18"/>
      <c r="DMW20" s="16"/>
      <c r="DMX20" s="18"/>
      <c r="DMY20" s="16"/>
      <c r="DMZ20" s="18"/>
      <c r="DNA20" s="16"/>
      <c r="DNB20" s="18"/>
      <c r="DNC20" s="16"/>
      <c r="DND20" s="18"/>
      <c r="DNE20" s="16"/>
      <c r="DNF20" s="18"/>
      <c r="DNG20" s="16"/>
      <c r="DNH20" s="18"/>
      <c r="DNI20" s="16"/>
      <c r="DNJ20" s="18"/>
      <c r="DNK20" s="16"/>
      <c r="DNL20" s="18"/>
      <c r="DNM20" s="16"/>
      <c r="DNN20" s="18"/>
      <c r="DNO20" s="16"/>
      <c r="DNP20" s="18"/>
      <c r="DNQ20" s="16"/>
      <c r="DNR20" s="18"/>
      <c r="DNS20" s="16"/>
      <c r="DNT20" s="18"/>
      <c r="DNU20" s="16"/>
      <c r="DNV20" s="18"/>
      <c r="DNW20" s="16"/>
      <c r="DNX20" s="18"/>
      <c r="DNY20" s="16"/>
      <c r="DNZ20" s="18"/>
      <c r="DOA20" s="16"/>
      <c r="DOB20" s="18"/>
      <c r="DOC20" s="16"/>
      <c r="DOD20" s="18"/>
      <c r="DOE20" s="16"/>
      <c r="DOF20" s="18"/>
      <c r="DOG20" s="16"/>
      <c r="DOH20" s="18"/>
      <c r="DOI20" s="16"/>
      <c r="DOJ20" s="18"/>
      <c r="DOK20" s="16"/>
      <c r="DOL20" s="18"/>
      <c r="DOM20" s="16"/>
      <c r="DON20" s="18"/>
      <c r="DOO20" s="16"/>
      <c r="DOP20" s="18"/>
      <c r="DOQ20" s="16"/>
      <c r="DOR20" s="18"/>
      <c r="DOS20" s="16"/>
      <c r="DOT20" s="18"/>
      <c r="DOU20" s="16"/>
      <c r="DOV20" s="18"/>
      <c r="DOW20" s="16"/>
      <c r="DOX20" s="18"/>
      <c r="DOY20" s="16"/>
      <c r="DOZ20" s="18"/>
      <c r="DPA20" s="16"/>
      <c r="DPB20" s="18"/>
      <c r="DPC20" s="16"/>
      <c r="DPD20" s="18"/>
      <c r="DPE20" s="16"/>
      <c r="DPF20" s="18"/>
      <c r="DPG20" s="16"/>
      <c r="DPH20" s="18"/>
      <c r="DPI20" s="16"/>
      <c r="DPJ20" s="18"/>
      <c r="DPK20" s="16"/>
      <c r="DPL20" s="18"/>
      <c r="DPM20" s="16"/>
      <c r="DPN20" s="18"/>
      <c r="DPO20" s="16"/>
      <c r="DPP20" s="18"/>
      <c r="DPQ20" s="16"/>
      <c r="DPR20" s="18"/>
      <c r="DPS20" s="16"/>
      <c r="DPT20" s="18"/>
      <c r="DPU20" s="16"/>
      <c r="DPV20" s="18"/>
      <c r="DPW20" s="16"/>
      <c r="DPX20" s="18"/>
      <c r="DPY20" s="16"/>
      <c r="DPZ20" s="18"/>
      <c r="DQA20" s="16"/>
      <c r="DQB20" s="18"/>
      <c r="DQC20" s="16"/>
      <c r="DQD20" s="18"/>
      <c r="DQE20" s="16"/>
      <c r="DQF20" s="18"/>
      <c r="DQG20" s="16"/>
      <c r="DQH20" s="18"/>
      <c r="DQI20" s="16"/>
      <c r="DQJ20" s="18"/>
      <c r="DQK20" s="16"/>
      <c r="DQL20" s="18"/>
      <c r="DQM20" s="16"/>
      <c r="DQN20" s="18"/>
      <c r="DQO20" s="16"/>
      <c r="DQP20" s="18"/>
      <c r="DQQ20" s="16"/>
      <c r="DQR20" s="18"/>
      <c r="DQS20" s="16"/>
      <c r="DQT20" s="18"/>
      <c r="DQU20" s="16"/>
      <c r="DQV20" s="18"/>
      <c r="DQW20" s="16"/>
      <c r="DQX20" s="18"/>
      <c r="DQY20" s="16"/>
      <c r="DQZ20" s="18"/>
      <c r="DRA20" s="16"/>
      <c r="DRB20" s="18"/>
      <c r="DRC20" s="16"/>
      <c r="DRD20" s="18"/>
      <c r="DRE20" s="16"/>
      <c r="DRF20" s="18"/>
      <c r="DRG20" s="16"/>
      <c r="DRH20" s="18"/>
      <c r="DRI20" s="16"/>
      <c r="DRJ20" s="18"/>
      <c r="DRK20" s="16"/>
      <c r="DRL20" s="18"/>
      <c r="DRM20" s="16"/>
      <c r="DRN20" s="18"/>
      <c r="DRO20" s="16"/>
      <c r="DRP20" s="18"/>
      <c r="DRQ20" s="16"/>
      <c r="DRR20" s="18"/>
      <c r="DRS20" s="16"/>
      <c r="DRT20" s="18"/>
      <c r="DRU20" s="16"/>
      <c r="DRV20" s="18"/>
      <c r="DRW20" s="16"/>
      <c r="DRX20" s="18"/>
      <c r="DRY20" s="16"/>
      <c r="DRZ20" s="18"/>
      <c r="DSA20" s="16"/>
      <c r="DSB20" s="18"/>
      <c r="DSC20" s="16"/>
      <c r="DSD20" s="18"/>
      <c r="DSE20" s="16"/>
      <c r="DSF20" s="18"/>
      <c r="DSG20" s="16"/>
      <c r="DSH20" s="18"/>
      <c r="DSI20" s="16"/>
      <c r="DSJ20" s="18"/>
      <c r="DSK20" s="16"/>
      <c r="DSL20" s="18"/>
      <c r="DSM20" s="16"/>
      <c r="DSN20" s="18"/>
      <c r="DSO20" s="16"/>
      <c r="DSP20" s="18"/>
      <c r="DSQ20" s="16"/>
      <c r="DSR20" s="18"/>
      <c r="DSS20" s="16"/>
      <c r="DST20" s="18"/>
      <c r="DSU20" s="16"/>
      <c r="DSV20" s="18"/>
      <c r="DSW20" s="16"/>
      <c r="DSX20" s="18"/>
      <c r="DSY20" s="16"/>
      <c r="DSZ20" s="18"/>
      <c r="DTA20" s="16"/>
      <c r="DTB20" s="18"/>
      <c r="DTC20" s="16"/>
      <c r="DTD20" s="18"/>
      <c r="DTE20" s="16"/>
      <c r="DTF20" s="18"/>
      <c r="DTG20" s="16"/>
      <c r="DTH20" s="18"/>
      <c r="DTI20" s="16"/>
      <c r="DTJ20" s="18"/>
      <c r="DTK20" s="16"/>
      <c r="DTL20" s="18"/>
      <c r="DTM20" s="16"/>
      <c r="DTN20" s="18"/>
      <c r="DTO20" s="16"/>
      <c r="DTP20" s="18"/>
      <c r="DTQ20" s="16"/>
      <c r="DTR20" s="18"/>
      <c r="DTS20" s="16"/>
      <c r="DTT20" s="18"/>
      <c r="DTU20" s="16"/>
      <c r="DTV20" s="18"/>
      <c r="DTW20" s="16"/>
      <c r="DTX20" s="18"/>
      <c r="DTY20" s="16"/>
      <c r="DTZ20" s="18"/>
      <c r="DUA20" s="16"/>
      <c r="DUB20" s="18"/>
      <c r="DUC20" s="16"/>
      <c r="DUD20" s="18"/>
      <c r="DUE20" s="16"/>
      <c r="DUF20" s="18"/>
      <c r="DUG20" s="16"/>
      <c r="DUH20" s="18"/>
      <c r="DUI20" s="16"/>
      <c r="DUJ20" s="18"/>
      <c r="DUK20" s="16"/>
      <c r="DUL20" s="18"/>
      <c r="DUM20" s="16"/>
      <c r="DUN20" s="18"/>
      <c r="DUO20" s="16"/>
      <c r="DUP20" s="18"/>
      <c r="DUQ20" s="16"/>
      <c r="DUR20" s="18"/>
      <c r="DUS20" s="16"/>
      <c r="DUT20" s="18"/>
      <c r="DUU20" s="16"/>
      <c r="DUV20" s="18"/>
      <c r="DUW20" s="16"/>
      <c r="DUX20" s="18"/>
      <c r="DUY20" s="16"/>
      <c r="DUZ20" s="18"/>
      <c r="DVA20" s="16"/>
      <c r="DVB20" s="18"/>
      <c r="DVC20" s="16"/>
      <c r="DVD20" s="18"/>
      <c r="DVE20" s="16"/>
      <c r="DVF20" s="18"/>
      <c r="DVG20" s="16"/>
      <c r="DVH20" s="18"/>
      <c r="DVI20" s="16"/>
      <c r="DVJ20" s="18"/>
      <c r="DVK20" s="16"/>
      <c r="DVL20" s="18"/>
      <c r="DVM20" s="16"/>
      <c r="DVN20" s="18"/>
      <c r="DVO20" s="16"/>
      <c r="DVP20" s="18"/>
      <c r="DVQ20" s="16"/>
      <c r="DVR20" s="18"/>
      <c r="DVS20" s="16"/>
      <c r="DVT20" s="18"/>
      <c r="DVU20" s="16"/>
      <c r="DVV20" s="18"/>
      <c r="DVW20" s="16"/>
      <c r="DVX20" s="18"/>
      <c r="DVY20" s="16"/>
      <c r="DVZ20" s="18"/>
      <c r="DWA20" s="16"/>
      <c r="DWB20" s="18"/>
      <c r="DWC20" s="16"/>
      <c r="DWD20" s="18"/>
      <c r="DWE20" s="16"/>
      <c r="DWF20" s="18"/>
      <c r="DWG20" s="16"/>
      <c r="DWH20" s="18"/>
      <c r="DWI20" s="16"/>
      <c r="DWJ20" s="18"/>
      <c r="DWK20" s="16"/>
      <c r="DWL20" s="18"/>
      <c r="DWM20" s="16"/>
      <c r="DWN20" s="18"/>
      <c r="DWO20" s="16"/>
      <c r="DWP20" s="18"/>
      <c r="DWQ20" s="16"/>
      <c r="DWR20" s="18"/>
      <c r="DWS20" s="16"/>
      <c r="DWT20" s="18"/>
      <c r="DWU20" s="16"/>
      <c r="DWV20" s="18"/>
      <c r="DWW20" s="16"/>
      <c r="DWX20" s="18"/>
      <c r="DWY20" s="16"/>
      <c r="DWZ20" s="18"/>
      <c r="DXA20" s="16"/>
      <c r="DXB20" s="18"/>
      <c r="DXC20" s="16"/>
      <c r="DXD20" s="18"/>
      <c r="DXE20" s="16"/>
      <c r="DXF20" s="18"/>
      <c r="DXG20" s="16"/>
      <c r="DXH20" s="18"/>
      <c r="DXI20" s="16"/>
      <c r="DXJ20" s="18"/>
      <c r="DXK20" s="16"/>
      <c r="DXL20" s="18"/>
      <c r="DXM20" s="16"/>
      <c r="DXN20" s="18"/>
      <c r="DXO20" s="16"/>
      <c r="DXP20" s="18"/>
      <c r="DXQ20" s="16"/>
      <c r="DXR20" s="18"/>
      <c r="DXS20" s="16"/>
      <c r="DXT20" s="18"/>
      <c r="DXU20" s="16"/>
      <c r="DXV20" s="18"/>
      <c r="DXW20" s="16"/>
      <c r="DXX20" s="18"/>
      <c r="DXY20" s="16"/>
      <c r="DXZ20" s="18"/>
      <c r="DYA20" s="16"/>
      <c r="DYB20" s="18"/>
      <c r="DYC20" s="16"/>
      <c r="DYD20" s="18"/>
      <c r="DYE20" s="16"/>
      <c r="DYF20" s="18"/>
      <c r="DYG20" s="16"/>
      <c r="DYH20" s="18"/>
      <c r="DYI20" s="16"/>
      <c r="DYJ20" s="18"/>
      <c r="DYK20" s="16"/>
      <c r="DYL20" s="18"/>
      <c r="DYM20" s="16"/>
      <c r="DYN20" s="18"/>
      <c r="DYO20" s="16"/>
      <c r="DYP20" s="18"/>
      <c r="DYQ20" s="16"/>
      <c r="DYR20" s="18"/>
      <c r="DYS20" s="16"/>
      <c r="DYT20" s="18"/>
      <c r="DYU20" s="16"/>
      <c r="DYV20" s="18"/>
      <c r="DYW20" s="16"/>
      <c r="DYX20" s="18"/>
      <c r="DYY20" s="16"/>
      <c r="DYZ20" s="18"/>
      <c r="DZA20" s="16"/>
      <c r="DZB20" s="18"/>
      <c r="DZC20" s="16"/>
      <c r="DZD20" s="18"/>
      <c r="DZE20" s="16"/>
      <c r="DZF20" s="18"/>
      <c r="DZG20" s="16"/>
      <c r="DZH20" s="18"/>
      <c r="DZI20" s="16"/>
      <c r="DZJ20" s="18"/>
      <c r="DZK20" s="16"/>
      <c r="DZL20" s="18"/>
      <c r="DZM20" s="16"/>
      <c r="DZN20" s="18"/>
      <c r="DZO20" s="16"/>
      <c r="DZP20" s="18"/>
      <c r="DZQ20" s="16"/>
      <c r="DZR20" s="18"/>
      <c r="DZS20" s="16"/>
      <c r="DZT20" s="18"/>
      <c r="DZU20" s="16"/>
      <c r="DZV20" s="18"/>
      <c r="DZW20" s="16"/>
      <c r="DZX20" s="18"/>
      <c r="DZY20" s="16"/>
      <c r="DZZ20" s="18"/>
      <c r="EAA20" s="16"/>
      <c r="EAB20" s="18"/>
      <c r="EAC20" s="16"/>
      <c r="EAD20" s="18"/>
      <c r="EAE20" s="16"/>
      <c r="EAF20" s="18"/>
      <c r="EAG20" s="16"/>
      <c r="EAH20" s="18"/>
      <c r="EAI20" s="16"/>
      <c r="EAJ20" s="18"/>
      <c r="EAK20" s="16"/>
      <c r="EAL20" s="18"/>
      <c r="EAM20" s="16"/>
      <c r="EAN20" s="18"/>
      <c r="EAO20" s="16"/>
      <c r="EAP20" s="18"/>
      <c r="EAQ20" s="16"/>
      <c r="EAR20" s="18"/>
      <c r="EAS20" s="16"/>
      <c r="EAT20" s="18"/>
      <c r="EAU20" s="16"/>
      <c r="EAV20" s="18"/>
      <c r="EAW20" s="16"/>
      <c r="EAX20" s="18"/>
      <c r="EAY20" s="16"/>
      <c r="EAZ20" s="18"/>
      <c r="EBA20" s="16"/>
      <c r="EBB20" s="18"/>
      <c r="EBC20" s="16"/>
      <c r="EBD20" s="18"/>
      <c r="EBE20" s="16"/>
      <c r="EBF20" s="18"/>
      <c r="EBG20" s="16"/>
      <c r="EBH20" s="18"/>
      <c r="EBI20" s="16"/>
      <c r="EBJ20" s="18"/>
      <c r="EBK20" s="16"/>
      <c r="EBL20" s="18"/>
      <c r="EBM20" s="16"/>
      <c r="EBN20" s="18"/>
      <c r="EBO20" s="16"/>
      <c r="EBP20" s="18"/>
      <c r="EBQ20" s="16"/>
      <c r="EBR20" s="18"/>
      <c r="EBS20" s="16"/>
      <c r="EBT20" s="18"/>
      <c r="EBU20" s="16"/>
      <c r="EBV20" s="18"/>
      <c r="EBW20" s="16"/>
      <c r="EBX20" s="18"/>
      <c r="EBY20" s="16"/>
      <c r="EBZ20" s="18"/>
      <c r="ECA20" s="16"/>
      <c r="ECB20" s="18"/>
      <c r="ECC20" s="16"/>
      <c r="ECD20" s="18"/>
      <c r="ECE20" s="16"/>
      <c r="ECF20" s="18"/>
      <c r="ECG20" s="16"/>
      <c r="ECH20" s="18"/>
      <c r="ECI20" s="16"/>
      <c r="ECJ20" s="18"/>
      <c r="ECK20" s="16"/>
      <c r="ECL20" s="18"/>
      <c r="ECM20" s="16"/>
      <c r="ECN20" s="18"/>
      <c r="ECO20" s="16"/>
      <c r="ECP20" s="18"/>
      <c r="ECQ20" s="16"/>
      <c r="ECR20" s="18"/>
      <c r="ECS20" s="16"/>
      <c r="ECT20" s="18"/>
      <c r="ECU20" s="16"/>
      <c r="ECV20" s="18"/>
      <c r="ECW20" s="16"/>
      <c r="ECX20" s="18"/>
      <c r="ECY20" s="16"/>
      <c r="ECZ20" s="18"/>
      <c r="EDA20" s="16"/>
      <c r="EDB20" s="18"/>
      <c r="EDC20" s="16"/>
      <c r="EDD20" s="18"/>
      <c r="EDE20" s="16"/>
      <c r="EDF20" s="18"/>
      <c r="EDG20" s="16"/>
      <c r="EDH20" s="18"/>
      <c r="EDI20" s="16"/>
      <c r="EDJ20" s="18"/>
      <c r="EDK20" s="16"/>
      <c r="EDL20" s="18"/>
      <c r="EDM20" s="16"/>
      <c r="EDN20" s="18"/>
      <c r="EDO20" s="16"/>
      <c r="EDP20" s="18"/>
      <c r="EDQ20" s="16"/>
      <c r="EDR20" s="18"/>
      <c r="EDS20" s="16"/>
      <c r="EDT20" s="18"/>
      <c r="EDU20" s="16"/>
      <c r="EDV20" s="18"/>
      <c r="EDW20" s="16"/>
      <c r="EDX20" s="18"/>
      <c r="EDY20" s="16"/>
      <c r="EDZ20" s="18"/>
      <c r="EEA20" s="16"/>
      <c r="EEB20" s="18"/>
      <c r="EEC20" s="16"/>
      <c r="EED20" s="18"/>
      <c r="EEE20" s="16"/>
      <c r="EEF20" s="18"/>
      <c r="EEG20" s="16"/>
      <c r="EEH20" s="18"/>
      <c r="EEI20" s="16"/>
      <c r="EEJ20" s="18"/>
      <c r="EEK20" s="16"/>
      <c r="EEL20" s="18"/>
      <c r="EEM20" s="16"/>
      <c r="EEN20" s="18"/>
      <c r="EEO20" s="16"/>
      <c r="EEP20" s="18"/>
      <c r="EEQ20" s="16"/>
      <c r="EER20" s="18"/>
      <c r="EES20" s="16"/>
      <c r="EET20" s="18"/>
      <c r="EEU20" s="16"/>
      <c r="EEV20" s="18"/>
      <c r="EEW20" s="16"/>
      <c r="EEX20" s="18"/>
      <c r="EEY20" s="16"/>
      <c r="EEZ20" s="18"/>
      <c r="EFA20" s="16"/>
      <c r="EFB20" s="18"/>
      <c r="EFC20" s="16"/>
      <c r="EFD20" s="18"/>
      <c r="EFE20" s="16"/>
      <c r="EFF20" s="18"/>
      <c r="EFG20" s="16"/>
      <c r="EFH20" s="18"/>
      <c r="EFI20" s="16"/>
      <c r="EFJ20" s="18"/>
      <c r="EFK20" s="16"/>
      <c r="EFL20" s="18"/>
      <c r="EFM20" s="16"/>
      <c r="EFN20" s="18"/>
      <c r="EFO20" s="16"/>
      <c r="EFP20" s="18"/>
      <c r="EFQ20" s="16"/>
      <c r="EFR20" s="18"/>
      <c r="EFS20" s="16"/>
      <c r="EFT20" s="18"/>
      <c r="EFU20" s="16"/>
      <c r="EFV20" s="18"/>
      <c r="EFW20" s="16"/>
      <c r="EFX20" s="18"/>
      <c r="EFY20" s="16"/>
      <c r="EFZ20" s="18"/>
      <c r="EGA20" s="16"/>
      <c r="EGB20" s="18"/>
      <c r="EGC20" s="16"/>
      <c r="EGD20" s="18"/>
      <c r="EGE20" s="16"/>
      <c r="EGF20" s="18"/>
      <c r="EGG20" s="16"/>
      <c r="EGH20" s="18"/>
      <c r="EGI20" s="16"/>
      <c r="EGJ20" s="18"/>
      <c r="EGK20" s="16"/>
      <c r="EGL20" s="18"/>
      <c r="EGM20" s="16"/>
      <c r="EGN20" s="18"/>
      <c r="EGO20" s="16"/>
      <c r="EGP20" s="18"/>
      <c r="EGQ20" s="16"/>
      <c r="EGR20" s="18"/>
      <c r="EGS20" s="16"/>
      <c r="EGT20" s="18"/>
      <c r="EGU20" s="16"/>
      <c r="EGV20" s="18"/>
      <c r="EGW20" s="16"/>
      <c r="EGX20" s="18"/>
      <c r="EGY20" s="16"/>
      <c r="EGZ20" s="18"/>
      <c r="EHA20" s="16"/>
      <c r="EHB20" s="18"/>
      <c r="EHC20" s="16"/>
      <c r="EHD20" s="18"/>
      <c r="EHE20" s="16"/>
      <c r="EHF20" s="18"/>
      <c r="EHG20" s="16"/>
      <c r="EHH20" s="18"/>
      <c r="EHI20" s="16"/>
      <c r="EHJ20" s="18"/>
      <c r="EHK20" s="16"/>
      <c r="EHL20" s="18"/>
      <c r="EHM20" s="16"/>
      <c r="EHN20" s="18"/>
      <c r="EHO20" s="16"/>
      <c r="EHP20" s="18"/>
      <c r="EHQ20" s="16"/>
      <c r="EHR20" s="18"/>
      <c r="EHS20" s="16"/>
      <c r="EHT20" s="18"/>
      <c r="EHU20" s="16"/>
      <c r="EHV20" s="18"/>
      <c r="EHW20" s="16"/>
      <c r="EHX20" s="18"/>
      <c r="EHY20" s="16"/>
      <c r="EHZ20" s="18"/>
      <c r="EIA20" s="16"/>
      <c r="EIB20" s="18"/>
      <c r="EIC20" s="16"/>
      <c r="EID20" s="18"/>
      <c r="EIE20" s="16"/>
      <c r="EIF20" s="18"/>
      <c r="EIG20" s="16"/>
      <c r="EIH20" s="18"/>
      <c r="EII20" s="16"/>
      <c r="EIJ20" s="18"/>
      <c r="EIK20" s="16"/>
      <c r="EIL20" s="18"/>
      <c r="EIM20" s="16"/>
      <c r="EIN20" s="18"/>
      <c r="EIO20" s="16"/>
      <c r="EIP20" s="18"/>
      <c r="EIQ20" s="16"/>
      <c r="EIR20" s="18"/>
      <c r="EIS20" s="16"/>
      <c r="EIT20" s="18"/>
      <c r="EIU20" s="16"/>
      <c r="EIV20" s="18"/>
      <c r="EIW20" s="16"/>
      <c r="EIX20" s="18"/>
      <c r="EIY20" s="16"/>
      <c r="EIZ20" s="18"/>
      <c r="EJA20" s="16"/>
      <c r="EJB20" s="18"/>
      <c r="EJC20" s="16"/>
      <c r="EJD20" s="18"/>
      <c r="EJE20" s="16"/>
      <c r="EJF20" s="18"/>
      <c r="EJG20" s="16"/>
      <c r="EJH20" s="18"/>
      <c r="EJI20" s="16"/>
      <c r="EJJ20" s="18"/>
      <c r="EJK20" s="16"/>
      <c r="EJL20" s="18"/>
      <c r="EJM20" s="16"/>
      <c r="EJN20" s="18"/>
      <c r="EJO20" s="16"/>
      <c r="EJP20" s="18"/>
      <c r="EJQ20" s="16"/>
      <c r="EJR20" s="18"/>
      <c r="EJS20" s="16"/>
      <c r="EJT20" s="18"/>
      <c r="EJU20" s="16"/>
      <c r="EJV20" s="18"/>
      <c r="EJW20" s="16"/>
      <c r="EJX20" s="18"/>
      <c r="EJY20" s="16"/>
      <c r="EJZ20" s="18"/>
      <c r="EKA20" s="16"/>
      <c r="EKB20" s="18"/>
      <c r="EKC20" s="16"/>
      <c r="EKD20" s="18"/>
      <c r="EKE20" s="16"/>
      <c r="EKF20" s="18"/>
      <c r="EKG20" s="16"/>
      <c r="EKH20" s="18"/>
      <c r="EKI20" s="16"/>
      <c r="EKJ20" s="18"/>
      <c r="EKK20" s="16"/>
      <c r="EKL20" s="18"/>
      <c r="EKM20" s="16"/>
      <c r="EKN20" s="18"/>
      <c r="EKO20" s="16"/>
      <c r="EKP20" s="18"/>
      <c r="EKQ20" s="16"/>
      <c r="EKR20" s="18"/>
      <c r="EKS20" s="16"/>
      <c r="EKT20" s="18"/>
      <c r="EKU20" s="16"/>
      <c r="EKV20" s="18"/>
      <c r="EKW20" s="16"/>
      <c r="EKX20" s="18"/>
      <c r="EKY20" s="16"/>
      <c r="EKZ20" s="18"/>
      <c r="ELA20" s="16"/>
      <c r="ELB20" s="18"/>
      <c r="ELC20" s="16"/>
      <c r="ELD20" s="18"/>
      <c r="ELE20" s="16"/>
      <c r="ELF20" s="18"/>
      <c r="ELG20" s="16"/>
      <c r="ELH20" s="18"/>
      <c r="ELI20" s="16"/>
      <c r="ELJ20" s="18"/>
      <c r="ELK20" s="16"/>
      <c r="ELL20" s="18"/>
      <c r="ELM20" s="16"/>
      <c r="ELN20" s="18"/>
      <c r="ELO20" s="16"/>
      <c r="ELP20" s="18"/>
      <c r="ELQ20" s="16"/>
      <c r="ELR20" s="18"/>
      <c r="ELS20" s="16"/>
      <c r="ELT20" s="18"/>
      <c r="ELU20" s="16"/>
      <c r="ELV20" s="18"/>
      <c r="ELW20" s="16"/>
      <c r="ELX20" s="18"/>
      <c r="ELY20" s="16"/>
      <c r="ELZ20" s="18"/>
      <c r="EMA20" s="16"/>
      <c r="EMB20" s="18"/>
      <c r="EMC20" s="16"/>
      <c r="EMD20" s="18"/>
      <c r="EME20" s="16"/>
      <c r="EMF20" s="18"/>
      <c r="EMG20" s="16"/>
      <c r="EMH20" s="18"/>
      <c r="EMI20" s="16"/>
      <c r="EMJ20" s="18"/>
      <c r="EMK20" s="16"/>
      <c r="EML20" s="18"/>
      <c r="EMM20" s="16"/>
      <c r="EMN20" s="18"/>
      <c r="EMO20" s="16"/>
      <c r="EMP20" s="18"/>
      <c r="EMQ20" s="16"/>
      <c r="EMR20" s="18"/>
      <c r="EMS20" s="16"/>
      <c r="EMT20" s="18"/>
      <c r="EMU20" s="16"/>
      <c r="EMV20" s="18"/>
      <c r="EMW20" s="16"/>
      <c r="EMX20" s="18"/>
      <c r="EMY20" s="16"/>
      <c r="EMZ20" s="18"/>
      <c r="ENA20" s="16"/>
      <c r="ENB20" s="18"/>
      <c r="ENC20" s="16"/>
      <c r="END20" s="18"/>
      <c r="ENE20" s="16"/>
      <c r="ENF20" s="18"/>
      <c r="ENG20" s="16"/>
      <c r="ENH20" s="18"/>
      <c r="ENI20" s="16"/>
      <c r="ENJ20" s="18"/>
      <c r="ENK20" s="16"/>
      <c r="ENL20" s="18"/>
      <c r="ENM20" s="16"/>
      <c r="ENN20" s="18"/>
      <c r="ENO20" s="16"/>
      <c r="ENP20" s="18"/>
      <c r="ENQ20" s="16"/>
      <c r="ENR20" s="18"/>
      <c r="ENS20" s="16"/>
      <c r="ENT20" s="18"/>
      <c r="ENU20" s="16"/>
      <c r="ENV20" s="18"/>
      <c r="ENW20" s="16"/>
      <c r="ENX20" s="18"/>
      <c r="ENY20" s="16"/>
      <c r="ENZ20" s="18"/>
      <c r="EOA20" s="16"/>
      <c r="EOB20" s="18"/>
      <c r="EOC20" s="16"/>
      <c r="EOD20" s="18"/>
      <c r="EOE20" s="16"/>
      <c r="EOF20" s="18"/>
      <c r="EOG20" s="16"/>
      <c r="EOH20" s="18"/>
      <c r="EOI20" s="16"/>
      <c r="EOJ20" s="18"/>
      <c r="EOK20" s="16"/>
      <c r="EOL20" s="18"/>
      <c r="EOM20" s="16"/>
      <c r="EON20" s="18"/>
      <c r="EOO20" s="16"/>
      <c r="EOP20" s="18"/>
      <c r="EOQ20" s="16"/>
      <c r="EOR20" s="18"/>
      <c r="EOS20" s="16"/>
      <c r="EOT20" s="18"/>
      <c r="EOU20" s="16"/>
      <c r="EOV20" s="18"/>
      <c r="EOW20" s="16"/>
      <c r="EOX20" s="18"/>
      <c r="EOY20" s="16"/>
      <c r="EOZ20" s="18"/>
      <c r="EPA20" s="16"/>
      <c r="EPB20" s="18"/>
      <c r="EPC20" s="16"/>
      <c r="EPD20" s="18"/>
      <c r="EPE20" s="16"/>
      <c r="EPF20" s="18"/>
      <c r="EPG20" s="16"/>
      <c r="EPH20" s="18"/>
      <c r="EPI20" s="16"/>
      <c r="EPJ20" s="18"/>
      <c r="EPK20" s="16"/>
      <c r="EPL20" s="18"/>
      <c r="EPM20" s="16"/>
      <c r="EPN20" s="18"/>
      <c r="EPO20" s="16"/>
      <c r="EPP20" s="18"/>
      <c r="EPQ20" s="16"/>
      <c r="EPR20" s="18"/>
      <c r="EPS20" s="16"/>
      <c r="EPT20" s="18"/>
      <c r="EPU20" s="16"/>
      <c r="EPV20" s="18"/>
      <c r="EPW20" s="16"/>
      <c r="EPX20" s="18"/>
      <c r="EPY20" s="16"/>
      <c r="EPZ20" s="18"/>
      <c r="EQA20" s="16"/>
      <c r="EQB20" s="18"/>
      <c r="EQC20" s="16"/>
      <c r="EQD20" s="18"/>
      <c r="EQE20" s="16"/>
      <c r="EQF20" s="18"/>
      <c r="EQG20" s="16"/>
      <c r="EQH20" s="18"/>
      <c r="EQI20" s="16"/>
      <c r="EQJ20" s="18"/>
      <c r="EQK20" s="16"/>
      <c r="EQL20" s="18"/>
      <c r="EQM20" s="16"/>
      <c r="EQN20" s="18"/>
      <c r="EQO20" s="16"/>
      <c r="EQP20" s="18"/>
      <c r="EQQ20" s="16"/>
      <c r="EQR20" s="18"/>
      <c r="EQS20" s="16"/>
      <c r="EQT20" s="18"/>
      <c r="EQU20" s="16"/>
      <c r="EQV20" s="18"/>
      <c r="EQW20" s="16"/>
      <c r="EQX20" s="18"/>
      <c r="EQY20" s="16"/>
      <c r="EQZ20" s="18"/>
      <c r="ERA20" s="16"/>
      <c r="ERB20" s="18"/>
      <c r="ERC20" s="16"/>
      <c r="ERD20" s="18"/>
      <c r="ERE20" s="16"/>
      <c r="ERF20" s="18"/>
      <c r="ERG20" s="16"/>
      <c r="ERH20" s="18"/>
      <c r="ERI20" s="16"/>
      <c r="ERJ20" s="18"/>
      <c r="ERK20" s="16"/>
      <c r="ERL20" s="18"/>
      <c r="ERM20" s="16"/>
      <c r="ERN20" s="18"/>
      <c r="ERO20" s="16"/>
      <c r="ERP20" s="18"/>
      <c r="ERQ20" s="16"/>
      <c r="ERR20" s="18"/>
      <c r="ERS20" s="16"/>
      <c r="ERT20" s="18"/>
      <c r="ERU20" s="16"/>
      <c r="ERV20" s="18"/>
      <c r="ERW20" s="16"/>
      <c r="ERX20" s="18"/>
      <c r="ERY20" s="16"/>
      <c r="ERZ20" s="18"/>
      <c r="ESA20" s="16"/>
      <c r="ESB20" s="18"/>
      <c r="ESC20" s="16"/>
      <c r="ESD20" s="18"/>
      <c r="ESE20" s="16"/>
      <c r="ESF20" s="18"/>
      <c r="ESG20" s="16"/>
      <c r="ESH20" s="18"/>
      <c r="ESI20" s="16"/>
      <c r="ESJ20" s="18"/>
      <c r="ESK20" s="16"/>
      <c r="ESL20" s="18"/>
      <c r="ESM20" s="16"/>
      <c r="ESN20" s="18"/>
      <c r="ESO20" s="16"/>
      <c r="ESP20" s="18"/>
      <c r="ESQ20" s="16"/>
      <c r="ESR20" s="18"/>
      <c r="ESS20" s="16"/>
      <c r="EST20" s="18"/>
      <c r="ESU20" s="16"/>
      <c r="ESV20" s="18"/>
      <c r="ESW20" s="16"/>
      <c r="ESX20" s="18"/>
      <c r="ESY20" s="16"/>
      <c r="ESZ20" s="18"/>
      <c r="ETA20" s="16"/>
      <c r="ETB20" s="18"/>
      <c r="ETC20" s="16"/>
      <c r="ETD20" s="18"/>
      <c r="ETE20" s="16"/>
      <c r="ETF20" s="18"/>
      <c r="ETG20" s="16"/>
      <c r="ETH20" s="18"/>
      <c r="ETI20" s="16"/>
      <c r="ETJ20" s="18"/>
      <c r="ETK20" s="16"/>
      <c r="ETL20" s="18"/>
      <c r="ETM20" s="16"/>
      <c r="ETN20" s="18"/>
      <c r="ETO20" s="16"/>
      <c r="ETP20" s="18"/>
      <c r="ETQ20" s="16"/>
      <c r="ETR20" s="18"/>
      <c r="ETS20" s="16"/>
      <c r="ETT20" s="18"/>
      <c r="ETU20" s="16"/>
      <c r="ETV20" s="18"/>
      <c r="ETW20" s="16"/>
      <c r="ETX20" s="18"/>
      <c r="ETY20" s="16"/>
      <c r="ETZ20" s="18"/>
      <c r="EUA20" s="16"/>
      <c r="EUB20" s="18"/>
      <c r="EUC20" s="16"/>
      <c r="EUD20" s="18"/>
      <c r="EUE20" s="16"/>
      <c r="EUF20" s="18"/>
      <c r="EUG20" s="16"/>
      <c r="EUH20" s="18"/>
      <c r="EUI20" s="16"/>
      <c r="EUJ20" s="18"/>
      <c r="EUK20" s="16"/>
      <c r="EUL20" s="18"/>
      <c r="EUM20" s="16"/>
      <c r="EUN20" s="18"/>
      <c r="EUO20" s="16"/>
      <c r="EUP20" s="18"/>
      <c r="EUQ20" s="16"/>
      <c r="EUR20" s="18"/>
      <c r="EUS20" s="16"/>
      <c r="EUT20" s="18"/>
      <c r="EUU20" s="16"/>
      <c r="EUV20" s="18"/>
      <c r="EUW20" s="16"/>
      <c r="EUX20" s="18"/>
      <c r="EUY20" s="16"/>
      <c r="EUZ20" s="18"/>
      <c r="EVA20" s="16"/>
      <c r="EVB20" s="18"/>
      <c r="EVC20" s="16"/>
      <c r="EVD20" s="18"/>
      <c r="EVE20" s="16"/>
      <c r="EVF20" s="18"/>
      <c r="EVG20" s="16"/>
      <c r="EVH20" s="18"/>
      <c r="EVI20" s="16"/>
      <c r="EVJ20" s="18"/>
      <c r="EVK20" s="16"/>
      <c r="EVL20" s="18"/>
      <c r="EVM20" s="16"/>
      <c r="EVN20" s="18"/>
      <c r="EVO20" s="16"/>
      <c r="EVP20" s="18"/>
      <c r="EVQ20" s="16"/>
      <c r="EVR20" s="18"/>
      <c r="EVS20" s="16"/>
      <c r="EVT20" s="18"/>
      <c r="EVU20" s="16"/>
      <c r="EVV20" s="18"/>
      <c r="EVW20" s="16"/>
      <c r="EVX20" s="18"/>
      <c r="EVY20" s="16"/>
      <c r="EVZ20" s="18"/>
      <c r="EWA20" s="16"/>
      <c r="EWB20" s="18"/>
      <c r="EWC20" s="16"/>
      <c r="EWD20" s="18"/>
      <c r="EWE20" s="16"/>
      <c r="EWF20" s="18"/>
      <c r="EWG20" s="16"/>
      <c r="EWH20" s="18"/>
      <c r="EWI20" s="16"/>
      <c r="EWJ20" s="18"/>
      <c r="EWK20" s="16"/>
      <c r="EWL20" s="18"/>
      <c r="EWM20" s="16"/>
      <c r="EWN20" s="18"/>
      <c r="EWO20" s="16"/>
      <c r="EWP20" s="18"/>
      <c r="EWQ20" s="16"/>
      <c r="EWR20" s="18"/>
      <c r="EWS20" s="16"/>
      <c r="EWT20" s="18"/>
      <c r="EWU20" s="16"/>
      <c r="EWV20" s="18"/>
      <c r="EWW20" s="16"/>
      <c r="EWX20" s="18"/>
      <c r="EWY20" s="16"/>
      <c r="EWZ20" s="18"/>
      <c r="EXA20" s="16"/>
      <c r="EXB20" s="18"/>
      <c r="EXC20" s="16"/>
      <c r="EXD20" s="18"/>
      <c r="EXE20" s="16"/>
      <c r="EXF20" s="18"/>
      <c r="EXG20" s="16"/>
      <c r="EXH20" s="18"/>
      <c r="EXI20" s="16"/>
      <c r="EXJ20" s="18"/>
      <c r="EXK20" s="16"/>
      <c r="EXL20" s="18"/>
      <c r="EXM20" s="16"/>
      <c r="EXN20" s="18"/>
      <c r="EXO20" s="16"/>
      <c r="EXP20" s="18"/>
      <c r="EXQ20" s="16"/>
      <c r="EXR20" s="18"/>
      <c r="EXS20" s="16"/>
      <c r="EXT20" s="18"/>
      <c r="EXU20" s="16"/>
      <c r="EXV20" s="18"/>
      <c r="EXW20" s="16"/>
      <c r="EXX20" s="18"/>
      <c r="EXY20" s="16"/>
      <c r="EXZ20" s="18"/>
      <c r="EYA20" s="16"/>
      <c r="EYB20" s="18"/>
      <c r="EYC20" s="16"/>
      <c r="EYD20" s="18"/>
      <c r="EYE20" s="16"/>
      <c r="EYF20" s="18"/>
      <c r="EYG20" s="16"/>
      <c r="EYH20" s="18"/>
      <c r="EYI20" s="16"/>
      <c r="EYJ20" s="18"/>
      <c r="EYK20" s="16"/>
      <c r="EYL20" s="18"/>
      <c r="EYM20" s="16"/>
      <c r="EYN20" s="18"/>
      <c r="EYO20" s="16"/>
      <c r="EYP20" s="18"/>
      <c r="EYQ20" s="16"/>
      <c r="EYR20" s="18"/>
      <c r="EYS20" s="16"/>
      <c r="EYT20" s="18"/>
      <c r="EYU20" s="16"/>
      <c r="EYV20" s="18"/>
      <c r="EYW20" s="16"/>
      <c r="EYX20" s="18"/>
      <c r="EYY20" s="16"/>
      <c r="EYZ20" s="18"/>
      <c r="EZA20" s="16"/>
      <c r="EZB20" s="18"/>
      <c r="EZC20" s="16"/>
      <c r="EZD20" s="18"/>
      <c r="EZE20" s="16"/>
      <c r="EZF20" s="18"/>
      <c r="EZG20" s="16"/>
      <c r="EZH20" s="18"/>
      <c r="EZI20" s="16"/>
      <c r="EZJ20" s="18"/>
      <c r="EZK20" s="16"/>
      <c r="EZL20" s="18"/>
      <c r="EZM20" s="16"/>
      <c r="EZN20" s="18"/>
      <c r="EZO20" s="16"/>
      <c r="EZP20" s="18"/>
      <c r="EZQ20" s="16"/>
      <c r="EZR20" s="18"/>
      <c r="EZS20" s="16"/>
      <c r="EZT20" s="18"/>
      <c r="EZU20" s="16"/>
      <c r="EZV20" s="18"/>
      <c r="EZW20" s="16"/>
      <c r="EZX20" s="18"/>
      <c r="EZY20" s="16"/>
      <c r="EZZ20" s="18"/>
      <c r="FAA20" s="16"/>
      <c r="FAB20" s="18"/>
      <c r="FAC20" s="16"/>
      <c r="FAD20" s="18"/>
      <c r="FAE20" s="16"/>
      <c r="FAF20" s="18"/>
      <c r="FAG20" s="16"/>
      <c r="FAH20" s="18"/>
      <c r="FAI20" s="16"/>
      <c r="FAJ20" s="18"/>
      <c r="FAK20" s="16"/>
      <c r="FAL20" s="18"/>
      <c r="FAM20" s="16"/>
      <c r="FAN20" s="18"/>
      <c r="FAO20" s="16"/>
      <c r="FAP20" s="18"/>
      <c r="FAQ20" s="16"/>
      <c r="FAR20" s="18"/>
      <c r="FAS20" s="16"/>
      <c r="FAT20" s="18"/>
      <c r="FAU20" s="16"/>
      <c r="FAV20" s="18"/>
      <c r="FAW20" s="16"/>
      <c r="FAX20" s="18"/>
      <c r="FAY20" s="16"/>
      <c r="FAZ20" s="18"/>
      <c r="FBA20" s="16"/>
      <c r="FBB20" s="18"/>
      <c r="FBC20" s="16"/>
      <c r="FBD20" s="18"/>
      <c r="FBE20" s="16"/>
      <c r="FBF20" s="18"/>
      <c r="FBG20" s="16"/>
      <c r="FBH20" s="18"/>
      <c r="FBI20" s="16"/>
      <c r="FBJ20" s="18"/>
      <c r="FBK20" s="16"/>
      <c r="FBL20" s="18"/>
      <c r="FBM20" s="16"/>
      <c r="FBN20" s="18"/>
      <c r="FBO20" s="16"/>
      <c r="FBP20" s="18"/>
      <c r="FBQ20" s="16"/>
      <c r="FBR20" s="18"/>
      <c r="FBS20" s="16"/>
      <c r="FBT20" s="18"/>
      <c r="FBU20" s="16"/>
      <c r="FBV20" s="18"/>
      <c r="FBW20" s="16"/>
      <c r="FBX20" s="18"/>
      <c r="FBY20" s="16"/>
      <c r="FBZ20" s="18"/>
      <c r="FCA20" s="16"/>
      <c r="FCB20" s="18"/>
      <c r="FCC20" s="16"/>
      <c r="FCD20" s="18"/>
      <c r="FCE20" s="16"/>
      <c r="FCF20" s="18"/>
      <c r="FCG20" s="16"/>
      <c r="FCH20" s="18"/>
      <c r="FCI20" s="16"/>
      <c r="FCJ20" s="18"/>
      <c r="FCK20" s="16"/>
      <c r="FCL20" s="18"/>
      <c r="FCM20" s="16"/>
      <c r="FCN20" s="18"/>
      <c r="FCO20" s="16"/>
      <c r="FCP20" s="18"/>
      <c r="FCQ20" s="16"/>
      <c r="FCR20" s="18"/>
      <c r="FCS20" s="16"/>
      <c r="FCT20" s="18"/>
      <c r="FCU20" s="16"/>
      <c r="FCV20" s="18"/>
      <c r="FCW20" s="16"/>
      <c r="FCX20" s="18"/>
      <c r="FCY20" s="16"/>
      <c r="FCZ20" s="18"/>
      <c r="FDA20" s="16"/>
      <c r="FDB20" s="18"/>
      <c r="FDC20" s="16"/>
      <c r="FDD20" s="18"/>
      <c r="FDE20" s="16"/>
      <c r="FDF20" s="18"/>
      <c r="FDG20" s="16"/>
      <c r="FDH20" s="18"/>
      <c r="FDI20" s="16"/>
      <c r="FDJ20" s="18"/>
      <c r="FDK20" s="16"/>
      <c r="FDL20" s="18"/>
      <c r="FDM20" s="16"/>
      <c r="FDN20" s="18"/>
      <c r="FDO20" s="16"/>
      <c r="FDP20" s="18"/>
      <c r="FDQ20" s="16"/>
      <c r="FDR20" s="18"/>
      <c r="FDS20" s="16"/>
      <c r="FDT20" s="18"/>
      <c r="FDU20" s="16"/>
      <c r="FDV20" s="18"/>
      <c r="FDW20" s="16"/>
      <c r="FDX20" s="18"/>
      <c r="FDY20" s="16"/>
      <c r="FDZ20" s="18"/>
      <c r="FEA20" s="16"/>
      <c r="FEB20" s="18"/>
      <c r="FEC20" s="16"/>
      <c r="FED20" s="18"/>
      <c r="FEE20" s="16"/>
      <c r="FEF20" s="18"/>
      <c r="FEG20" s="16"/>
      <c r="FEH20" s="18"/>
      <c r="FEI20" s="16"/>
      <c r="FEJ20" s="18"/>
      <c r="FEK20" s="16"/>
      <c r="FEL20" s="18"/>
      <c r="FEM20" s="16"/>
      <c r="FEN20" s="18"/>
      <c r="FEO20" s="16"/>
      <c r="FEP20" s="18"/>
      <c r="FEQ20" s="16"/>
      <c r="FER20" s="18"/>
      <c r="FES20" s="16"/>
      <c r="FET20" s="18"/>
      <c r="FEU20" s="16"/>
      <c r="FEV20" s="18"/>
      <c r="FEW20" s="16"/>
      <c r="FEX20" s="18"/>
      <c r="FEY20" s="16"/>
      <c r="FEZ20" s="18"/>
      <c r="FFA20" s="16"/>
      <c r="FFB20" s="18"/>
      <c r="FFC20" s="16"/>
      <c r="FFD20" s="18"/>
      <c r="FFE20" s="16"/>
      <c r="FFF20" s="18"/>
      <c r="FFG20" s="16"/>
      <c r="FFH20" s="18"/>
      <c r="FFI20" s="16"/>
      <c r="FFJ20" s="18"/>
      <c r="FFK20" s="16"/>
      <c r="FFL20" s="18"/>
      <c r="FFM20" s="16"/>
      <c r="FFN20" s="18"/>
      <c r="FFO20" s="16"/>
      <c r="FFP20" s="18"/>
      <c r="FFQ20" s="16"/>
      <c r="FFR20" s="18"/>
      <c r="FFS20" s="16"/>
      <c r="FFT20" s="18"/>
      <c r="FFU20" s="16"/>
      <c r="FFV20" s="18"/>
      <c r="FFW20" s="16"/>
      <c r="FFX20" s="18"/>
      <c r="FFY20" s="16"/>
      <c r="FFZ20" s="18"/>
      <c r="FGA20" s="16"/>
      <c r="FGB20" s="18"/>
      <c r="FGC20" s="16"/>
      <c r="FGD20" s="18"/>
      <c r="FGE20" s="16"/>
      <c r="FGF20" s="18"/>
      <c r="FGG20" s="16"/>
      <c r="FGH20" s="18"/>
      <c r="FGI20" s="16"/>
      <c r="FGJ20" s="18"/>
      <c r="FGK20" s="16"/>
      <c r="FGL20" s="18"/>
      <c r="FGM20" s="16"/>
      <c r="FGN20" s="18"/>
      <c r="FGO20" s="16"/>
      <c r="FGP20" s="18"/>
      <c r="FGQ20" s="16"/>
      <c r="FGR20" s="18"/>
      <c r="FGS20" s="16"/>
      <c r="FGT20" s="18"/>
      <c r="FGU20" s="16"/>
      <c r="FGV20" s="18"/>
      <c r="FGW20" s="16"/>
      <c r="FGX20" s="18"/>
      <c r="FGY20" s="16"/>
      <c r="FGZ20" s="18"/>
      <c r="FHA20" s="16"/>
      <c r="FHB20" s="18"/>
      <c r="FHC20" s="16"/>
      <c r="FHD20" s="18"/>
      <c r="FHE20" s="16"/>
      <c r="FHF20" s="18"/>
      <c r="FHG20" s="16"/>
      <c r="FHH20" s="18"/>
      <c r="FHI20" s="16"/>
      <c r="FHJ20" s="18"/>
      <c r="FHK20" s="16"/>
      <c r="FHL20" s="18"/>
      <c r="FHM20" s="16"/>
      <c r="FHN20" s="18"/>
      <c r="FHO20" s="16"/>
      <c r="FHP20" s="18"/>
      <c r="FHQ20" s="16"/>
      <c r="FHR20" s="18"/>
      <c r="FHS20" s="16"/>
      <c r="FHT20" s="18"/>
      <c r="FHU20" s="16"/>
      <c r="FHV20" s="18"/>
      <c r="FHW20" s="16"/>
      <c r="FHX20" s="18"/>
      <c r="FHY20" s="16"/>
      <c r="FHZ20" s="18"/>
      <c r="FIA20" s="16"/>
      <c r="FIB20" s="18"/>
      <c r="FIC20" s="16"/>
      <c r="FID20" s="18"/>
      <c r="FIE20" s="16"/>
      <c r="FIF20" s="18"/>
      <c r="FIG20" s="16"/>
      <c r="FIH20" s="18"/>
      <c r="FII20" s="16"/>
      <c r="FIJ20" s="18"/>
      <c r="FIK20" s="16"/>
      <c r="FIL20" s="18"/>
      <c r="FIM20" s="16"/>
      <c r="FIN20" s="18"/>
      <c r="FIO20" s="16"/>
      <c r="FIP20" s="18"/>
      <c r="FIQ20" s="16"/>
      <c r="FIR20" s="18"/>
      <c r="FIS20" s="16"/>
      <c r="FIT20" s="18"/>
      <c r="FIU20" s="16"/>
      <c r="FIV20" s="18"/>
      <c r="FIW20" s="16"/>
      <c r="FIX20" s="18"/>
      <c r="FIY20" s="16"/>
      <c r="FIZ20" s="18"/>
      <c r="FJA20" s="16"/>
      <c r="FJB20" s="18"/>
      <c r="FJC20" s="16"/>
      <c r="FJD20" s="18"/>
      <c r="FJE20" s="16"/>
      <c r="FJF20" s="18"/>
      <c r="FJG20" s="16"/>
      <c r="FJH20" s="18"/>
      <c r="FJI20" s="16"/>
      <c r="FJJ20" s="18"/>
      <c r="FJK20" s="16"/>
      <c r="FJL20" s="18"/>
      <c r="FJM20" s="16"/>
      <c r="FJN20" s="18"/>
      <c r="FJO20" s="16"/>
      <c r="FJP20" s="18"/>
      <c r="FJQ20" s="16"/>
      <c r="FJR20" s="18"/>
      <c r="FJS20" s="16"/>
      <c r="FJT20" s="18"/>
      <c r="FJU20" s="16"/>
      <c r="FJV20" s="18"/>
      <c r="FJW20" s="16"/>
      <c r="FJX20" s="18"/>
      <c r="FJY20" s="16"/>
      <c r="FJZ20" s="18"/>
      <c r="FKA20" s="16"/>
      <c r="FKB20" s="18"/>
      <c r="FKC20" s="16"/>
      <c r="FKD20" s="18"/>
      <c r="FKE20" s="16"/>
      <c r="FKF20" s="18"/>
      <c r="FKG20" s="16"/>
      <c r="FKH20" s="18"/>
      <c r="FKI20" s="16"/>
      <c r="FKJ20" s="18"/>
      <c r="FKK20" s="16"/>
      <c r="FKL20" s="18"/>
      <c r="FKM20" s="16"/>
      <c r="FKN20" s="18"/>
      <c r="FKO20" s="16"/>
      <c r="FKP20" s="18"/>
      <c r="FKQ20" s="16"/>
      <c r="FKR20" s="18"/>
      <c r="FKS20" s="16"/>
      <c r="FKT20" s="18"/>
      <c r="FKU20" s="16"/>
      <c r="FKV20" s="18"/>
      <c r="FKW20" s="16"/>
      <c r="FKX20" s="18"/>
      <c r="FKY20" s="16"/>
      <c r="FKZ20" s="18"/>
      <c r="FLA20" s="16"/>
      <c r="FLB20" s="18"/>
      <c r="FLC20" s="16"/>
      <c r="FLD20" s="18"/>
      <c r="FLE20" s="16"/>
      <c r="FLF20" s="18"/>
      <c r="FLG20" s="16"/>
      <c r="FLH20" s="18"/>
      <c r="FLI20" s="16"/>
      <c r="FLJ20" s="18"/>
      <c r="FLK20" s="16"/>
      <c r="FLL20" s="18"/>
      <c r="FLM20" s="16"/>
      <c r="FLN20" s="18"/>
      <c r="FLO20" s="16"/>
      <c r="FLP20" s="18"/>
      <c r="FLQ20" s="16"/>
      <c r="FLR20" s="18"/>
      <c r="FLS20" s="16"/>
      <c r="FLT20" s="18"/>
      <c r="FLU20" s="16"/>
      <c r="FLV20" s="18"/>
      <c r="FLW20" s="16"/>
      <c r="FLX20" s="18"/>
      <c r="FLY20" s="16"/>
      <c r="FLZ20" s="18"/>
      <c r="FMA20" s="16"/>
      <c r="FMB20" s="18"/>
      <c r="FMC20" s="16"/>
      <c r="FMD20" s="18"/>
      <c r="FME20" s="16"/>
      <c r="FMF20" s="18"/>
      <c r="FMG20" s="16"/>
      <c r="FMH20" s="18"/>
      <c r="FMI20" s="16"/>
      <c r="FMJ20" s="18"/>
      <c r="FMK20" s="16"/>
      <c r="FML20" s="18"/>
      <c r="FMM20" s="16"/>
      <c r="FMN20" s="18"/>
      <c r="FMO20" s="16"/>
      <c r="FMP20" s="18"/>
      <c r="FMQ20" s="16"/>
      <c r="FMR20" s="18"/>
      <c r="FMS20" s="16"/>
      <c r="FMT20" s="18"/>
      <c r="FMU20" s="16"/>
      <c r="FMV20" s="18"/>
      <c r="FMW20" s="16"/>
      <c r="FMX20" s="18"/>
      <c r="FMY20" s="16"/>
      <c r="FMZ20" s="18"/>
      <c r="FNA20" s="16"/>
      <c r="FNB20" s="18"/>
      <c r="FNC20" s="16"/>
      <c r="FND20" s="18"/>
      <c r="FNE20" s="16"/>
      <c r="FNF20" s="18"/>
      <c r="FNG20" s="16"/>
      <c r="FNH20" s="18"/>
      <c r="FNI20" s="16"/>
      <c r="FNJ20" s="18"/>
      <c r="FNK20" s="16"/>
      <c r="FNL20" s="18"/>
      <c r="FNM20" s="16"/>
      <c r="FNN20" s="18"/>
      <c r="FNO20" s="16"/>
      <c r="FNP20" s="18"/>
      <c r="FNQ20" s="16"/>
      <c r="FNR20" s="18"/>
      <c r="FNS20" s="16"/>
      <c r="FNT20" s="18"/>
      <c r="FNU20" s="16"/>
      <c r="FNV20" s="18"/>
      <c r="FNW20" s="16"/>
      <c r="FNX20" s="18"/>
      <c r="FNY20" s="16"/>
      <c r="FNZ20" s="18"/>
      <c r="FOA20" s="16"/>
      <c r="FOB20" s="18"/>
      <c r="FOC20" s="16"/>
      <c r="FOD20" s="18"/>
      <c r="FOE20" s="16"/>
      <c r="FOF20" s="18"/>
      <c r="FOG20" s="16"/>
      <c r="FOH20" s="18"/>
      <c r="FOI20" s="16"/>
      <c r="FOJ20" s="18"/>
      <c r="FOK20" s="16"/>
      <c r="FOL20" s="18"/>
      <c r="FOM20" s="16"/>
      <c r="FON20" s="18"/>
      <c r="FOO20" s="16"/>
      <c r="FOP20" s="18"/>
      <c r="FOQ20" s="16"/>
      <c r="FOR20" s="18"/>
      <c r="FOS20" s="16"/>
      <c r="FOT20" s="18"/>
      <c r="FOU20" s="16"/>
      <c r="FOV20" s="18"/>
      <c r="FOW20" s="16"/>
      <c r="FOX20" s="18"/>
      <c r="FOY20" s="16"/>
      <c r="FOZ20" s="18"/>
      <c r="FPA20" s="16"/>
      <c r="FPB20" s="18"/>
      <c r="FPC20" s="16"/>
      <c r="FPD20" s="18"/>
      <c r="FPE20" s="16"/>
      <c r="FPF20" s="18"/>
      <c r="FPG20" s="16"/>
      <c r="FPH20" s="18"/>
      <c r="FPI20" s="16"/>
      <c r="FPJ20" s="18"/>
      <c r="FPK20" s="16"/>
      <c r="FPL20" s="18"/>
      <c r="FPM20" s="16"/>
      <c r="FPN20" s="18"/>
      <c r="FPO20" s="16"/>
      <c r="FPP20" s="18"/>
      <c r="FPQ20" s="16"/>
      <c r="FPR20" s="18"/>
      <c r="FPS20" s="16"/>
      <c r="FPT20" s="18"/>
      <c r="FPU20" s="16"/>
      <c r="FPV20" s="18"/>
      <c r="FPW20" s="16"/>
      <c r="FPX20" s="18"/>
      <c r="FPY20" s="16"/>
      <c r="FPZ20" s="18"/>
      <c r="FQA20" s="16"/>
      <c r="FQB20" s="18"/>
      <c r="FQC20" s="16"/>
      <c r="FQD20" s="18"/>
      <c r="FQE20" s="16"/>
      <c r="FQF20" s="18"/>
      <c r="FQG20" s="16"/>
      <c r="FQH20" s="18"/>
      <c r="FQI20" s="16"/>
      <c r="FQJ20" s="18"/>
      <c r="FQK20" s="16"/>
      <c r="FQL20" s="18"/>
      <c r="FQM20" s="16"/>
      <c r="FQN20" s="18"/>
      <c r="FQO20" s="16"/>
      <c r="FQP20" s="18"/>
      <c r="FQQ20" s="16"/>
      <c r="FQR20" s="18"/>
      <c r="FQS20" s="16"/>
      <c r="FQT20" s="18"/>
      <c r="FQU20" s="16"/>
      <c r="FQV20" s="18"/>
      <c r="FQW20" s="16"/>
      <c r="FQX20" s="18"/>
      <c r="FQY20" s="16"/>
      <c r="FQZ20" s="18"/>
      <c r="FRA20" s="16"/>
      <c r="FRB20" s="18"/>
      <c r="FRC20" s="16"/>
      <c r="FRD20" s="18"/>
      <c r="FRE20" s="16"/>
      <c r="FRF20" s="18"/>
      <c r="FRG20" s="16"/>
      <c r="FRH20" s="18"/>
      <c r="FRI20" s="16"/>
      <c r="FRJ20" s="18"/>
      <c r="FRK20" s="16"/>
      <c r="FRL20" s="18"/>
      <c r="FRM20" s="16"/>
      <c r="FRN20" s="18"/>
      <c r="FRO20" s="16"/>
      <c r="FRP20" s="18"/>
      <c r="FRQ20" s="16"/>
      <c r="FRR20" s="18"/>
      <c r="FRS20" s="16"/>
      <c r="FRT20" s="18"/>
      <c r="FRU20" s="16"/>
      <c r="FRV20" s="18"/>
      <c r="FRW20" s="16"/>
      <c r="FRX20" s="18"/>
      <c r="FRY20" s="16"/>
      <c r="FRZ20" s="18"/>
      <c r="FSA20" s="16"/>
      <c r="FSB20" s="18"/>
      <c r="FSC20" s="16"/>
      <c r="FSD20" s="18"/>
      <c r="FSE20" s="16"/>
      <c r="FSF20" s="18"/>
      <c r="FSG20" s="16"/>
      <c r="FSH20" s="18"/>
      <c r="FSI20" s="16"/>
      <c r="FSJ20" s="18"/>
      <c r="FSK20" s="16"/>
      <c r="FSL20" s="18"/>
      <c r="FSM20" s="16"/>
      <c r="FSN20" s="18"/>
      <c r="FSO20" s="16"/>
      <c r="FSP20" s="18"/>
      <c r="FSQ20" s="16"/>
      <c r="FSR20" s="18"/>
      <c r="FSS20" s="16"/>
      <c r="FST20" s="18"/>
      <c r="FSU20" s="16"/>
      <c r="FSV20" s="18"/>
      <c r="FSW20" s="16"/>
      <c r="FSX20" s="18"/>
      <c r="FSY20" s="16"/>
      <c r="FSZ20" s="18"/>
      <c r="FTA20" s="16"/>
      <c r="FTB20" s="18"/>
      <c r="FTC20" s="16"/>
      <c r="FTD20" s="18"/>
      <c r="FTE20" s="16"/>
      <c r="FTF20" s="18"/>
      <c r="FTG20" s="16"/>
      <c r="FTH20" s="18"/>
      <c r="FTI20" s="16"/>
      <c r="FTJ20" s="18"/>
      <c r="FTK20" s="16"/>
      <c r="FTL20" s="18"/>
      <c r="FTM20" s="16"/>
      <c r="FTN20" s="18"/>
      <c r="FTO20" s="16"/>
      <c r="FTP20" s="18"/>
      <c r="FTQ20" s="16"/>
      <c r="FTR20" s="18"/>
      <c r="FTS20" s="16"/>
      <c r="FTT20" s="18"/>
      <c r="FTU20" s="16"/>
      <c r="FTV20" s="18"/>
      <c r="FTW20" s="16"/>
      <c r="FTX20" s="18"/>
      <c r="FTY20" s="16"/>
      <c r="FTZ20" s="18"/>
      <c r="FUA20" s="16"/>
      <c r="FUB20" s="18"/>
      <c r="FUC20" s="16"/>
      <c r="FUD20" s="18"/>
      <c r="FUE20" s="16"/>
      <c r="FUF20" s="18"/>
      <c r="FUG20" s="16"/>
      <c r="FUH20" s="18"/>
      <c r="FUI20" s="16"/>
      <c r="FUJ20" s="18"/>
      <c r="FUK20" s="16"/>
      <c r="FUL20" s="18"/>
      <c r="FUM20" s="16"/>
      <c r="FUN20" s="18"/>
      <c r="FUO20" s="16"/>
      <c r="FUP20" s="18"/>
      <c r="FUQ20" s="16"/>
      <c r="FUR20" s="18"/>
      <c r="FUS20" s="16"/>
      <c r="FUT20" s="18"/>
      <c r="FUU20" s="16"/>
      <c r="FUV20" s="18"/>
      <c r="FUW20" s="16"/>
      <c r="FUX20" s="18"/>
      <c r="FUY20" s="16"/>
      <c r="FUZ20" s="18"/>
      <c r="FVA20" s="16"/>
      <c r="FVB20" s="18"/>
      <c r="FVC20" s="16"/>
      <c r="FVD20" s="18"/>
      <c r="FVE20" s="16"/>
      <c r="FVF20" s="18"/>
      <c r="FVG20" s="16"/>
      <c r="FVH20" s="18"/>
      <c r="FVI20" s="16"/>
      <c r="FVJ20" s="18"/>
      <c r="FVK20" s="16"/>
      <c r="FVL20" s="18"/>
      <c r="FVM20" s="16"/>
      <c r="FVN20" s="18"/>
      <c r="FVO20" s="16"/>
      <c r="FVP20" s="18"/>
      <c r="FVQ20" s="16"/>
      <c r="FVR20" s="18"/>
      <c r="FVS20" s="16"/>
      <c r="FVT20" s="18"/>
      <c r="FVU20" s="16"/>
      <c r="FVV20" s="18"/>
      <c r="FVW20" s="16"/>
      <c r="FVX20" s="18"/>
      <c r="FVY20" s="16"/>
      <c r="FVZ20" s="18"/>
      <c r="FWA20" s="16"/>
      <c r="FWB20" s="18"/>
      <c r="FWC20" s="16"/>
      <c r="FWD20" s="18"/>
      <c r="FWE20" s="16"/>
      <c r="FWF20" s="18"/>
      <c r="FWG20" s="16"/>
      <c r="FWH20" s="18"/>
      <c r="FWI20" s="16"/>
      <c r="FWJ20" s="18"/>
      <c r="FWK20" s="16"/>
      <c r="FWL20" s="18"/>
      <c r="FWM20" s="16"/>
      <c r="FWN20" s="18"/>
      <c r="FWO20" s="16"/>
      <c r="FWP20" s="18"/>
      <c r="FWQ20" s="16"/>
      <c r="FWR20" s="18"/>
      <c r="FWS20" s="16"/>
      <c r="FWT20" s="18"/>
      <c r="FWU20" s="16"/>
      <c r="FWV20" s="18"/>
      <c r="FWW20" s="16"/>
      <c r="FWX20" s="18"/>
      <c r="FWY20" s="16"/>
      <c r="FWZ20" s="18"/>
      <c r="FXA20" s="16"/>
      <c r="FXB20" s="18"/>
      <c r="FXC20" s="16"/>
      <c r="FXD20" s="18"/>
      <c r="FXE20" s="16"/>
      <c r="FXF20" s="18"/>
      <c r="FXG20" s="16"/>
      <c r="FXH20" s="18"/>
      <c r="FXI20" s="16"/>
      <c r="FXJ20" s="18"/>
      <c r="FXK20" s="16"/>
      <c r="FXL20" s="18"/>
      <c r="FXM20" s="16"/>
      <c r="FXN20" s="18"/>
      <c r="FXO20" s="16"/>
      <c r="FXP20" s="18"/>
      <c r="FXQ20" s="16"/>
      <c r="FXR20" s="18"/>
      <c r="FXS20" s="16"/>
      <c r="FXT20" s="18"/>
      <c r="FXU20" s="16"/>
      <c r="FXV20" s="18"/>
      <c r="FXW20" s="16"/>
      <c r="FXX20" s="18"/>
      <c r="FXY20" s="16"/>
      <c r="FXZ20" s="18"/>
      <c r="FYA20" s="16"/>
      <c r="FYB20" s="18"/>
      <c r="FYC20" s="16"/>
      <c r="FYD20" s="18"/>
      <c r="FYE20" s="16"/>
      <c r="FYF20" s="18"/>
      <c r="FYG20" s="16"/>
      <c r="FYH20" s="18"/>
      <c r="FYI20" s="16"/>
      <c r="FYJ20" s="18"/>
      <c r="FYK20" s="16"/>
      <c r="FYL20" s="18"/>
      <c r="FYM20" s="16"/>
      <c r="FYN20" s="18"/>
      <c r="FYO20" s="16"/>
      <c r="FYP20" s="18"/>
      <c r="FYQ20" s="16"/>
      <c r="FYR20" s="18"/>
      <c r="FYS20" s="16"/>
      <c r="FYT20" s="18"/>
      <c r="FYU20" s="16"/>
      <c r="FYV20" s="18"/>
      <c r="FYW20" s="16"/>
      <c r="FYX20" s="18"/>
      <c r="FYY20" s="16"/>
      <c r="FYZ20" s="18"/>
      <c r="FZA20" s="16"/>
      <c r="FZB20" s="18"/>
      <c r="FZC20" s="16"/>
      <c r="FZD20" s="18"/>
      <c r="FZE20" s="16"/>
      <c r="FZF20" s="18"/>
      <c r="FZG20" s="16"/>
      <c r="FZH20" s="18"/>
      <c r="FZI20" s="16"/>
      <c r="FZJ20" s="18"/>
      <c r="FZK20" s="16"/>
      <c r="FZL20" s="18"/>
      <c r="FZM20" s="16"/>
      <c r="FZN20" s="18"/>
      <c r="FZO20" s="16"/>
      <c r="FZP20" s="18"/>
      <c r="FZQ20" s="16"/>
      <c r="FZR20" s="18"/>
      <c r="FZS20" s="16"/>
      <c r="FZT20" s="18"/>
      <c r="FZU20" s="16"/>
      <c r="FZV20" s="18"/>
      <c r="FZW20" s="16"/>
      <c r="FZX20" s="18"/>
      <c r="FZY20" s="16"/>
      <c r="FZZ20" s="18"/>
      <c r="GAA20" s="16"/>
      <c r="GAB20" s="18"/>
      <c r="GAC20" s="16"/>
      <c r="GAD20" s="18"/>
      <c r="GAE20" s="16"/>
      <c r="GAF20" s="18"/>
      <c r="GAG20" s="16"/>
      <c r="GAH20" s="18"/>
      <c r="GAI20" s="16"/>
      <c r="GAJ20" s="18"/>
      <c r="GAK20" s="16"/>
      <c r="GAL20" s="18"/>
      <c r="GAM20" s="16"/>
      <c r="GAN20" s="18"/>
      <c r="GAO20" s="16"/>
      <c r="GAP20" s="18"/>
      <c r="GAQ20" s="16"/>
      <c r="GAR20" s="18"/>
      <c r="GAS20" s="16"/>
      <c r="GAT20" s="18"/>
      <c r="GAU20" s="16"/>
      <c r="GAV20" s="18"/>
      <c r="GAW20" s="16"/>
      <c r="GAX20" s="18"/>
      <c r="GAY20" s="16"/>
      <c r="GAZ20" s="18"/>
      <c r="GBA20" s="16"/>
      <c r="GBB20" s="18"/>
      <c r="GBC20" s="16"/>
      <c r="GBD20" s="18"/>
      <c r="GBE20" s="16"/>
      <c r="GBF20" s="18"/>
      <c r="GBG20" s="16"/>
      <c r="GBH20" s="18"/>
      <c r="GBI20" s="16"/>
      <c r="GBJ20" s="18"/>
      <c r="GBK20" s="16"/>
      <c r="GBL20" s="18"/>
      <c r="GBM20" s="16"/>
      <c r="GBN20" s="18"/>
      <c r="GBO20" s="16"/>
      <c r="GBP20" s="18"/>
      <c r="GBQ20" s="16"/>
      <c r="GBR20" s="18"/>
      <c r="GBS20" s="16"/>
      <c r="GBT20" s="18"/>
      <c r="GBU20" s="16"/>
      <c r="GBV20" s="18"/>
      <c r="GBW20" s="16"/>
      <c r="GBX20" s="18"/>
      <c r="GBY20" s="16"/>
      <c r="GBZ20" s="18"/>
      <c r="GCA20" s="16"/>
      <c r="GCB20" s="18"/>
      <c r="GCC20" s="16"/>
      <c r="GCD20" s="18"/>
      <c r="GCE20" s="16"/>
      <c r="GCF20" s="18"/>
      <c r="GCG20" s="16"/>
      <c r="GCH20" s="18"/>
      <c r="GCI20" s="16"/>
      <c r="GCJ20" s="18"/>
      <c r="GCK20" s="16"/>
      <c r="GCL20" s="18"/>
      <c r="GCM20" s="16"/>
      <c r="GCN20" s="18"/>
      <c r="GCO20" s="16"/>
      <c r="GCP20" s="18"/>
      <c r="GCQ20" s="16"/>
      <c r="GCR20" s="18"/>
      <c r="GCS20" s="16"/>
      <c r="GCT20" s="18"/>
      <c r="GCU20" s="16"/>
      <c r="GCV20" s="18"/>
      <c r="GCW20" s="16"/>
      <c r="GCX20" s="18"/>
      <c r="GCY20" s="16"/>
      <c r="GCZ20" s="18"/>
      <c r="GDA20" s="16"/>
      <c r="GDB20" s="18"/>
      <c r="GDC20" s="16"/>
      <c r="GDD20" s="18"/>
      <c r="GDE20" s="16"/>
      <c r="GDF20" s="18"/>
      <c r="GDG20" s="16"/>
      <c r="GDH20" s="18"/>
      <c r="GDI20" s="16"/>
      <c r="GDJ20" s="18"/>
      <c r="GDK20" s="16"/>
      <c r="GDL20" s="18"/>
      <c r="GDM20" s="16"/>
      <c r="GDN20" s="18"/>
      <c r="GDO20" s="16"/>
      <c r="GDP20" s="18"/>
      <c r="GDQ20" s="16"/>
      <c r="GDR20" s="18"/>
      <c r="GDS20" s="16"/>
      <c r="GDT20" s="18"/>
      <c r="GDU20" s="16"/>
      <c r="GDV20" s="18"/>
      <c r="GDW20" s="16"/>
      <c r="GDX20" s="18"/>
      <c r="GDY20" s="16"/>
      <c r="GDZ20" s="18"/>
      <c r="GEA20" s="16"/>
      <c r="GEB20" s="18"/>
      <c r="GEC20" s="16"/>
      <c r="GED20" s="18"/>
      <c r="GEE20" s="16"/>
      <c r="GEF20" s="18"/>
      <c r="GEG20" s="16"/>
      <c r="GEH20" s="18"/>
      <c r="GEI20" s="16"/>
      <c r="GEJ20" s="18"/>
      <c r="GEK20" s="16"/>
      <c r="GEL20" s="18"/>
      <c r="GEM20" s="16"/>
      <c r="GEN20" s="18"/>
      <c r="GEO20" s="16"/>
      <c r="GEP20" s="18"/>
      <c r="GEQ20" s="16"/>
      <c r="GER20" s="18"/>
      <c r="GES20" s="16"/>
      <c r="GET20" s="18"/>
      <c r="GEU20" s="16"/>
      <c r="GEV20" s="18"/>
      <c r="GEW20" s="16"/>
      <c r="GEX20" s="18"/>
      <c r="GEY20" s="16"/>
      <c r="GEZ20" s="18"/>
      <c r="GFA20" s="16"/>
      <c r="GFB20" s="18"/>
      <c r="GFC20" s="16"/>
      <c r="GFD20" s="18"/>
      <c r="GFE20" s="16"/>
      <c r="GFF20" s="18"/>
      <c r="GFG20" s="16"/>
      <c r="GFH20" s="18"/>
      <c r="GFI20" s="16"/>
      <c r="GFJ20" s="18"/>
      <c r="GFK20" s="16"/>
      <c r="GFL20" s="18"/>
      <c r="GFM20" s="16"/>
      <c r="GFN20" s="18"/>
      <c r="GFO20" s="16"/>
      <c r="GFP20" s="18"/>
      <c r="GFQ20" s="16"/>
      <c r="GFR20" s="18"/>
      <c r="GFS20" s="16"/>
      <c r="GFT20" s="18"/>
      <c r="GFU20" s="16"/>
      <c r="GFV20" s="18"/>
      <c r="GFW20" s="16"/>
      <c r="GFX20" s="18"/>
      <c r="GFY20" s="16"/>
      <c r="GFZ20" s="18"/>
      <c r="GGA20" s="16"/>
      <c r="GGB20" s="18"/>
      <c r="GGC20" s="16"/>
      <c r="GGD20" s="18"/>
      <c r="GGE20" s="16"/>
      <c r="GGF20" s="18"/>
      <c r="GGG20" s="16"/>
      <c r="GGH20" s="18"/>
      <c r="GGI20" s="16"/>
      <c r="GGJ20" s="18"/>
      <c r="GGK20" s="16"/>
      <c r="GGL20" s="18"/>
      <c r="GGM20" s="16"/>
      <c r="GGN20" s="18"/>
      <c r="GGO20" s="16"/>
      <c r="GGP20" s="18"/>
      <c r="GGQ20" s="16"/>
      <c r="GGR20" s="18"/>
      <c r="GGS20" s="16"/>
      <c r="GGT20" s="18"/>
      <c r="GGU20" s="16"/>
      <c r="GGV20" s="18"/>
      <c r="GGW20" s="16"/>
      <c r="GGX20" s="18"/>
      <c r="GGY20" s="16"/>
      <c r="GGZ20" s="18"/>
      <c r="GHA20" s="16"/>
      <c r="GHB20" s="18"/>
      <c r="GHC20" s="16"/>
      <c r="GHD20" s="18"/>
      <c r="GHE20" s="16"/>
      <c r="GHF20" s="18"/>
      <c r="GHG20" s="16"/>
      <c r="GHH20" s="18"/>
      <c r="GHI20" s="16"/>
      <c r="GHJ20" s="18"/>
      <c r="GHK20" s="16"/>
      <c r="GHL20" s="18"/>
      <c r="GHM20" s="16"/>
      <c r="GHN20" s="18"/>
      <c r="GHO20" s="16"/>
      <c r="GHP20" s="18"/>
      <c r="GHQ20" s="16"/>
      <c r="GHR20" s="18"/>
      <c r="GHS20" s="16"/>
      <c r="GHT20" s="18"/>
      <c r="GHU20" s="16"/>
      <c r="GHV20" s="18"/>
      <c r="GHW20" s="16"/>
      <c r="GHX20" s="18"/>
      <c r="GHY20" s="16"/>
      <c r="GHZ20" s="18"/>
      <c r="GIA20" s="16"/>
      <c r="GIB20" s="18"/>
      <c r="GIC20" s="16"/>
      <c r="GID20" s="18"/>
      <c r="GIE20" s="16"/>
      <c r="GIF20" s="18"/>
      <c r="GIG20" s="16"/>
      <c r="GIH20" s="18"/>
      <c r="GII20" s="16"/>
      <c r="GIJ20" s="18"/>
      <c r="GIK20" s="16"/>
      <c r="GIL20" s="18"/>
      <c r="GIM20" s="16"/>
      <c r="GIN20" s="18"/>
      <c r="GIO20" s="16"/>
      <c r="GIP20" s="18"/>
      <c r="GIQ20" s="16"/>
      <c r="GIR20" s="18"/>
      <c r="GIS20" s="16"/>
      <c r="GIT20" s="18"/>
      <c r="GIU20" s="16"/>
      <c r="GIV20" s="18"/>
      <c r="GIW20" s="16"/>
      <c r="GIX20" s="18"/>
      <c r="GIY20" s="16"/>
      <c r="GIZ20" s="18"/>
      <c r="GJA20" s="16"/>
      <c r="GJB20" s="18"/>
      <c r="GJC20" s="16"/>
      <c r="GJD20" s="18"/>
      <c r="GJE20" s="16"/>
      <c r="GJF20" s="18"/>
      <c r="GJG20" s="16"/>
      <c r="GJH20" s="18"/>
      <c r="GJI20" s="16"/>
      <c r="GJJ20" s="18"/>
      <c r="GJK20" s="16"/>
      <c r="GJL20" s="18"/>
      <c r="GJM20" s="16"/>
      <c r="GJN20" s="18"/>
      <c r="GJO20" s="16"/>
      <c r="GJP20" s="18"/>
      <c r="GJQ20" s="16"/>
      <c r="GJR20" s="18"/>
      <c r="GJS20" s="16"/>
      <c r="GJT20" s="18"/>
      <c r="GJU20" s="16"/>
      <c r="GJV20" s="18"/>
      <c r="GJW20" s="16"/>
      <c r="GJX20" s="18"/>
      <c r="GJY20" s="16"/>
      <c r="GJZ20" s="18"/>
      <c r="GKA20" s="16"/>
      <c r="GKB20" s="18"/>
      <c r="GKC20" s="16"/>
      <c r="GKD20" s="18"/>
      <c r="GKE20" s="16"/>
      <c r="GKF20" s="18"/>
      <c r="GKG20" s="16"/>
      <c r="GKH20" s="18"/>
      <c r="GKI20" s="16"/>
      <c r="GKJ20" s="18"/>
      <c r="GKK20" s="16"/>
      <c r="GKL20" s="18"/>
      <c r="GKM20" s="16"/>
      <c r="GKN20" s="18"/>
      <c r="GKO20" s="16"/>
      <c r="GKP20" s="18"/>
      <c r="GKQ20" s="16"/>
      <c r="GKR20" s="18"/>
      <c r="GKS20" s="16"/>
      <c r="GKT20" s="18"/>
      <c r="GKU20" s="16"/>
      <c r="GKV20" s="18"/>
      <c r="GKW20" s="16"/>
      <c r="GKX20" s="18"/>
      <c r="GKY20" s="16"/>
      <c r="GKZ20" s="18"/>
      <c r="GLA20" s="16"/>
      <c r="GLB20" s="18"/>
      <c r="GLC20" s="16"/>
      <c r="GLD20" s="18"/>
      <c r="GLE20" s="16"/>
      <c r="GLF20" s="18"/>
      <c r="GLG20" s="16"/>
      <c r="GLH20" s="18"/>
      <c r="GLI20" s="16"/>
      <c r="GLJ20" s="18"/>
      <c r="GLK20" s="16"/>
      <c r="GLL20" s="18"/>
      <c r="GLM20" s="16"/>
      <c r="GLN20" s="18"/>
      <c r="GLO20" s="16"/>
      <c r="GLP20" s="18"/>
      <c r="GLQ20" s="16"/>
      <c r="GLR20" s="18"/>
      <c r="GLS20" s="16"/>
      <c r="GLT20" s="18"/>
      <c r="GLU20" s="16"/>
      <c r="GLV20" s="18"/>
      <c r="GLW20" s="16"/>
      <c r="GLX20" s="18"/>
      <c r="GLY20" s="16"/>
      <c r="GLZ20" s="18"/>
      <c r="GMA20" s="16"/>
      <c r="GMB20" s="18"/>
      <c r="GMC20" s="16"/>
      <c r="GMD20" s="18"/>
      <c r="GME20" s="16"/>
      <c r="GMF20" s="18"/>
      <c r="GMG20" s="16"/>
      <c r="GMH20" s="18"/>
      <c r="GMI20" s="16"/>
      <c r="GMJ20" s="18"/>
      <c r="GMK20" s="16"/>
      <c r="GML20" s="18"/>
      <c r="GMM20" s="16"/>
      <c r="GMN20" s="18"/>
      <c r="GMO20" s="16"/>
      <c r="GMP20" s="18"/>
      <c r="GMQ20" s="16"/>
      <c r="GMR20" s="18"/>
      <c r="GMS20" s="16"/>
      <c r="GMT20" s="18"/>
      <c r="GMU20" s="16"/>
      <c r="GMV20" s="18"/>
      <c r="GMW20" s="16"/>
      <c r="GMX20" s="18"/>
      <c r="GMY20" s="16"/>
      <c r="GMZ20" s="18"/>
      <c r="GNA20" s="16"/>
      <c r="GNB20" s="18"/>
      <c r="GNC20" s="16"/>
      <c r="GND20" s="18"/>
      <c r="GNE20" s="16"/>
      <c r="GNF20" s="18"/>
      <c r="GNG20" s="16"/>
      <c r="GNH20" s="18"/>
      <c r="GNI20" s="16"/>
      <c r="GNJ20" s="18"/>
      <c r="GNK20" s="16"/>
      <c r="GNL20" s="18"/>
      <c r="GNM20" s="16"/>
      <c r="GNN20" s="18"/>
      <c r="GNO20" s="16"/>
      <c r="GNP20" s="18"/>
      <c r="GNQ20" s="16"/>
      <c r="GNR20" s="18"/>
      <c r="GNS20" s="16"/>
      <c r="GNT20" s="18"/>
      <c r="GNU20" s="16"/>
      <c r="GNV20" s="18"/>
      <c r="GNW20" s="16"/>
      <c r="GNX20" s="18"/>
      <c r="GNY20" s="16"/>
      <c r="GNZ20" s="18"/>
      <c r="GOA20" s="16"/>
      <c r="GOB20" s="18"/>
      <c r="GOC20" s="16"/>
      <c r="GOD20" s="18"/>
      <c r="GOE20" s="16"/>
      <c r="GOF20" s="18"/>
      <c r="GOG20" s="16"/>
      <c r="GOH20" s="18"/>
      <c r="GOI20" s="16"/>
      <c r="GOJ20" s="18"/>
      <c r="GOK20" s="16"/>
      <c r="GOL20" s="18"/>
      <c r="GOM20" s="16"/>
      <c r="GON20" s="18"/>
      <c r="GOO20" s="16"/>
      <c r="GOP20" s="18"/>
      <c r="GOQ20" s="16"/>
      <c r="GOR20" s="18"/>
      <c r="GOS20" s="16"/>
      <c r="GOT20" s="18"/>
      <c r="GOU20" s="16"/>
      <c r="GOV20" s="18"/>
      <c r="GOW20" s="16"/>
      <c r="GOX20" s="18"/>
      <c r="GOY20" s="16"/>
      <c r="GOZ20" s="18"/>
      <c r="GPA20" s="16"/>
      <c r="GPB20" s="18"/>
      <c r="GPC20" s="16"/>
      <c r="GPD20" s="18"/>
      <c r="GPE20" s="16"/>
      <c r="GPF20" s="18"/>
      <c r="GPG20" s="16"/>
      <c r="GPH20" s="18"/>
      <c r="GPI20" s="16"/>
      <c r="GPJ20" s="18"/>
      <c r="GPK20" s="16"/>
      <c r="GPL20" s="18"/>
      <c r="GPM20" s="16"/>
      <c r="GPN20" s="18"/>
      <c r="GPO20" s="16"/>
      <c r="GPP20" s="18"/>
      <c r="GPQ20" s="16"/>
      <c r="GPR20" s="18"/>
      <c r="GPS20" s="16"/>
      <c r="GPT20" s="18"/>
      <c r="GPU20" s="16"/>
      <c r="GPV20" s="18"/>
      <c r="GPW20" s="16"/>
      <c r="GPX20" s="18"/>
      <c r="GPY20" s="16"/>
      <c r="GPZ20" s="18"/>
      <c r="GQA20" s="16"/>
      <c r="GQB20" s="18"/>
      <c r="GQC20" s="16"/>
      <c r="GQD20" s="18"/>
      <c r="GQE20" s="16"/>
      <c r="GQF20" s="18"/>
      <c r="GQG20" s="16"/>
      <c r="GQH20" s="18"/>
      <c r="GQI20" s="16"/>
      <c r="GQJ20" s="18"/>
      <c r="GQK20" s="16"/>
      <c r="GQL20" s="18"/>
      <c r="GQM20" s="16"/>
      <c r="GQN20" s="18"/>
      <c r="GQO20" s="16"/>
      <c r="GQP20" s="18"/>
      <c r="GQQ20" s="16"/>
      <c r="GQR20" s="18"/>
      <c r="GQS20" s="16"/>
      <c r="GQT20" s="18"/>
      <c r="GQU20" s="16"/>
      <c r="GQV20" s="18"/>
      <c r="GQW20" s="16"/>
      <c r="GQX20" s="18"/>
      <c r="GQY20" s="16"/>
      <c r="GQZ20" s="18"/>
      <c r="GRA20" s="16"/>
      <c r="GRB20" s="18"/>
      <c r="GRC20" s="16"/>
      <c r="GRD20" s="18"/>
      <c r="GRE20" s="16"/>
      <c r="GRF20" s="18"/>
      <c r="GRG20" s="16"/>
      <c r="GRH20" s="18"/>
      <c r="GRI20" s="16"/>
      <c r="GRJ20" s="18"/>
      <c r="GRK20" s="16"/>
      <c r="GRL20" s="18"/>
      <c r="GRM20" s="16"/>
      <c r="GRN20" s="18"/>
      <c r="GRO20" s="16"/>
      <c r="GRP20" s="18"/>
      <c r="GRQ20" s="16"/>
      <c r="GRR20" s="18"/>
      <c r="GRS20" s="16"/>
      <c r="GRT20" s="18"/>
      <c r="GRU20" s="16"/>
      <c r="GRV20" s="18"/>
      <c r="GRW20" s="16"/>
      <c r="GRX20" s="18"/>
      <c r="GRY20" s="16"/>
      <c r="GRZ20" s="18"/>
      <c r="GSA20" s="16"/>
      <c r="GSB20" s="18"/>
      <c r="GSC20" s="16"/>
      <c r="GSD20" s="18"/>
      <c r="GSE20" s="16"/>
      <c r="GSF20" s="18"/>
      <c r="GSG20" s="16"/>
      <c r="GSH20" s="18"/>
      <c r="GSI20" s="16"/>
      <c r="GSJ20" s="18"/>
      <c r="GSK20" s="16"/>
      <c r="GSL20" s="18"/>
      <c r="GSM20" s="16"/>
      <c r="GSN20" s="18"/>
      <c r="GSO20" s="16"/>
      <c r="GSP20" s="18"/>
      <c r="GSQ20" s="16"/>
      <c r="GSR20" s="18"/>
      <c r="GSS20" s="16"/>
      <c r="GST20" s="18"/>
      <c r="GSU20" s="16"/>
      <c r="GSV20" s="18"/>
      <c r="GSW20" s="16"/>
      <c r="GSX20" s="18"/>
      <c r="GSY20" s="16"/>
      <c r="GSZ20" s="18"/>
      <c r="GTA20" s="16"/>
      <c r="GTB20" s="18"/>
      <c r="GTC20" s="16"/>
      <c r="GTD20" s="18"/>
      <c r="GTE20" s="16"/>
      <c r="GTF20" s="18"/>
      <c r="GTG20" s="16"/>
      <c r="GTH20" s="18"/>
      <c r="GTI20" s="16"/>
      <c r="GTJ20" s="18"/>
      <c r="GTK20" s="16"/>
      <c r="GTL20" s="18"/>
      <c r="GTM20" s="16"/>
      <c r="GTN20" s="18"/>
      <c r="GTO20" s="16"/>
      <c r="GTP20" s="18"/>
      <c r="GTQ20" s="16"/>
      <c r="GTR20" s="18"/>
      <c r="GTS20" s="16"/>
      <c r="GTT20" s="18"/>
      <c r="GTU20" s="16"/>
      <c r="GTV20" s="18"/>
      <c r="GTW20" s="16"/>
      <c r="GTX20" s="18"/>
      <c r="GTY20" s="16"/>
      <c r="GTZ20" s="18"/>
      <c r="GUA20" s="16"/>
      <c r="GUB20" s="18"/>
      <c r="GUC20" s="16"/>
      <c r="GUD20" s="18"/>
      <c r="GUE20" s="16"/>
      <c r="GUF20" s="18"/>
      <c r="GUG20" s="16"/>
      <c r="GUH20" s="18"/>
      <c r="GUI20" s="16"/>
      <c r="GUJ20" s="18"/>
      <c r="GUK20" s="16"/>
      <c r="GUL20" s="18"/>
      <c r="GUM20" s="16"/>
      <c r="GUN20" s="18"/>
      <c r="GUO20" s="16"/>
      <c r="GUP20" s="18"/>
      <c r="GUQ20" s="16"/>
      <c r="GUR20" s="18"/>
      <c r="GUS20" s="16"/>
      <c r="GUT20" s="18"/>
      <c r="GUU20" s="16"/>
      <c r="GUV20" s="18"/>
      <c r="GUW20" s="16"/>
      <c r="GUX20" s="18"/>
      <c r="GUY20" s="16"/>
      <c r="GUZ20" s="18"/>
      <c r="GVA20" s="16"/>
      <c r="GVB20" s="18"/>
      <c r="GVC20" s="16"/>
      <c r="GVD20" s="18"/>
      <c r="GVE20" s="16"/>
      <c r="GVF20" s="18"/>
      <c r="GVG20" s="16"/>
      <c r="GVH20" s="18"/>
      <c r="GVI20" s="16"/>
      <c r="GVJ20" s="18"/>
      <c r="GVK20" s="16"/>
      <c r="GVL20" s="18"/>
      <c r="GVM20" s="16"/>
      <c r="GVN20" s="18"/>
      <c r="GVO20" s="16"/>
      <c r="GVP20" s="18"/>
      <c r="GVQ20" s="16"/>
      <c r="GVR20" s="18"/>
      <c r="GVS20" s="16"/>
      <c r="GVT20" s="18"/>
      <c r="GVU20" s="16"/>
      <c r="GVV20" s="18"/>
      <c r="GVW20" s="16"/>
      <c r="GVX20" s="18"/>
      <c r="GVY20" s="16"/>
      <c r="GVZ20" s="18"/>
      <c r="GWA20" s="16"/>
      <c r="GWB20" s="18"/>
      <c r="GWC20" s="16"/>
      <c r="GWD20" s="18"/>
      <c r="GWE20" s="16"/>
      <c r="GWF20" s="18"/>
      <c r="GWG20" s="16"/>
      <c r="GWH20" s="18"/>
      <c r="GWI20" s="16"/>
      <c r="GWJ20" s="18"/>
      <c r="GWK20" s="16"/>
      <c r="GWL20" s="18"/>
      <c r="GWM20" s="16"/>
      <c r="GWN20" s="18"/>
      <c r="GWO20" s="16"/>
      <c r="GWP20" s="18"/>
      <c r="GWQ20" s="16"/>
      <c r="GWR20" s="18"/>
      <c r="GWS20" s="16"/>
      <c r="GWT20" s="18"/>
      <c r="GWU20" s="16"/>
      <c r="GWV20" s="18"/>
      <c r="GWW20" s="16"/>
      <c r="GWX20" s="18"/>
      <c r="GWY20" s="16"/>
      <c r="GWZ20" s="18"/>
      <c r="GXA20" s="16"/>
      <c r="GXB20" s="18"/>
      <c r="GXC20" s="16"/>
      <c r="GXD20" s="18"/>
      <c r="GXE20" s="16"/>
      <c r="GXF20" s="18"/>
      <c r="GXG20" s="16"/>
      <c r="GXH20" s="18"/>
      <c r="GXI20" s="16"/>
      <c r="GXJ20" s="18"/>
      <c r="GXK20" s="16"/>
      <c r="GXL20" s="18"/>
      <c r="GXM20" s="16"/>
      <c r="GXN20" s="18"/>
      <c r="GXO20" s="16"/>
      <c r="GXP20" s="18"/>
      <c r="GXQ20" s="16"/>
      <c r="GXR20" s="18"/>
      <c r="GXS20" s="16"/>
      <c r="GXT20" s="18"/>
      <c r="GXU20" s="16"/>
      <c r="GXV20" s="18"/>
      <c r="GXW20" s="16"/>
      <c r="GXX20" s="18"/>
      <c r="GXY20" s="16"/>
      <c r="GXZ20" s="18"/>
      <c r="GYA20" s="16"/>
      <c r="GYB20" s="18"/>
      <c r="GYC20" s="16"/>
      <c r="GYD20" s="18"/>
      <c r="GYE20" s="16"/>
      <c r="GYF20" s="18"/>
      <c r="GYG20" s="16"/>
      <c r="GYH20" s="18"/>
      <c r="GYI20" s="16"/>
      <c r="GYJ20" s="18"/>
      <c r="GYK20" s="16"/>
      <c r="GYL20" s="18"/>
      <c r="GYM20" s="16"/>
      <c r="GYN20" s="18"/>
      <c r="GYO20" s="16"/>
      <c r="GYP20" s="18"/>
      <c r="GYQ20" s="16"/>
      <c r="GYR20" s="18"/>
      <c r="GYS20" s="16"/>
      <c r="GYT20" s="18"/>
      <c r="GYU20" s="16"/>
      <c r="GYV20" s="18"/>
      <c r="GYW20" s="16"/>
      <c r="GYX20" s="18"/>
      <c r="GYY20" s="16"/>
      <c r="GYZ20" s="18"/>
      <c r="GZA20" s="16"/>
      <c r="GZB20" s="18"/>
      <c r="GZC20" s="16"/>
      <c r="GZD20" s="18"/>
      <c r="GZE20" s="16"/>
      <c r="GZF20" s="18"/>
      <c r="GZG20" s="16"/>
      <c r="GZH20" s="18"/>
      <c r="GZI20" s="16"/>
      <c r="GZJ20" s="18"/>
      <c r="GZK20" s="16"/>
      <c r="GZL20" s="18"/>
      <c r="GZM20" s="16"/>
      <c r="GZN20" s="18"/>
      <c r="GZO20" s="16"/>
      <c r="GZP20" s="18"/>
      <c r="GZQ20" s="16"/>
      <c r="GZR20" s="18"/>
      <c r="GZS20" s="16"/>
      <c r="GZT20" s="18"/>
      <c r="GZU20" s="16"/>
      <c r="GZV20" s="18"/>
      <c r="GZW20" s="16"/>
      <c r="GZX20" s="18"/>
      <c r="GZY20" s="16"/>
      <c r="GZZ20" s="18"/>
      <c r="HAA20" s="16"/>
      <c r="HAB20" s="18"/>
      <c r="HAC20" s="16"/>
      <c r="HAD20" s="18"/>
      <c r="HAE20" s="16"/>
      <c r="HAF20" s="18"/>
      <c r="HAG20" s="16"/>
      <c r="HAH20" s="18"/>
      <c r="HAI20" s="16"/>
      <c r="HAJ20" s="18"/>
      <c r="HAK20" s="16"/>
      <c r="HAL20" s="18"/>
      <c r="HAM20" s="16"/>
      <c r="HAN20" s="18"/>
      <c r="HAO20" s="16"/>
      <c r="HAP20" s="18"/>
      <c r="HAQ20" s="16"/>
      <c r="HAR20" s="18"/>
      <c r="HAS20" s="16"/>
      <c r="HAT20" s="18"/>
      <c r="HAU20" s="16"/>
      <c r="HAV20" s="18"/>
      <c r="HAW20" s="16"/>
      <c r="HAX20" s="18"/>
      <c r="HAY20" s="16"/>
      <c r="HAZ20" s="18"/>
      <c r="HBA20" s="16"/>
      <c r="HBB20" s="18"/>
      <c r="HBC20" s="16"/>
      <c r="HBD20" s="18"/>
      <c r="HBE20" s="16"/>
      <c r="HBF20" s="18"/>
      <c r="HBG20" s="16"/>
      <c r="HBH20" s="18"/>
      <c r="HBI20" s="16"/>
      <c r="HBJ20" s="18"/>
      <c r="HBK20" s="16"/>
      <c r="HBL20" s="18"/>
      <c r="HBM20" s="16"/>
      <c r="HBN20" s="18"/>
      <c r="HBO20" s="16"/>
      <c r="HBP20" s="18"/>
      <c r="HBQ20" s="16"/>
      <c r="HBR20" s="18"/>
      <c r="HBS20" s="16"/>
      <c r="HBT20" s="18"/>
      <c r="HBU20" s="16"/>
      <c r="HBV20" s="18"/>
      <c r="HBW20" s="16"/>
      <c r="HBX20" s="18"/>
      <c r="HBY20" s="16"/>
      <c r="HBZ20" s="18"/>
      <c r="HCA20" s="16"/>
      <c r="HCB20" s="18"/>
      <c r="HCC20" s="16"/>
      <c r="HCD20" s="18"/>
      <c r="HCE20" s="16"/>
      <c r="HCF20" s="18"/>
      <c r="HCG20" s="16"/>
      <c r="HCH20" s="18"/>
      <c r="HCI20" s="16"/>
      <c r="HCJ20" s="18"/>
      <c r="HCK20" s="16"/>
      <c r="HCL20" s="18"/>
      <c r="HCM20" s="16"/>
      <c r="HCN20" s="18"/>
      <c r="HCO20" s="16"/>
      <c r="HCP20" s="18"/>
      <c r="HCQ20" s="16"/>
      <c r="HCR20" s="18"/>
      <c r="HCS20" s="16"/>
      <c r="HCT20" s="18"/>
      <c r="HCU20" s="16"/>
      <c r="HCV20" s="18"/>
      <c r="HCW20" s="16"/>
      <c r="HCX20" s="18"/>
      <c r="HCY20" s="16"/>
      <c r="HCZ20" s="18"/>
      <c r="HDA20" s="16"/>
      <c r="HDB20" s="18"/>
      <c r="HDC20" s="16"/>
      <c r="HDD20" s="18"/>
      <c r="HDE20" s="16"/>
      <c r="HDF20" s="18"/>
      <c r="HDG20" s="16"/>
      <c r="HDH20" s="18"/>
      <c r="HDI20" s="16"/>
      <c r="HDJ20" s="18"/>
      <c r="HDK20" s="16"/>
      <c r="HDL20" s="18"/>
      <c r="HDM20" s="16"/>
      <c r="HDN20" s="18"/>
      <c r="HDO20" s="16"/>
      <c r="HDP20" s="18"/>
      <c r="HDQ20" s="16"/>
      <c r="HDR20" s="18"/>
      <c r="HDS20" s="16"/>
      <c r="HDT20" s="18"/>
      <c r="HDU20" s="16"/>
      <c r="HDV20" s="18"/>
      <c r="HDW20" s="16"/>
      <c r="HDX20" s="18"/>
      <c r="HDY20" s="16"/>
      <c r="HDZ20" s="18"/>
      <c r="HEA20" s="16"/>
      <c r="HEB20" s="18"/>
      <c r="HEC20" s="16"/>
      <c r="HED20" s="18"/>
      <c r="HEE20" s="16"/>
      <c r="HEF20" s="18"/>
      <c r="HEG20" s="16"/>
      <c r="HEH20" s="18"/>
      <c r="HEI20" s="16"/>
      <c r="HEJ20" s="18"/>
      <c r="HEK20" s="16"/>
      <c r="HEL20" s="18"/>
      <c r="HEM20" s="16"/>
      <c r="HEN20" s="18"/>
      <c r="HEO20" s="16"/>
      <c r="HEP20" s="18"/>
      <c r="HEQ20" s="16"/>
      <c r="HER20" s="18"/>
      <c r="HES20" s="16"/>
      <c r="HET20" s="18"/>
      <c r="HEU20" s="16"/>
      <c r="HEV20" s="18"/>
      <c r="HEW20" s="16"/>
      <c r="HEX20" s="18"/>
      <c r="HEY20" s="16"/>
      <c r="HEZ20" s="18"/>
      <c r="HFA20" s="16"/>
      <c r="HFB20" s="18"/>
      <c r="HFC20" s="16"/>
      <c r="HFD20" s="18"/>
      <c r="HFE20" s="16"/>
      <c r="HFF20" s="18"/>
      <c r="HFG20" s="16"/>
      <c r="HFH20" s="18"/>
      <c r="HFI20" s="16"/>
      <c r="HFJ20" s="18"/>
      <c r="HFK20" s="16"/>
      <c r="HFL20" s="18"/>
      <c r="HFM20" s="16"/>
      <c r="HFN20" s="18"/>
      <c r="HFO20" s="16"/>
      <c r="HFP20" s="18"/>
      <c r="HFQ20" s="16"/>
      <c r="HFR20" s="18"/>
      <c r="HFS20" s="16"/>
      <c r="HFT20" s="18"/>
      <c r="HFU20" s="16"/>
      <c r="HFV20" s="18"/>
      <c r="HFW20" s="16"/>
      <c r="HFX20" s="18"/>
      <c r="HFY20" s="16"/>
      <c r="HFZ20" s="18"/>
      <c r="HGA20" s="16"/>
      <c r="HGB20" s="18"/>
      <c r="HGC20" s="16"/>
      <c r="HGD20" s="18"/>
      <c r="HGE20" s="16"/>
      <c r="HGF20" s="18"/>
      <c r="HGG20" s="16"/>
      <c r="HGH20" s="18"/>
      <c r="HGI20" s="16"/>
      <c r="HGJ20" s="18"/>
      <c r="HGK20" s="16"/>
      <c r="HGL20" s="18"/>
      <c r="HGM20" s="16"/>
      <c r="HGN20" s="18"/>
      <c r="HGO20" s="16"/>
      <c r="HGP20" s="18"/>
      <c r="HGQ20" s="16"/>
      <c r="HGR20" s="18"/>
      <c r="HGS20" s="16"/>
      <c r="HGT20" s="18"/>
      <c r="HGU20" s="16"/>
      <c r="HGV20" s="18"/>
      <c r="HGW20" s="16"/>
      <c r="HGX20" s="18"/>
      <c r="HGY20" s="16"/>
      <c r="HGZ20" s="18"/>
      <c r="HHA20" s="16"/>
      <c r="HHB20" s="18"/>
      <c r="HHC20" s="16"/>
      <c r="HHD20" s="18"/>
      <c r="HHE20" s="16"/>
      <c r="HHF20" s="18"/>
      <c r="HHG20" s="16"/>
      <c r="HHH20" s="18"/>
      <c r="HHI20" s="16"/>
      <c r="HHJ20" s="18"/>
      <c r="HHK20" s="16"/>
      <c r="HHL20" s="18"/>
      <c r="HHM20" s="16"/>
      <c r="HHN20" s="18"/>
      <c r="HHO20" s="16"/>
      <c r="HHP20" s="18"/>
      <c r="HHQ20" s="16"/>
      <c r="HHR20" s="18"/>
      <c r="HHS20" s="16"/>
      <c r="HHT20" s="18"/>
      <c r="HHU20" s="16"/>
      <c r="HHV20" s="18"/>
      <c r="HHW20" s="16"/>
      <c r="HHX20" s="18"/>
      <c r="HHY20" s="16"/>
      <c r="HHZ20" s="18"/>
      <c r="HIA20" s="16"/>
      <c r="HIB20" s="18"/>
      <c r="HIC20" s="16"/>
      <c r="HID20" s="18"/>
      <c r="HIE20" s="16"/>
      <c r="HIF20" s="18"/>
      <c r="HIG20" s="16"/>
      <c r="HIH20" s="18"/>
      <c r="HII20" s="16"/>
      <c r="HIJ20" s="18"/>
      <c r="HIK20" s="16"/>
      <c r="HIL20" s="18"/>
      <c r="HIM20" s="16"/>
      <c r="HIN20" s="18"/>
      <c r="HIO20" s="16"/>
      <c r="HIP20" s="18"/>
      <c r="HIQ20" s="16"/>
      <c r="HIR20" s="18"/>
      <c r="HIS20" s="16"/>
      <c r="HIT20" s="18"/>
      <c r="HIU20" s="16"/>
      <c r="HIV20" s="18"/>
      <c r="HIW20" s="16"/>
      <c r="HIX20" s="18"/>
      <c r="HIY20" s="16"/>
      <c r="HIZ20" s="18"/>
      <c r="HJA20" s="16"/>
      <c r="HJB20" s="18"/>
      <c r="HJC20" s="16"/>
      <c r="HJD20" s="18"/>
      <c r="HJE20" s="16"/>
      <c r="HJF20" s="18"/>
      <c r="HJG20" s="16"/>
      <c r="HJH20" s="18"/>
      <c r="HJI20" s="16"/>
      <c r="HJJ20" s="18"/>
      <c r="HJK20" s="16"/>
      <c r="HJL20" s="18"/>
      <c r="HJM20" s="16"/>
      <c r="HJN20" s="18"/>
      <c r="HJO20" s="16"/>
      <c r="HJP20" s="18"/>
      <c r="HJQ20" s="16"/>
      <c r="HJR20" s="18"/>
      <c r="HJS20" s="16"/>
      <c r="HJT20" s="18"/>
      <c r="HJU20" s="16"/>
      <c r="HJV20" s="18"/>
      <c r="HJW20" s="16"/>
      <c r="HJX20" s="18"/>
      <c r="HJY20" s="16"/>
      <c r="HJZ20" s="18"/>
      <c r="HKA20" s="16"/>
      <c r="HKB20" s="18"/>
      <c r="HKC20" s="16"/>
      <c r="HKD20" s="18"/>
      <c r="HKE20" s="16"/>
      <c r="HKF20" s="18"/>
      <c r="HKG20" s="16"/>
      <c r="HKH20" s="18"/>
      <c r="HKI20" s="16"/>
      <c r="HKJ20" s="18"/>
      <c r="HKK20" s="16"/>
      <c r="HKL20" s="18"/>
      <c r="HKM20" s="16"/>
      <c r="HKN20" s="18"/>
      <c r="HKO20" s="16"/>
      <c r="HKP20" s="18"/>
      <c r="HKQ20" s="16"/>
      <c r="HKR20" s="18"/>
      <c r="HKS20" s="16"/>
      <c r="HKT20" s="18"/>
      <c r="HKU20" s="16"/>
      <c r="HKV20" s="18"/>
      <c r="HKW20" s="16"/>
      <c r="HKX20" s="18"/>
      <c r="HKY20" s="16"/>
      <c r="HKZ20" s="18"/>
      <c r="HLA20" s="16"/>
      <c r="HLB20" s="18"/>
      <c r="HLC20" s="16"/>
      <c r="HLD20" s="18"/>
      <c r="HLE20" s="16"/>
      <c r="HLF20" s="18"/>
      <c r="HLG20" s="16"/>
      <c r="HLH20" s="18"/>
      <c r="HLI20" s="16"/>
      <c r="HLJ20" s="18"/>
      <c r="HLK20" s="16"/>
      <c r="HLL20" s="18"/>
      <c r="HLM20" s="16"/>
      <c r="HLN20" s="18"/>
      <c r="HLO20" s="16"/>
      <c r="HLP20" s="18"/>
      <c r="HLQ20" s="16"/>
      <c r="HLR20" s="18"/>
      <c r="HLS20" s="16"/>
      <c r="HLT20" s="18"/>
      <c r="HLU20" s="16"/>
      <c r="HLV20" s="18"/>
      <c r="HLW20" s="16"/>
      <c r="HLX20" s="18"/>
      <c r="HLY20" s="16"/>
      <c r="HLZ20" s="18"/>
      <c r="HMA20" s="16"/>
      <c r="HMB20" s="18"/>
      <c r="HMC20" s="16"/>
      <c r="HMD20" s="18"/>
      <c r="HME20" s="16"/>
      <c r="HMF20" s="18"/>
      <c r="HMG20" s="16"/>
      <c r="HMH20" s="18"/>
      <c r="HMI20" s="16"/>
      <c r="HMJ20" s="18"/>
      <c r="HMK20" s="16"/>
      <c r="HML20" s="18"/>
      <c r="HMM20" s="16"/>
      <c r="HMN20" s="18"/>
      <c r="HMO20" s="16"/>
      <c r="HMP20" s="18"/>
      <c r="HMQ20" s="16"/>
      <c r="HMR20" s="18"/>
      <c r="HMS20" s="16"/>
      <c r="HMT20" s="18"/>
      <c r="HMU20" s="16"/>
      <c r="HMV20" s="18"/>
      <c r="HMW20" s="16"/>
      <c r="HMX20" s="18"/>
      <c r="HMY20" s="16"/>
      <c r="HMZ20" s="18"/>
      <c r="HNA20" s="16"/>
      <c r="HNB20" s="18"/>
      <c r="HNC20" s="16"/>
      <c r="HND20" s="18"/>
      <c r="HNE20" s="16"/>
      <c r="HNF20" s="18"/>
      <c r="HNG20" s="16"/>
      <c r="HNH20" s="18"/>
      <c r="HNI20" s="16"/>
      <c r="HNJ20" s="18"/>
      <c r="HNK20" s="16"/>
      <c r="HNL20" s="18"/>
      <c r="HNM20" s="16"/>
      <c r="HNN20" s="18"/>
      <c r="HNO20" s="16"/>
      <c r="HNP20" s="18"/>
      <c r="HNQ20" s="16"/>
      <c r="HNR20" s="18"/>
      <c r="HNS20" s="16"/>
      <c r="HNT20" s="18"/>
      <c r="HNU20" s="16"/>
      <c r="HNV20" s="18"/>
      <c r="HNW20" s="16"/>
      <c r="HNX20" s="18"/>
      <c r="HNY20" s="16"/>
      <c r="HNZ20" s="18"/>
      <c r="HOA20" s="16"/>
      <c r="HOB20" s="18"/>
      <c r="HOC20" s="16"/>
      <c r="HOD20" s="18"/>
      <c r="HOE20" s="16"/>
      <c r="HOF20" s="18"/>
      <c r="HOG20" s="16"/>
      <c r="HOH20" s="18"/>
      <c r="HOI20" s="16"/>
      <c r="HOJ20" s="18"/>
      <c r="HOK20" s="16"/>
      <c r="HOL20" s="18"/>
      <c r="HOM20" s="16"/>
      <c r="HON20" s="18"/>
      <c r="HOO20" s="16"/>
      <c r="HOP20" s="18"/>
      <c r="HOQ20" s="16"/>
      <c r="HOR20" s="18"/>
      <c r="HOS20" s="16"/>
      <c r="HOT20" s="18"/>
      <c r="HOU20" s="16"/>
      <c r="HOV20" s="18"/>
      <c r="HOW20" s="16"/>
      <c r="HOX20" s="18"/>
      <c r="HOY20" s="16"/>
      <c r="HOZ20" s="18"/>
      <c r="HPA20" s="16"/>
      <c r="HPB20" s="18"/>
      <c r="HPC20" s="16"/>
      <c r="HPD20" s="18"/>
      <c r="HPE20" s="16"/>
      <c r="HPF20" s="18"/>
      <c r="HPG20" s="16"/>
      <c r="HPH20" s="18"/>
      <c r="HPI20" s="16"/>
      <c r="HPJ20" s="18"/>
      <c r="HPK20" s="16"/>
      <c r="HPL20" s="18"/>
      <c r="HPM20" s="16"/>
      <c r="HPN20" s="18"/>
      <c r="HPO20" s="16"/>
      <c r="HPP20" s="18"/>
      <c r="HPQ20" s="16"/>
      <c r="HPR20" s="18"/>
      <c r="HPS20" s="16"/>
      <c r="HPT20" s="18"/>
      <c r="HPU20" s="16"/>
      <c r="HPV20" s="18"/>
      <c r="HPW20" s="16"/>
      <c r="HPX20" s="18"/>
      <c r="HPY20" s="16"/>
      <c r="HPZ20" s="18"/>
      <c r="HQA20" s="16"/>
      <c r="HQB20" s="18"/>
      <c r="HQC20" s="16"/>
      <c r="HQD20" s="18"/>
      <c r="HQE20" s="16"/>
      <c r="HQF20" s="18"/>
      <c r="HQG20" s="16"/>
      <c r="HQH20" s="18"/>
      <c r="HQI20" s="16"/>
      <c r="HQJ20" s="18"/>
      <c r="HQK20" s="16"/>
      <c r="HQL20" s="18"/>
      <c r="HQM20" s="16"/>
      <c r="HQN20" s="18"/>
      <c r="HQO20" s="16"/>
      <c r="HQP20" s="18"/>
      <c r="HQQ20" s="16"/>
      <c r="HQR20" s="18"/>
      <c r="HQS20" s="16"/>
      <c r="HQT20" s="18"/>
      <c r="HQU20" s="16"/>
      <c r="HQV20" s="18"/>
      <c r="HQW20" s="16"/>
      <c r="HQX20" s="18"/>
      <c r="HQY20" s="16"/>
      <c r="HQZ20" s="18"/>
      <c r="HRA20" s="16"/>
      <c r="HRB20" s="18"/>
      <c r="HRC20" s="16"/>
      <c r="HRD20" s="18"/>
      <c r="HRE20" s="16"/>
      <c r="HRF20" s="18"/>
      <c r="HRG20" s="16"/>
      <c r="HRH20" s="18"/>
      <c r="HRI20" s="16"/>
      <c r="HRJ20" s="18"/>
      <c r="HRK20" s="16"/>
      <c r="HRL20" s="18"/>
      <c r="HRM20" s="16"/>
      <c r="HRN20" s="18"/>
      <c r="HRO20" s="16"/>
      <c r="HRP20" s="18"/>
      <c r="HRQ20" s="16"/>
      <c r="HRR20" s="18"/>
      <c r="HRS20" s="16"/>
      <c r="HRT20" s="18"/>
      <c r="HRU20" s="16"/>
      <c r="HRV20" s="18"/>
      <c r="HRW20" s="16"/>
      <c r="HRX20" s="18"/>
      <c r="HRY20" s="16"/>
      <c r="HRZ20" s="18"/>
      <c r="HSA20" s="16"/>
      <c r="HSB20" s="18"/>
      <c r="HSC20" s="16"/>
      <c r="HSD20" s="18"/>
      <c r="HSE20" s="16"/>
      <c r="HSF20" s="18"/>
      <c r="HSG20" s="16"/>
      <c r="HSH20" s="18"/>
      <c r="HSI20" s="16"/>
      <c r="HSJ20" s="18"/>
      <c r="HSK20" s="16"/>
      <c r="HSL20" s="18"/>
      <c r="HSM20" s="16"/>
      <c r="HSN20" s="18"/>
      <c r="HSO20" s="16"/>
      <c r="HSP20" s="18"/>
      <c r="HSQ20" s="16"/>
      <c r="HSR20" s="18"/>
      <c r="HSS20" s="16"/>
      <c r="HST20" s="18"/>
      <c r="HSU20" s="16"/>
      <c r="HSV20" s="18"/>
      <c r="HSW20" s="16"/>
      <c r="HSX20" s="18"/>
      <c r="HSY20" s="16"/>
      <c r="HSZ20" s="18"/>
      <c r="HTA20" s="16"/>
      <c r="HTB20" s="18"/>
      <c r="HTC20" s="16"/>
      <c r="HTD20" s="18"/>
      <c r="HTE20" s="16"/>
      <c r="HTF20" s="18"/>
      <c r="HTG20" s="16"/>
      <c r="HTH20" s="18"/>
      <c r="HTI20" s="16"/>
      <c r="HTJ20" s="18"/>
      <c r="HTK20" s="16"/>
      <c r="HTL20" s="18"/>
      <c r="HTM20" s="16"/>
      <c r="HTN20" s="18"/>
      <c r="HTO20" s="16"/>
      <c r="HTP20" s="18"/>
      <c r="HTQ20" s="16"/>
      <c r="HTR20" s="18"/>
      <c r="HTS20" s="16"/>
      <c r="HTT20" s="18"/>
      <c r="HTU20" s="16"/>
      <c r="HTV20" s="18"/>
      <c r="HTW20" s="16"/>
      <c r="HTX20" s="18"/>
      <c r="HTY20" s="16"/>
      <c r="HTZ20" s="18"/>
      <c r="HUA20" s="16"/>
      <c r="HUB20" s="18"/>
      <c r="HUC20" s="16"/>
      <c r="HUD20" s="18"/>
      <c r="HUE20" s="16"/>
      <c r="HUF20" s="18"/>
      <c r="HUG20" s="16"/>
      <c r="HUH20" s="18"/>
      <c r="HUI20" s="16"/>
      <c r="HUJ20" s="18"/>
      <c r="HUK20" s="16"/>
      <c r="HUL20" s="18"/>
      <c r="HUM20" s="16"/>
      <c r="HUN20" s="18"/>
      <c r="HUO20" s="16"/>
      <c r="HUP20" s="18"/>
      <c r="HUQ20" s="16"/>
      <c r="HUR20" s="18"/>
      <c r="HUS20" s="16"/>
      <c r="HUT20" s="18"/>
      <c r="HUU20" s="16"/>
      <c r="HUV20" s="18"/>
      <c r="HUW20" s="16"/>
      <c r="HUX20" s="18"/>
      <c r="HUY20" s="16"/>
      <c r="HUZ20" s="18"/>
      <c r="HVA20" s="16"/>
      <c r="HVB20" s="18"/>
      <c r="HVC20" s="16"/>
      <c r="HVD20" s="18"/>
      <c r="HVE20" s="16"/>
      <c r="HVF20" s="18"/>
      <c r="HVG20" s="16"/>
      <c r="HVH20" s="18"/>
      <c r="HVI20" s="16"/>
      <c r="HVJ20" s="18"/>
      <c r="HVK20" s="16"/>
      <c r="HVL20" s="18"/>
      <c r="HVM20" s="16"/>
      <c r="HVN20" s="18"/>
      <c r="HVO20" s="16"/>
      <c r="HVP20" s="18"/>
      <c r="HVQ20" s="16"/>
      <c r="HVR20" s="18"/>
      <c r="HVS20" s="16"/>
      <c r="HVT20" s="18"/>
      <c r="HVU20" s="16"/>
      <c r="HVV20" s="18"/>
      <c r="HVW20" s="16"/>
      <c r="HVX20" s="18"/>
      <c r="HVY20" s="16"/>
      <c r="HVZ20" s="18"/>
      <c r="HWA20" s="16"/>
      <c r="HWB20" s="18"/>
      <c r="HWC20" s="16"/>
      <c r="HWD20" s="18"/>
      <c r="HWE20" s="16"/>
      <c r="HWF20" s="18"/>
      <c r="HWG20" s="16"/>
      <c r="HWH20" s="18"/>
      <c r="HWI20" s="16"/>
      <c r="HWJ20" s="18"/>
      <c r="HWK20" s="16"/>
      <c r="HWL20" s="18"/>
      <c r="HWM20" s="16"/>
      <c r="HWN20" s="18"/>
      <c r="HWO20" s="16"/>
      <c r="HWP20" s="18"/>
      <c r="HWQ20" s="16"/>
      <c r="HWR20" s="18"/>
      <c r="HWS20" s="16"/>
      <c r="HWT20" s="18"/>
      <c r="HWU20" s="16"/>
      <c r="HWV20" s="18"/>
      <c r="HWW20" s="16"/>
      <c r="HWX20" s="18"/>
      <c r="HWY20" s="16"/>
      <c r="HWZ20" s="18"/>
      <c r="HXA20" s="16"/>
      <c r="HXB20" s="18"/>
      <c r="HXC20" s="16"/>
      <c r="HXD20" s="18"/>
      <c r="HXE20" s="16"/>
      <c r="HXF20" s="18"/>
      <c r="HXG20" s="16"/>
      <c r="HXH20" s="18"/>
      <c r="HXI20" s="16"/>
      <c r="HXJ20" s="18"/>
      <c r="HXK20" s="16"/>
      <c r="HXL20" s="18"/>
      <c r="HXM20" s="16"/>
      <c r="HXN20" s="18"/>
      <c r="HXO20" s="16"/>
      <c r="HXP20" s="18"/>
      <c r="HXQ20" s="16"/>
      <c r="HXR20" s="18"/>
      <c r="HXS20" s="16"/>
      <c r="HXT20" s="18"/>
      <c r="HXU20" s="16"/>
      <c r="HXV20" s="18"/>
      <c r="HXW20" s="16"/>
      <c r="HXX20" s="18"/>
      <c r="HXY20" s="16"/>
      <c r="HXZ20" s="18"/>
      <c r="HYA20" s="16"/>
      <c r="HYB20" s="18"/>
      <c r="HYC20" s="16"/>
      <c r="HYD20" s="18"/>
      <c r="HYE20" s="16"/>
      <c r="HYF20" s="18"/>
      <c r="HYG20" s="16"/>
      <c r="HYH20" s="18"/>
      <c r="HYI20" s="16"/>
      <c r="HYJ20" s="18"/>
      <c r="HYK20" s="16"/>
      <c r="HYL20" s="18"/>
      <c r="HYM20" s="16"/>
      <c r="HYN20" s="18"/>
      <c r="HYO20" s="16"/>
      <c r="HYP20" s="18"/>
      <c r="HYQ20" s="16"/>
      <c r="HYR20" s="18"/>
      <c r="HYS20" s="16"/>
      <c r="HYT20" s="18"/>
      <c r="HYU20" s="16"/>
      <c r="HYV20" s="18"/>
      <c r="HYW20" s="16"/>
      <c r="HYX20" s="18"/>
      <c r="HYY20" s="16"/>
      <c r="HYZ20" s="18"/>
      <c r="HZA20" s="16"/>
      <c r="HZB20" s="18"/>
      <c r="HZC20" s="16"/>
      <c r="HZD20" s="18"/>
      <c r="HZE20" s="16"/>
      <c r="HZF20" s="18"/>
      <c r="HZG20" s="16"/>
      <c r="HZH20" s="18"/>
      <c r="HZI20" s="16"/>
      <c r="HZJ20" s="18"/>
      <c r="HZK20" s="16"/>
      <c r="HZL20" s="18"/>
      <c r="HZM20" s="16"/>
      <c r="HZN20" s="18"/>
      <c r="HZO20" s="16"/>
      <c r="HZP20" s="18"/>
      <c r="HZQ20" s="16"/>
      <c r="HZR20" s="18"/>
      <c r="HZS20" s="16"/>
      <c r="HZT20" s="18"/>
      <c r="HZU20" s="16"/>
      <c r="HZV20" s="18"/>
      <c r="HZW20" s="16"/>
      <c r="HZX20" s="18"/>
      <c r="HZY20" s="16"/>
      <c r="HZZ20" s="18"/>
      <c r="IAA20" s="16"/>
      <c r="IAB20" s="18"/>
      <c r="IAC20" s="16"/>
      <c r="IAD20" s="18"/>
      <c r="IAE20" s="16"/>
      <c r="IAF20" s="18"/>
      <c r="IAG20" s="16"/>
      <c r="IAH20" s="18"/>
      <c r="IAI20" s="16"/>
      <c r="IAJ20" s="18"/>
      <c r="IAK20" s="16"/>
      <c r="IAL20" s="18"/>
      <c r="IAM20" s="16"/>
      <c r="IAN20" s="18"/>
      <c r="IAO20" s="16"/>
      <c r="IAP20" s="18"/>
      <c r="IAQ20" s="16"/>
      <c r="IAR20" s="18"/>
      <c r="IAS20" s="16"/>
      <c r="IAT20" s="18"/>
      <c r="IAU20" s="16"/>
      <c r="IAV20" s="18"/>
      <c r="IAW20" s="16"/>
      <c r="IAX20" s="18"/>
      <c r="IAY20" s="16"/>
      <c r="IAZ20" s="18"/>
      <c r="IBA20" s="16"/>
      <c r="IBB20" s="18"/>
      <c r="IBC20" s="16"/>
      <c r="IBD20" s="18"/>
      <c r="IBE20" s="16"/>
      <c r="IBF20" s="18"/>
      <c r="IBG20" s="16"/>
      <c r="IBH20" s="18"/>
      <c r="IBI20" s="16"/>
      <c r="IBJ20" s="18"/>
      <c r="IBK20" s="16"/>
      <c r="IBL20" s="18"/>
      <c r="IBM20" s="16"/>
      <c r="IBN20" s="18"/>
      <c r="IBO20" s="16"/>
      <c r="IBP20" s="18"/>
      <c r="IBQ20" s="16"/>
      <c r="IBR20" s="18"/>
      <c r="IBS20" s="16"/>
      <c r="IBT20" s="18"/>
      <c r="IBU20" s="16"/>
      <c r="IBV20" s="18"/>
      <c r="IBW20" s="16"/>
      <c r="IBX20" s="18"/>
      <c r="IBY20" s="16"/>
      <c r="IBZ20" s="18"/>
      <c r="ICA20" s="16"/>
      <c r="ICB20" s="18"/>
      <c r="ICC20" s="16"/>
      <c r="ICD20" s="18"/>
      <c r="ICE20" s="16"/>
      <c r="ICF20" s="18"/>
      <c r="ICG20" s="16"/>
      <c r="ICH20" s="18"/>
      <c r="ICI20" s="16"/>
      <c r="ICJ20" s="18"/>
      <c r="ICK20" s="16"/>
      <c r="ICL20" s="18"/>
      <c r="ICM20" s="16"/>
      <c r="ICN20" s="18"/>
      <c r="ICO20" s="16"/>
      <c r="ICP20" s="18"/>
      <c r="ICQ20" s="16"/>
      <c r="ICR20" s="18"/>
      <c r="ICS20" s="16"/>
      <c r="ICT20" s="18"/>
      <c r="ICU20" s="16"/>
      <c r="ICV20" s="18"/>
      <c r="ICW20" s="16"/>
      <c r="ICX20" s="18"/>
      <c r="ICY20" s="16"/>
      <c r="ICZ20" s="18"/>
      <c r="IDA20" s="16"/>
      <c r="IDB20" s="18"/>
      <c r="IDC20" s="16"/>
      <c r="IDD20" s="18"/>
      <c r="IDE20" s="16"/>
      <c r="IDF20" s="18"/>
      <c r="IDG20" s="16"/>
      <c r="IDH20" s="18"/>
      <c r="IDI20" s="16"/>
      <c r="IDJ20" s="18"/>
      <c r="IDK20" s="16"/>
      <c r="IDL20" s="18"/>
      <c r="IDM20" s="16"/>
      <c r="IDN20" s="18"/>
      <c r="IDO20" s="16"/>
      <c r="IDP20" s="18"/>
      <c r="IDQ20" s="16"/>
      <c r="IDR20" s="18"/>
      <c r="IDS20" s="16"/>
      <c r="IDT20" s="18"/>
      <c r="IDU20" s="16"/>
      <c r="IDV20" s="18"/>
      <c r="IDW20" s="16"/>
      <c r="IDX20" s="18"/>
      <c r="IDY20" s="16"/>
      <c r="IDZ20" s="18"/>
      <c r="IEA20" s="16"/>
      <c r="IEB20" s="18"/>
      <c r="IEC20" s="16"/>
      <c r="IED20" s="18"/>
      <c r="IEE20" s="16"/>
      <c r="IEF20" s="18"/>
      <c r="IEG20" s="16"/>
      <c r="IEH20" s="18"/>
      <c r="IEI20" s="16"/>
      <c r="IEJ20" s="18"/>
      <c r="IEK20" s="16"/>
      <c r="IEL20" s="18"/>
      <c r="IEM20" s="16"/>
      <c r="IEN20" s="18"/>
      <c r="IEO20" s="16"/>
      <c r="IEP20" s="18"/>
      <c r="IEQ20" s="16"/>
      <c r="IER20" s="18"/>
      <c r="IES20" s="16"/>
      <c r="IET20" s="18"/>
      <c r="IEU20" s="16"/>
      <c r="IEV20" s="18"/>
      <c r="IEW20" s="16"/>
      <c r="IEX20" s="18"/>
      <c r="IEY20" s="16"/>
      <c r="IEZ20" s="18"/>
      <c r="IFA20" s="16"/>
      <c r="IFB20" s="18"/>
      <c r="IFC20" s="16"/>
      <c r="IFD20" s="18"/>
      <c r="IFE20" s="16"/>
      <c r="IFF20" s="18"/>
      <c r="IFG20" s="16"/>
      <c r="IFH20" s="18"/>
      <c r="IFI20" s="16"/>
      <c r="IFJ20" s="18"/>
      <c r="IFK20" s="16"/>
      <c r="IFL20" s="18"/>
      <c r="IFM20" s="16"/>
      <c r="IFN20" s="18"/>
      <c r="IFO20" s="16"/>
      <c r="IFP20" s="18"/>
      <c r="IFQ20" s="16"/>
      <c r="IFR20" s="18"/>
      <c r="IFS20" s="16"/>
      <c r="IFT20" s="18"/>
      <c r="IFU20" s="16"/>
      <c r="IFV20" s="18"/>
      <c r="IFW20" s="16"/>
      <c r="IFX20" s="18"/>
      <c r="IFY20" s="16"/>
      <c r="IFZ20" s="18"/>
      <c r="IGA20" s="16"/>
      <c r="IGB20" s="18"/>
      <c r="IGC20" s="16"/>
      <c r="IGD20" s="18"/>
      <c r="IGE20" s="16"/>
      <c r="IGF20" s="18"/>
      <c r="IGG20" s="16"/>
      <c r="IGH20" s="18"/>
      <c r="IGI20" s="16"/>
      <c r="IGJ20" s="18"/>
      <c r="IGK20" s="16"/>
      <c r="IGL20" s="18"/>
      <c r="IGM20" s="16"/>
      <c r="IGN20" s="18"/>
      <c r="IGO20" s="16"/>
      <c r="IGP20" s="18"/>
      <c r="IGQ20" s="16"/>
      <c r="IGR20" s="18"/>
      <c r="IGS20" s="16"/>
      <c r="IGT20" s="18"/>
      <c r="IGU20" s="16"/>
      <c r="IGV20" s="18"/>
      <c r="IGW20" s="16"/>
      <c r="IGX20" s="18"/>
      <c r="IGY20" s="16"/>
      <c r="IGZ20" s="18"/>
      <c r="IHA20" s="16"/>
      <c r="IHB20" s="18"/>
      <c r="IHC20" s="16"/>
      <c r="IHD20" s="18"/>
      <c r="IHE20" s="16"/>
      <c r="IHF20" s="18"/>
      <c r="IHG20" s="16"/>
      <c r="IHH20" s="18"/>
      <c r="IHI20" s="16"/>
      <c r="IHJ20" s="18"/>
      <c r="IHK20" s="16"/>
      <c r="IHL20" s="18"/>
      <c r="IHM20" s="16"/>
      <c r="IHN20" s="18"/>
      <c r="IHO20" s="16"/>
      <c r="IHP20" s="18"/>
      <c r="IHQ20" s="16"/>
      <c r="IHR20" s="18"/>
      <c r="IHS20" s="16"/>
      <c r="IHT20" s="18"/>
      <c r="IHU20" s="16"/>
      <c r="IHV20" s="18"/>
      <c r="IHW20" s="16"/>
      <c r="IHX20" s="18"/>
      <c r="IHY20" s="16"/>
      <c r="IHZ20" s="18"/>
      <c r="IIA20" s="16"/>
      <c r="IIB20" s="18"/>
      <c r="IIC20" s="16"/>
      <c r="IID20" s="18"/>
      <c r="IIE20" s="16"/>
      <c r="IIF20" s="18"/>
      <c r="IIG20" s="16"/>
      <c r="IIH20" s="18"/>
      <c r="III20" s="16"/>
      <c r="IIJ20" s="18"/>
      <c r="IIK20" s="16"/>
      <c r="IIL20" s="18"/>
      <c r="IIM20" s="16"/>
      <c r="IIN20" s="18"/>
      <c r="IIO20" s="16"/>
      <c r="IIP20" s="18"/>
      <c r="IIQ20" s="16"/>
      <c r="IIR20" s="18"/>
      <c r="IIS20" s="16"/>
      <c r="IIT20" s="18"/>
      <c r="IIU20" s="16"/>
      <c r="IIV20" s="18"/>
      <c r="IIW20" s="16"/>
      <c r="IIX20" s="18"/>
      <c r="IIY20" s="16"/>
      <c r="IIZ20" s="18"/>
      <c r="IJA20" s="16"/>
      <c r="IJB20" s="18"/>
      <c r="IJC20" s="16"/>
      <c r="IJD20" s="18"/>
      <c r="IJE20" s="16"/>
      <c r="IJF20" s="18"/>
      <c r="IJG20" s="16"/>
      <c r="IJH20" s="18"/>
      <c r="IJI20" s="16"/>
      <c r="IJJ20" s="18"/>
      <c r="IJK20" s="16"/>
      <c r="IJL20" s="18"/>
      <c r="IJM20" s="16"/>
      <c r="IJN20" s="18"/>
      <c r="IJO20" s="16"/>
      <c r="IJP20" s="18"/>
      <c r="IJQ20" s="16"/>
      <c r="IJR20" s="18"/>
      <c r="IJS20" s="16"/>
      <c r="IJT20" s="18"/>
      <c r="IJU20" s="16"/>
      <c r="IJV20" s="18"/>
      <c r="IJW20" s="16"/>
      <c r="IJX20" s="18"/>
      <c r="IJY20" s="16"/>
      <c r="IJZ20" s="18"/>
      <c r="IKA20" s="16"/>
      <c r="IKB20" s="18"/>
      <c r="IKC20" s="16"/>
      <c r="IKD20" s="18"/>
      <c r="IKE20" s="16"/>
      <c r="IKF20" s="18"/>
      <c r="IKG20" s="16"/>
      <c r="IKH20" s="18"/>
      <c r="IKI20" s="16"/>
      <c r="IKJ20" s="18"/>
      <c r="IKK20" s="16"/>
      <c r="IKL20" s="18"/>
      <c r="IKM20" s="16"/>
      <c r="IKN20" s="18"/>
      <c r="IKO20" s="16"/>
      <c r="IKP20" s="18"/>
      <c r="IKQ20" s="16"/>
      <c r="IKR20" s="18"/>
      <c r="IKS20" s="16"/>
      <c r="IKT20" s="18"/>
      <c r="IKU20" s="16"/>
      <c r="IKV20" s="18"/>
      <c r="IKW20" s="16"/>
      <c r="IKX20" s="18"/>
      <c r="IKY20" s="16"/>
      <c r="IKZ20" s="18"/>
      <c r="ILA20" s="16"/>
      <c r="ILB20" s="18"/>
      <c r="ILC20" s="16"/>
      <c r="ILD20" s="18"/>
      <c r="ILE20" s="16"/>
      <c r="ILF20" s="18"/>
      <c r="ILG20" s="16"/>
      <c r="ILH20" s="18"/>
      <c r="ILI20" s="16"/>
      <c r="ILJ20" s="18"/>
      <c r="ILK20" s="16"/>
      <c r="ILL20" s="18"/>
      <c r="ILM20" s="16"/>
      <c r="ILN20" s="18"/>
      <c r="ILO20" s="16"/>
      <c r="ILP20" s="18"/>
      <c r="ILQ20" s="16"/>
      <c r="ILR20" s="18"/>
      <c r="ILS20" s="16"/>
      <c r="ILT20" s="18"/>
      <c r="ILU20" s="16"/>
      <c r="ILV20" s="18"/>
      <c r="ILW20" s="16"/>
      <c r="ILX20" s="18"/>
      <c r="ILY20" s="16"/>
      <c r="ILZ20" s="18"/>
      <c r="IMA20" s="16"/>
      <c r="IMB20" s="18"/>
      <c r="IMC20" s="16"/>
      <c r="IMD20" s="18"/>
      <c r="IME20" s="16"/>
      <c r="IMF20" s="18"/>
      <c r="IMG20" s="16"/>
      <c r="IMH20" s="18"/>
      <c r="IMI20" s="16"/>
      <c r="IMJ20" s="18"/>
      <c r="IMK20" s="16"/>
      <c r="IML20" s="18"/>
      <c r="IMM20" s="16"/>
      <c r="IMN20" s="18"/>
      <c r="IMO20" s="16"/>
      <c r="IMP20" s="18"/>
      <c r="IMQ20" s="16"/>
      <c r="IMR20" s="18"/>
      <c r="IMS20" s="16"/>
      <c r="IMT20" s="18"/>
      <c r="IMU20" s="16"/>
      <c r="IMV20" s="18"/>
      <c r="IMW20" s="16"/>
      <c r="IMX20" s="18"/>
      <c r="IMY20" s="16"/>
      <c r="IMZ20" s="18"/>
      <c r="INA20" s="16"/>
      <c r="INB20" s="18"/>
      <c r="INC20" s="16"/>
      <c r="IND20" s="18"/>
      <c r="INE20" s="16"/>
      <c r="INF20" s="18"/>
      <c r="ING20" s="16"/>
      <c r="INH20" s="18"/>
      <c r="INI20" s="16"/>
      <c r="INJ20" s="18"/>
      <c r="INK20" s="16"/>
      <c r="INL20" s="18"/>
      <c r="INM20" s="16"/>
      <c r="INN20" s="18"/>
      <c r="INO20" s="16"/>
      <c r="INP20" s="18"/>
      <c r="INQ20" s="16"/>
      <c r="INR20" s="18"/>
      <c r="INS20" s="16"/>
      <c r="INT20" s="18"/>
      <c r="INU20" s="16"/>
      <c r="INV20" s="18"/>
      <c r="INW20" s="16"/>
      <c r="INX20" s="18"/>
      <c r="INY20" s="16"/>
      <c r="INZ20" s="18"/>
      <c r="IOA20" s="16"/>
      <c r="IOB20" s="18"/>
      <c r="IOC20" s="16"/>
      <c r="IOD20" s="18"/>
      <c r="IOE20" s="16"/>
      <c r="IOF20" s="18"/>
      <c r="IOG20" s="16"/>
      <c r="IOH20" s="18"/>
      <c r="IOI20" s="16"/>
      <c r="IOJ20" s="18"/>
      <c r="IOK20" s="16"/>
      <c r="IOL20" s="18"/>
      <c r="IOM20" s="16"/>
      <c r="ION20" s="18"/>
      <c r="IOO20" s="16"/>
      <c r="IOP20" s="18"/>
      <c r="IOQ20" s="16"/>
      <c r="IOR20" s="18"/>
      <c r="IOS20" s="16"/>
      <c r="IOT20" s="18"/>
      <c r="IOU20" s="16"/>
      <c r="IOV20" s="18"/>
      <c r="IOW20" s="16"/>
      <c r="IOX20" s="18"/>
      <c r="IOY20" s="16"/>
      <c r="IOZ20" s="18"/>
      <c r="IPA20" s="16"/>
      <c r="IPB20" s="18"/>
      <c r="IPC20" s="16"/>
      <c r="IPD20" s="18"/>
      <c r="IPE20" s="16"/>
      <c r="IPF20" s="18"/>
      <c r="IPG20" s="16"/>
      <c r="IPH20" s="18"/>
      <c r="IPI20" s="16"/>
      <c r="IPJ20" s="18"/>
      <c r="IPK20" s="16"/>
      <c r="IPL20" s="18"/>
      <c r="IPM20" s="16"/>
      <c r="IPN20" s="18"/>
      <c r="IPO20" s="16"/>
      <c r="IPP20" s="18"/>
      <c r="IPQ20" s="16"/>
      <c r="IPR20" s="18"/>
      <c r="IPS20" s="16"/>
      <c r="IPT20" s="18"/>
      <c r="IPU20" s="16"/>
      <c r="IPV20" s="18"/>
      <c r="IPW20" s="16"/>
      <c r="IPX20" s="18"/>
      <c r="IPY20" s="16"/>
      <c r="IPZ20" s="18"/>
      <c r="IQA20" s="16"/>
      <c r="IQB20" s="18"/>
      <c r="IQC20" s="16"/>
      <c r="IQD20" s="18"/>
      <c r="IQE20" s="16"/>
      <c r="IQF20" s="18"/>
      <c r="IQG20" s="16"/>
      <c r="IQH20" s="18"/>
      <c r="IQI20" s="16"/>
      <c r="IQJ20" s="18"/>
      <c r="IQK20" s="16"/>
      <c r="IQL20" s="18"/>
      <c r="IQM20" s="16"/>
      <c r="IQN20" s="18"/>
      <c r="IQO20" s="16"/>
      <c r="IQP20" s="18"/>
      <c r="IQQ20" s="16"/>
      <c r="IQR20" s="18"/>
      <c r="IQS20" s="16"/>
      <c r="IQT20" s="18"/>
      <c r="IQU20" s="16"/>
      <c r="IQV20" s="18"/>
      <c r="IQW20" s="16"/>
      <c r="IQX20" s="18"/>
      <c r="IQY20" s="16"/>
      <c r="IQZ20" s="18"/>
      <c r="IRA20" s="16"/>
      <c r="IRB20" s="18"/>
      <c r="IRC20" s="16"/>
      <c r="IRD20" s="18"/>
      <c r="IRE20" s="16"/>
      <c r="IRF20" s="18"/>
      <c r="IRG20" s="16"/>
      <c r="IRH20" s="18"/>
      <c r="IRI20" s="16"/>
      <c r="IRJ20" s="18"/>
      <c r="IRK20" s="16"/>
      <c r="IRL20" s="18"/>
      <c r="IRM20" s="16"/>
      <c r="IRN20" s="18"/>
      <c r="IRO20" s="16"/>
      <c r="IRP20" s="18"/>
      <c r="IRQ20" s="16"/>
      <c r="IRR20" s="18"/>
      <c r="IRS20" s="16"/>
      <c r="IRT20" s="18"/>
      <c r="IRU20" s="16"/>
      <c r="IRV20" s="18"/>
      <c r="IRW20" s="16"/>
      <c r="IRX20" s="18"/>
      <c r="IRY20" s="16"/>
      <c r="IRZ20" s="18"/>
      <c r="ISA20" s="16"/>
      <c r="ISB20" s="18"/>
      <c r="ISC20" s="16"/>
      <c r="ISD20" s="18"/>
      <c r="ISE20" s="16"/>
      <c r="ISF20" s="18"/>
      <c r="ISG20" s="16"/>
      <c r="ISH20" s="18"/>
      <c r="ISI20" s="16"/>
      <c r="ISJ20" s="18"/>
      <c r="ISK20" s="16"/>
      <c r="ISL20" s="18"/>
      <c r="ISM20" s="16"/>
      <c r="ISN20" s="18"/>
      <c r="ISO20" s="16"/>
      <c r="ISP20" s="18"/>
      <c r="ISQ20" s="16"/>
      <c r="ISR20" s="18"/>
      <c r="ISS20" s="16"/>
      <c r="IST20" s="18"/>
      <c r="ISU20" s="16"/>
      <c r="ISV20" s="18"/>
      <c r="ISW20" s="16"/>
      <c r="ISX20" s="18"/>
      <c r="ISY20" s="16"/>
      <c r="ISZ20" s="18"/>
      <c r="ITA20" s="16"/>
      <c r="ITB20" s="18"/>
      <c r="ITC20" s="16"/>
      <c r="ITD20" s="18"/>
      <c r="ITE20" s="16"/>
      <c r="ITF20" s="18"/>
      <c r="ITG20" s="16"/>
      <c r="ITH20" s="18"/>
      <c r="ITI20" s="16"/>
      <c r="ITJ20" s="18"/>
      <c r="ITK20" s="16"/>
      <c r="ITL20" s="18"/>
      <c r="ITM20" s="16"/>
      <c r="ITN20" s="18"/>
      <c r="ITO20" s="16"/>
      <c r="ITP20" s="18"/>
      <c r="ITQ20" s="16"/>
      <c r="ITR20" s="18"/>
      <c r="ITS20" s="16"/>
      <c r="ITT20" s="18"/>
      <c r="ITU20" s="16"/>
      <c r="ITV20" s="18"/>
      <c r="ITW20" s="16"/>
      <c r="ITX20" s="18"/>
      <c r="ITY20" s="16"/>
      <c r="ITZ20" s="18"/>
      <c r="IUA20" s="16"/>
      <c r="IUB20" s="18"/>
      <c r="IUC20" s="16"/>
      <c r="IUD20" s="18"/>
      <c r="IUE20" s="16"/>
      <c r="IUF20" s="18"/>
      <c r="IUG20" s="16"/>
      <c r="IUH20" s="18"/>
      <c r="IUI20" s="16"/>
      <c r="IUJ20" s="18"/>
      <c r="IUK20" s="16"/>
      <c r="IUL20" s="18"/>
      <c r="IUM20" s="16"/>
      <c r="IUN20" s="18"/>
      <c r="IUO20" s="16"/>
      <c r="IUP20" s="18"/>
      <c r="IUQ20" s="16"/>
      <c r="IUR20" s="18"/>
      <c r="IUS20" s="16"/>
      <c r="IUT20" s="18"/>
      <c r="IUU20" s="16"/>
      <c r="IUV20" s="18"/>
      <c r="IUW20" s="16"/>
      <c r="IUX20" s="18"/>
      <c r="IUY20" s="16"/>
      <c r="IUZ20" s="18"/>
      <c r="IVA20" s="16"/>
      <c r="IVB20" s="18"/>
      <c r="IVC20" s="16"/>
      <c r="IVD20" s="18"/>
      <c r="IVE20" s="16"/>
      <c r="IVF20" s="18"/>
      <c r="IVG20" s="16"/>
      <c r="IVH20" s="18"/>
      <c r="IVI20" s="16"/>
      <c r="IVJ20" s="18"/>
      <c r="IVK20" s="16"/>
      <c r="IVL20" s="18"/>
      <c r="IVM20" s="16"/>
      <c r="IVN20" s="18"/>
      <c r="IVO20" s="16"/>
      <c r="IVP20" s="18"/>
      <c r="IVQ20" s="16"/>
      <c r="IVR20" s="18"/>
      <c r="IVS20" s="16"/>
      <c r="IVT20" s="18"/>
      <c r="IVU20" s="16"/>
      <c r="IVV20" s="18"/>
      <c r="IVW20" s="16"/>
      <c r="IVX20" s="18"/>
      <c r="IVY20" s="16"/>
      <c r="IVZ20" s="18"/>
      <c r="IWA20" s="16"/>
      <c r="IWB20" s="18"/>
      <c r="IWC20" s="16"/>
      <c r="IWD20" s="18"/>
      <c r="IWE20" s="16"/>
      <c r="IWF20" s="18"/>
      <c r="IWG20" s="16"/>
      <c r="IWH20" s="18"/>
      <c r="IWI20" s="16"/>
      <c r="IWJ20" s="18"/>
      <c r="IWK20" s="16"/>
      <c r="IWL20" s="18"/>
      <c r="IWM20" s="16"/>
      <c r="IWN20" s="18"/>
      <c r="IWO20" s="16"/>
      <c r="IWP20" s="18"/>
      <c r="IWQ20" s="16"/>
      <c r="IWR20" s="18"/>
      <c r="IWS20" s="16"/>
      <c r="IWT20" s="18"/>
      <c r="IWU20" s="16"/>
      <c r="IWV20" s="18"/>
      <c r="IWW20" s="16"/>
      <c r="IWX20" s="18"/>
      <c r="IWY20" s="16"/>
      <c r="IWZ20" s="18"/>
      <c r="IXA20" s="16"/>
      <c r="IXB20" s="18"/>
      <c r="IXC20" s="16"/>
      <c r="IXD20" s="18"/>
      <c r="IXE20" s="16"/>
      <c r="IXF20" s="18"/>
      <c r="IXG20" s="16"/>
      <c r="IXH20" s="18"/>
      <c r="IXI20" s="16"/>
      <c r="IXJ20" s="18"/>
      <c r="IXK20" s="16"/>
      <c r="IXL20" s="18"/>
      <c r="IXM20" s="16"/>
      <c r="IXN20" s="18"/>
      <c r="IXO20" s="16"/>
      <c r="IXP20" s="18"/>
      <c r="IXQ20" s="16"/>
      <c r="IXR20" s="18"/>
      <c r="IXS20" s="16"/>
      <c r="IXT20" s="18"/>
      <c r="IXU20" s="16"/>
      <c r="IXV20" s="18"/>
      <c r="IXW20" s="16"/>
      <c r="IXX20" s="18"/>
      <c r="IXY20" s="16"/>
      <c r="IXZ20" s="18"/>
      <c r="IYA20" s="16"/>
      <c r="IYB20" s="18"/>
      <c r="IYC20" s="16"/>
      <c r="IYD20" s="18"/>
      <c r="IYE20" s="16"/>
      <c r="IYF20" s="18"/>
      <c r="IYG20" s="16"/>
      <c r="IYH20" s="18"/>
      <c r="IYI20" s="16"/>
      <c r="IYJ20" s="18"/>
      <c r="IYK20" s="16"/>
      <c r="IYL20" s="18"/>
      <c r="IYM20" s="16"/>
      <c r="IYN20" s="18"/>
      <c r="IYO20" s="16"/>
      <c r="IYP20" s="18"/>
      <c r="IYQ20" s="16"/>
      <c r="IYR20" s="18"/>
      <c r="IYS20" s="16"/>
      <c r="IYT20" s="18"/>
      <c r="IYU20" s="16"/>
      <c r="IYV20" s="18"/>
      <c r="IYW20" s="16"/>
      <c r="IYX20" s="18"/>
      <c r="IYY20" s="16"/>
      <c r="IYZ20" s="18"/>
      <c r="IZA20" s="16"/>
      <c r="IZB20" s="18"/>
      <c r="IZC20" s="16"/>
      <c r="IZD20" s="18"/>
      <c r="IZE20" s="16"/>
      <c r="IZF20" s="18"/>
      <c r="IZG20" s="16"/>
      <c r="IZH20" s="18"/>
      <c r="IZI20" s="16"/>
      <c r="IZJ20" s="18"/>
      <c r="IZK20" s="16"/>
      <c r="IZL20" s="18"/>
      <c r="IZM20" s="16"/>
      <c r="IZN20" s="18"/>
      <c r="IZO20" s="16"/>
      <c r="IZP20" s="18"/>
      <c r="IZQ20" s="16"/>
      <c r="IZR20" s="18"/>
      <c r="IZS20" s="16"/>
      <c r="IZT20" s="18"/>
      <c r="IZU20" s="16"/>
      <c r="IZV20" s="18"/>
      <c r="IZW20" s="16"/>
      <c r="IZX20" s="18"/>
      <c r="IZY20" s="16"/>
      <c r="IZZ20" s="18"/>
      <c r="JAA20" s="16"/>
      <c r="JAB20" s="18"/>
      <c r="JAC20" s="16"/>
      <c r="JAD20" s="18"/>
      <c r="JAE20" s="16"/>
      <c r="JAF20" s="18"/>
      <c r="JAG20" s="16"/>
      <c r="JAH20" s="18"/>
      <c r="JAI20" s="16"/>
      <c r="JAJ20" s="18"/>
      <c r="JAK20" s="16"/>
      <c r="JAL20" s="18"/>
      <c r="JAM20" s="16"/>
      <c r="JAN20" s="18"/>
      <c r="JAO20" s="16"/>
      <c r="JAP20" s="18"/>
      <c r="JAQ20" s="16"/>
      <c r="JAR20" s="18"/>
      <c r="JAS20" s="16"/>
      <c r="JAT20" s="18"/>
      <c r="JAU20" s="16"/>
      <c r="JAV20" s="18"/>
      <c r="JAW20" s="16"/>
      <c r="JAX20" s="18"/>
      <c r="JAY20" s="16"/>
      <c r="JAZ20" s="18"/>
      <c r="JBA20" s="16"/>
      <c r="JBB20" s="18"/>
      <c r="JBC20" s="16"/>
      <c r="JBD20" s="18"/>
      <c r="JBE20" s="16"/>
      <c r="JBF20" s="18"/>
      <c r="JBG20" s="16"/>
      <c r="JBH20" s="18"/>
      <c r="JBI20" s="16"/>
      <c r="JBJ20" s="18"/>
      <c r="JBK20" s="16"/>
      <c r="JBL20" s="18"/>
      <c r="JBM20" s="16"/>
      <c r="JBN20" s="18"/>
      <c r="JBO20" s="16"/>
      <c r="JBP20" s="18"/>
      <c r="JBQ20" s="16"/>
      <c r="JBR20" s="18"/>
      <c r="JBS20" s="16"/>
      <c r="JBT20" s="18"/>
      <c r="JBU20" s="16"/>
      <c r="JBV20" s="18"/>
      <c r="JBW20" s="16"/>
      <c r="JBX20" s="18"/>
      <c r="JBY20" s="16"/>
      <c r="JBZ20" s="18"/>
      <c r="JCA20" s="16"/>
      <c r="JCB20" s="18"/>
      <c r="JCC20" s="16"/>
      <c r="JCD20" s="18"/>
      <c r="JCE20" s="16"/>
      <c r="JCF20" s="18"/>
      <c r="JCG20" s="16"/>
      <c r="JCH20" s="18"/>
      <c r="JCI20" s="16"/>
      <c r="JCJ20" s="18"/>
      <c r="JCK20" s="16"/>
      <c r="JCL20" s="18"/>
      <c r="JCM20" s="16"/>
      <c r="JCN20" s="18"/>
      <c r="JCO20" s="16"/>
      <c r="JCP20" s="18"/>
      <c r="JCQ20" s="16"/>
      <c r="JCR20" s="18"/>
      <c r="JCS20" s="16"/>
      <c r="JCT20" s="18"/>
      <c r="JCU20" s="16"/>
      <c r="JCV20" s="18"/>
      <c r="JCW20" s="16"/>
      <c r="JCX20" s="18"/>
      <c r="JCY20" s="16"/>
      <c r="JCZ20" s="18"/>
      <c r="JDA20" s="16"/>
      <c r="JDB20" s="18"/>
      <c r="JDC20" s="16"/>
      <c r="JDD20" s="18"/>
      <c r="JDE20" s="16"/>
      <c r="JDF20" s="18"/>
      <c r="JDG20" s="16"/>
      <c r="JDH20" s="18"/>
      <c r="JDI20" s="16"/>
      <c r="JDJ20" s="18"/>
      <c r="JDK20" s="16"/>
      <c r="JDL20" s="18"/>
      <c r="JDM20" s="16"/>
      <c r="JDN20" s="18"/>
      <c r="JDO20" s="16"/>
      <c r="JDP20" s="18"/>
      <c r="JDQ20" s="16"/>
      <c r="JDR20" s="18"/>
      <c r="JDS20" s="16"/>
      <c r="JDT20" s="18"/>
      <c r="JDU20" s="16"/>
      <c r="JDV20" s="18"/>
      <c r="JDW20" s="16"/>
      <c r="JDX20" s="18"/>
      <c r="JDY20" s="16"/>
      <c r="JDZ20" s="18"/>
      <c r="JEA20" s="16"/>
      <c r="JEB20" s="18"/>
      <c r="JEC20" s="16"/>
      <c r="JED20" s="18"/>
      <c r="JEE20" s="16"/>
      <c r="JEF20" s="18"/>
      <c r="JEG20" s="16"/>
      <c r="JEH20" s="18"/>
      <c r="JEI20" s="16"/>
      <c r="JEJ20" s="18"/>
      <c r="JEK20" s="16"/>
      <c r="JEL20" s="18"/>
      <c r="JEM20" s="16"/>
      <c r="JEN20" s="18"/>
      <c r="JEO20" s="16"/>
      <c r="JEP20" s="18"/>
      <c r="JEQ20" s="16"/>
      <c r="JER20" s="18"/>
      <c r="JES20" s="16"/>
      <c r="JET20" s="18"/>
      <c r="JEU20" s="16"/>
      <c r="JEV20" s="18"/>
      <c r="JEW20" s="16"/>
      <c r="JEX20" s="18"/>
      <c r="JEY20" s="16"/>
      <c r="JEZ20" s="18"/>
      <c r="JFA20" s="16"/>
      <c r="JFB20" s="18"/>
      <c r="JFC20" s="16"/>
      <c r="JFD20" s="18"/>
      <c r="JFE20" s="16"/>
      <c r="JFF20" s="18"/>
      <c r="JFG20" s="16"/>
      <c r="JFH20" s="18"/>
      <c r="JFI20" s="16"/>
      <c r="JFJ20" s="18"/>
      <c r="JFK20" s="16"/>
      <c r="JFL20" s="18"/>
      <c r="JFM20" s="16"/>
      <c r="JFN20" s="18"/>
      <c r="JFO20" s="16"/>
      <c r="JFP20" s="18"/>
      <c r="JFQ20" s="16"/>
      <c r="JFR20" s="18"/>
      <c r="JFS20" s="16"/>
      <c r="JFT20" s="18"/>
      <c r="JFU20" s="16"/>
      <c r="JFV20" s="18"/>
      <c r="JFW20" s="16"/>
      <c r="JFX20" s="18"/>
      <c r="JFY20" s="16"/>
      <c r="JFZ20" s="18"/>
      <c r="JGA20" s="16"/>
      <c r="JGB20" s="18"/>
      <c r="JGC20" s="16"/>
      <c r="JGD20" s="18"/>
      <c r="JGE20" s="16"/>
      <c r="JGF20" s="18"/>
      <c r="JGG20" s="16"/>
      <c r="JGH20" s="18"/>
      <c r="JGI20" s="16"/>
      <c r="JGJ20" s="18"/>
      <c r="JGK20" s="16"/>
      <c r="JGL20" s="18"/>
      <c r="JGM20" s="16"/>
      <c r="JGN20" s="18"/>
      <c r="JGO20" s="16"/>
      <c r="JGP20" s="18"/>
      <c r="JGQ20" s="16"/>
      <c r="JGR20" s="18"/>
      <c r="JGS20" s="16"/>
      <c r="JGT20" s="18"/>
      <c r="JGU20" s="16"/>
      <c r="JGV20" s="18"/>
      <c r="JGW20" s="16"/>
      <c r="JGX20" s="18"/>
      <c r="JGY20" s="16"/>
      <c r="JGZ20" s="18"/>
      <c r="JHA20" s="16"/>
      <c r="JHB20" s="18"/>
      <c r="JHC20" s="16"/>
      <c r="JHD20" s="18"/>
      <c r="JHE20" s="16"/>
      <c r="JHF20" s="18"/>
      <c r="JHG20" s="16"/>
      <c r="JHH20" s="18"/>
      <c r="JHI20" s="16"/>
      <c r="JHJ20" s="18"/>
      <c r="JHK20" s="16"/>
      <c r="JHL20" s="18"/>
      <c r="JHM20" s="16"/>
      <c r="JHN20" s="18"/>
      <c r="JHO20" s="16"/>
      <c r="JHP20" s="18"/>
      <c r="JHQ20" s="16"/>
      <c r="JHR20" s="18"/>
      <c r="JHS20" s="16"/>
      <c r="JHT20" s="18"/>
      <c r="JHU20" s="16"/>
      <c r="JHV20" s="18"/>
      <c r="JHW20" s="16"/>
      <c r="JHX20" s="18"/>
      <c r="JHY20" s="16"/>
      <c r="JHZ20" s="18"/>
      <c r="JIA20" s="16"/>
      <c r="JIB20" s="18"/>
      <c r="JIC20" s="16"/>
      <c r="JID20" s="18"/>
      <c r="JIE20" s="16"/>
      <c r="JIF20" s="18"/>
      <c r="JIG20" s="16"/>
      <c r="JIH20" s="18"/>
      <c r="JII20" s="16"/>
      <c r="JIJ20" s="18"/>
      <c r="JIK20" s="16"/>
      <c r="JIL20" s="18"/>
      <c r="JIM20" s="16"/>
      <c r="JIN20" s="18"/>
      <c r="JIO20" s="16"/>
      <c r="JIP20" s="18"/>
      <c r="JIQ20" s="16"/>
      <c r="JIR20" s="18"/>
      <c r="JIS20" s="16"/>
      <c r="JIT20" s="18"/>
      <c r="JIU20" s="16"/>
      <c r="JIV20" s="18"/>
      <c r="JIW20" s="16"/>
      <c r="JIX20" s="18"/>
      <c r="JIY20" s="16"/>
      <c r="JIZ20" s="18"/>
      <c r="JJA20" s="16"/>
      <c r="JJB20" s="18"/>
      <c r="JJC20" s="16"/>
      <c r="JJD20" s="18"/>
      <c r="JJE20" s="16"/>
      <c r="JJF20" s="18"/>
      <c r="JJG20" s="16"/>
      <c r="JJH20" s="18"/>
      <c r="JJI20" s="16"/>
      <c r="JJJ20" s="18"/>
      <c r="JJK20" s="16"/>
      <c r="JJL20" s="18"/>
      <c r="JJM20" s="16"/>
      <c r="JJN20" s="18"/>
      <c r="JJO20" s="16"/>
      <c r="JJP20" s="18"/>
      <c r="JJQ20" s="16"/>
      <c r="JJR20" s="18"/>
      <c r="JJS20" s="16"/>
      <c r="JJT20" s="18"/>
      <c r="JJU20" s="16"/>
      <c r="JJV20" s="18"/>
      <c r="JJW20" s="16"/>
      <c r="JJX20" s="18"/>
      <c r="JJY20" s="16"/>
      <c r="JJZ20" s="18"/>
      <c r="JKA20" s="16"/>
      <c r="JKB20" s="18"/>
      <c r="JKC20" s="16"/>
      <c r="JKD20" s="18"/>
      <c r="JKE20" s="16"/>
      <c r="JKF20" s="18"/>
      <c r="JKG20" s="16"/>
      <c r="JKH20" s="18"/>
      <c r="JKI20" s="16"/>
      <c r="JKJ20" s="18"/>
      <c r="JKK20" s="16"/>
      <c r="JKL20" s="18"/>
      <c r="JKM20" s="16"/>
      <c r="JKN20" s="18"/>
      <c r="JKO20" s="16"/>
      <c r="JKP20" s="18"/>
      <c r="JKQ20" s="16"/>
      <c r="JKR20" s="18"/>
      <c r="JKS20" s="16"/>
      <c r="JKT20" s="18"/>
      <c r="JKU20" s="16"/>
      <c r="JKV20" s="18"/>
      <c r="JKW20" s="16"/>
      <c r="JKX20" s="18"/>
      <c r="JKY20" s="16"/>
      <c r="JKZ20" s="18"/>
      <c r="JLA20" s="16"/>
      <c r="JLB20" s="18"/>
      <c r="JLC20" s="16"/>
      <c r="JLD20" s="18"/>
      <c r="JLE20" s="16"/>
      <c r="JLF20" s="18"/>
      <c r="JLG20" s="16"/>
      <c r="JLH20" s="18"/>
      <c r="JLI20" s="16"/>
      <c r="JLJ20" s="18"/>
      <c r="JLK20" s="16"/>
      <c r="JLL20" s="18"/>
      <c r="JLM20" s="16"/>
      <c r="JLN20" s="18"/>
      <c r="JLO20" s="16"/>
      <c r="JLP20" s="18"/>
      <c r="JLQ20" s="16"/>
      <c r="JLR20" s="18"/>
      <c r="JLS20" s="16"/>
      <c r="JLT20" s="18"/>
      <c r="JLU20" s="16"/>
      <c r="JLV20" s="18"/>
      <c r="JLW20" s="16"/>
      <c r="JLX20" s="18"/>
      <c r="JLY20" s="16"/>
      <c r="JLZ20" s="18"/>
      <c r="JMA20" s="16"/>
      <c r="JMB20" s="18"/>
      <c r="JMC20" s="16"/>
      <c r="JMD20" s="18"/>
      <c r="JME20" s="16"/>
      <c r="JMF20" s="18"/>
      <c r="JMG20" s="16"/>
      <c r="JMH20" s="18"/>
      <c r="JMI20" s="16"/>
      <c r="JMJ20" s="18"/>
      <c r="JMK20" s="16"/>
      <c r="JML20" s="18"/>
      <c r="JMM20" s="16"/>
      <c r="JMN20" s="18"/>
      <c r="JMO20" s="16"/>
      <c r="JMP20" s="18"/>
      <c r="JMQ20" s="16"/>
      <c r="JMR20" s="18"/>
      <c r="JMS20" s="16"/>
      <c r="JMT20" s="18"/>
      <c r="JMU20" s="16"/>
      <c r="JMV20" s="18"/>
      <c r="JMW20" s="16"/>
      <c r="JMX20" s="18"/>
      <c r="JMY20" s="16"/>
      <c r="JMZ20" s="18"/>
      <c r="JNA20" s="16"/>
      <c r="JNB20" s="18"/>
      <c r="JNC20" s="16"/>
      <c r="JND20" s="18"/>
      <c r="JNE20" s="16"/>
      <c r="JNF20" s="18"/>
      <c r="JNG20" s="16"/>
      <c r="JNH20" s="18"/>
      <c r="JNI20" s="16"/>
      <c r="JNJ20" s="18"/>
      <c r="JNK20" s="16"/>
      <c r="JNL20" s="18"/>
      <c r="JNM20" s="16"/>
      <c r="JNN20" s="18"/>
      <c r="JNO20" s="16"/>
      <c r="JNP20" s="18"/>
      <c r="JNQ20" s="16"/>
      <c r="JNR20" s="18"/>
      <c r="JNS20" s="16"/>
      <c r="JNT20" s="18"/>
      <c r="JNU20" s="16"/>
      <c r="JNV20" s="18"/>
      <c r="JNW20" s="16"/>
      <c r="JNX20" s="18"/>
      <c r="JNY20" s="16"/>
      <c r="JNZ20" s="18"/>
      <c r="JOA20" s="16"/>
      <c r="JOB20" s="18"/>
      <c r="JOC20" s="16"/>
      <c r="JOD20" s="18"/>
      <c r="JOE20" s="16"/>
      <c r="JOF20" s="18"/>
      <c r="JOG20" s="16"/>
      <c r="JOH20" s="18"/>
      <c r="JOI20" s="16"/>
      <c r="JOJ20" s="18"/>
      <c r="JOK20" s="16"/>
      <c r="JOL20" s="18"/>
      <c r="JOM20" s="16"/>
      <c r="JON20" s="18"/>
      <c r="JOO20" s="16"/>
      <c r="JOP20" s="18"/>
      <c r="JOQ20" s="16"/>
      <c r="JOR20" s="18"/>
      <c r="JOS20" s="16"/>
      <c r="JOT20" s="18"/>
      <c r="JOU20" s="16"/>
      <c r="JOV20" s="18"/>
      <c r="JOW20" s="16"/>
      <c r="JOX20" s="18"/>
      <c r="JOY20" s="16"/>
      <c r="JOZ20" s="18"/>
      <c r="JPA20" s="16"/>
      <c r="JPB20" s="18"/>
      <c r="JPC20" s="16"/>
      <c r="JPD20" s="18"/>
      <c r="JPE20" s="16"/>
      <c r="JPF20" s="18"/>
      <c r="JPG20" s="16"/>
      <c r="JPH20" s="18"/>
      <c r="JPI20" s="16"/>
      <c r="JPJ20" s="18"/>
      <c r="JPK20" s="16"/>
      <c r="JPL20" s="18"/>
      <c r="JPM20" s="16"/>
      <c r="JPN20" s="18"/>
      <c r="JPO20" s="16"/>
      <c r="JPP20" s="18"/>
      <c r="JPQ20" s="16"/>
      <c r="JPR20" s="18"/>
      <c r="JPS20" s="16"/>
      <c r="JPT20" s="18"/>
      <c r="JPU20" s="16"/>
      <c r="JPV20" s="18"/>
      <c r="JPW20" s="16"/>
      <c r="JPX20" s="18"/>
      <c r="JPY20" s="16"/>
      <c r="JPZ20" s="18"/>
      <c r="JQA20" s="16"/>
      <c r="JQB20" s="18"/>
      <c r="JQC20" s="16"/>
      <c r="JQD20" s="18"/>
      <c r="JQE20" s="16"/>
      <c r="JQF20" s="18"/>
      <c r="JQG20" s="16"/>
      <c r="JQH20" s="18"/>
      <c r="JQI20" s="16"/>
      <c r="JQJ20" s="18"/>
      <c r="JQK20" s="16"/>
      <c r="JQL20" s="18"/>
      <c r="JQM20" s="16"/>
      <c r="JQN20" s="18"/>
      <c r="JQO20" s="16"/>
      <c r="JQP20" s="18"/>
      <c r="JQQ20" s="16"/>
      <c r="JQR20" s="18"/>
      <c r="JQS20" s="16"/>
      <c r="JQT20" s="18"/>
      <c r="JQU20" s="16"/>
      <c r="JQV20" s="18"/>
      <c r="JQW20" s="16"/>
      <c r="JQX20" s="18"/>
      <c r="JQY20" s="16"/>
      <c r="JQZ20" s="18"/>
      <c r="JRA20" s="16"/>
      <c r="JRB20" s="18"/>
      <c r="JRC20" s="16"/>
      <c r="JRD20" s="18"/>
      <c r="JRE20" s="16"/>
      <c r="JRF20" s="18"/>
      <c r="JRG20" s="16"/>
      <c r="JRH20" s="18"/>
      <c r="JRI20" s="16"/>
      <c r="JRJ20" s="18"/>
      <c r="JRK20" s="16"/>
      <c r="JRL20" s="18"/>
      <c r="JRM20" s="16"/>
      <c r="JRN20" s="18"/>
      <c r="JRO20" s="16"/>
      <c r="JRP20" s="18"/>
      <c r="JRQ20" s="16"/>
      <c r="JRR20" s="18"/>
      <c r="JRS20" s="16"/>
      <c r="JRT20" s="18"/>
      <c r="JRU20" s="16"/>
      <c r="JRV20" s="18"/>
      <c r="JRW20" s="16"/>
      <c r="JRX20" s="18"/>
      <c r="JRY20" s="16"/>
      <c r="JRZ20" s="18"/>
      <c r="JSA20" s="16"/>
      <c r="JSB20" s="18"/>
      <c r="JSC20" s="16"/>
      <c r="JSD20" s="18"/>
      <c r="JSE20" s="16"/>
      <c r="JSF20" s="18"/>
      <c r="JSG20" s="16"/>
      <c r="JSH20" s="18"/>
      <c r="JSI20" s="16"/>
      <c r="JSJ20" s="18"/>
      <c r="JSK20" s="16"/>
      <c r="JSL20" s="18"/>
      <c r="JSM20" s="16"/>
      <c r="JSN20" s="18"/>
      <c r="JSO20" s="16"/>
      <c r="JSP20" s="18"/>
      <c r="JSQ20" s="16"/>
      <c r="JSR20" s="18"/>
      <c r="JSS20" s="16"/>
      <c r="JST20" s="18"/>
      <c r="JSU20" s="16"/>
      <c r="JSV20" s="18"/>
      <c r="JSW20" s="16"/>
      <c r="JSX20" s="18"/>
      <c r="JSY20" s="16"/>
      <c r="JSZ20" s="18"/>
      <c r="JTA20" s="16"/>
      <c r="JTB20" s="18"/>
      <c r="JTC20" s="16"/>
      <c r="JTD20" s="18"/>
      <c r="JTE20" s="16"/>
      <c r="JTF20" s="18"/>
      <c r="JTG20" s="16"/>
      <c r="JTH20" s="18"/>
      <c r="JTI20" s="16"/>
      <c r="JTJ20" s="18"/>
      <c r="JTK20" s="16"/>
      <c r="JTL20" s="18"/>
      <c r="JTM20" s="16"/>
      <c r="JTN20" s="18"/>
      <c r="JTO20" s="16"/>
      <c r="JTP20" s="18"/>
      <c r="JTQ20" s="16"/>
      <c r="JTR20" s="18"/>
      <c r="JTS20" s="16"/>
      <c r="JTT20" s="18"/>
      <c r="JTU20" s="16"/>
      <c r="JTV20" s="18"/>
      <c r="JTW20" s="16"/>
      <c r="JTX20" s="18"/>
      <c r="JTY20" s="16"/>
      <c r="JTZ20" s="18"/>
      <c r="JUA20" s="16"/>
      <c r="JUB20" s="18"/>
      <c r="JUC20" s="16"/>
      <c r="JUD20" s="18"/>
      <c r="JUE20" s="16"/>
      <c r="JUF20" s="18"/>
      <c r="JUG20" s="16"/>
      <c r="JUH20" s="18"/>
      <c r="JUI20" s="16"/>
      <c r="JUJ20" s="18"/>
      <c r="JUK20" s="16"/>
      <c r="JUL20" s="18"/>
      <c r="JUM20" s="16"/>
      <c r="JUN20" s="18"/>
      <c r="JUO20" s="16"/>
      <c r="JUP20" s="18"/>
      <c r="JUQ20" s="16"/>
      <c r="JUR20" s="18"/>
      <c r="JUS20" s="16"/>
      <c r="JUT20" s="18"/>
      <c r="JUU20" s="16"/>
      <c r="JUV20" s="18"/>
      <c r="JUW20" s="16"/>
      <c r="JUX20" s="18"/>
      <c r="JUY20" s="16"/>
      <c r="JUZ20" s="18"/>
      <c r="JVA20" s="16"/>
      <c r="JVB20" s="18"/>
      <c r="JVC20" s="16"/>
      <c r="JVD20" s="18"/>
      <c r="JVE20" s="16"/>
      <c r="JVF20" s="18"/>
      <c r="JVG20" s="16"/>
      <c r="JVH20" s="18"/>
      <c r="JVI20" s="16"/>
      <c r="JVJ20" s="18"/>
      <c r="JVK20" s="16"/>
      <c r="JVL20" s="18"/>
      <c r="JVM20" s="16"/>
      <c r="JVN20" s="18"/>
      <c r="JVO20" s="16"/>
      <c r="JVP20" s="18"/>
      <c r="JVQ20" s="16"/>
      <c r="JVR20" s="18"/>
      <c r="JVS20" s="16"/>
      <c r="JVT20" s="18"/>
      <c r="JVU20" s="16"/>
      <c r="JVV20" s="18"/>
      <c r="JVW20" s="16"/>
      <c r="JVX20" s="18"/>
      <c r="JVY20" s="16"/>
      <c r="JVZ20" s="18"/>
      <c r="JWA20" s="16"/>
      <c r="JWB20" s="18"/>
      <c r="JWC20" s="16"/>
      <c r="JWD20" s="18"/>
      <c r="JWE20" s="16"/>
      <c r="JWF20" s="18"/>
      <c r="JWG20" s="16"/>
      <c r="JWH20" s="18"/>
      <c r="JWI20" s="16"/>
      <c r="JWJ20" s="18"/>
      <c r="JWK20" s="16"/>
      <c r="JWL20" s="18"/>
      <c r="JWM20" s="16"/>
      <c r="JWN20" s="18"/>
      <c r="JWO20" s="16"/>
      <c r="JWP20" s="18"/>
      <c r="JWQ20" s="16"/>
      <c r="JWR20" s="18"/>
      <c r="JWS20" s="16"/>
      <c r="JWT20" s="18"/>
      <c r="JWU20" s="16"/>
      <c r="JWV20" s="18"/>
      <c r="JWW20" s="16"/>
      <c r="JWX20" s="18"/>
      <c r="JWY20" s="16"/>
      <c r="JWZ20" s="18"/>
      <c r="JXA20" s="16"/>
      <c r="JXB20" s="18"/>
      <c r="JXC20" s="16"/>
      <c r="JXD20" s="18"/>
      <c r="JXE20" s="16"/>
      <c r="JXF20" s="18"/>
      <c r="JXG20" s="16"/>
      <c r="JXH20" s="18"/>
      <c r="JXI20" s="16"/>
      <c r="JXJ20" s="18"/>
      <c r="JXK20" s="16"/>
      <c r="JXL20" s="18"/>
      <c r="JXM20" s="16"/>
      <c r="JXN20" s="18"/>
      <c r="JXO20" s="16"/>
      <c r="JXP20" s="18"/>
      <c r="JXQ20" s="16"/>
      <c r="JXR20" s="18"/>
      <c r="JXS20" s="16"/>
      <c r="JXT20" s="18"/>
      <c r="JXU20" s="16"/>
      <c r="JXV20" s="18"/>
      <c r="JXW20" s="16"/>
      <c r="JXX20" s="18"/>
      <c r="JXY20" s="16"/>
      <c r="JXZ20" s="18"/>
      <c r="JYA20" s="16"/>
      <c r="JYB20" s="18"/>
      <c r="JYC20" s="16"/>
      <c r="JYD20" s="18"/>
      <c r="JYE20" s="16"/>
      <c r="JYF20" s="18"/>
      <c r="JYG20" s="16"/>
      <c r="JYH20" s="18"/>
      <c r="JYI20" s="16"/>
      <c r="JYJ20" s="18"/>
      <c r="JYK20" s="16"/>
      <c r="JYL20" s="18"/>
      <c r="JYM20" s="16"/>
      <c r="JYN20" s="18"/>
      <c r="JYO20" s="16"/>
      <c r="JYP20" s="18"/>
      <c r="JYQ20" s="16"/>
      <c r="JYR20" s="18"/>
      <c r="JYS20" s="16"/>
      <c r="JYT20" s="18"/>
      <c r="JYU20" s="16"/>
      <c r="JYV20" s="18"/>
      <c r="JYW20" s="16"/>
      <c r="JYX20" s="18"/>
      <c r="JYY20" s="16"/>
      <c r="JYZ20" s="18"/>
      <c r="JZA20" s="16"/>
      <c r="JZB20" s="18"/>
      <c r="JZC20" s="16"/>
      <c r="JZD20" s="18"/>
      <c r="JZE20" s="16"/>
      <c r="JZF20" s="18"/>
      <c r="JZG20" s="16"/>
      <c r="JZH20" s="18"/>
      <c r="JZI20" s="16"/>
      <c r="JZJ20" s="18"/>
      <c r="JZK20" s="16"/>
      <c r="JZL20" s="18"/>
      <c r="JZM20" s="16"/>
      <c r="JZN20" s="18"/>
      <c r="JZO20" s="16"/>
      <c r="JZP20" s="18"/>
      <c r="JZQ20" s="16"/>
      <c r="JZR20" s="18"/>
      <c r="JZS20" s="16"/>
      <c r="JZT20" s="18"/>
      <c r="JZU20" s="16"/>
      <c r="JZV20" s="18"/>
      <c r="JZW20" s="16"/>
      <c r="JZX20" s="18"/>
      <c r="JZY20" s="16"/>
      <c r="JZZ20" s="18"/>
      <c r="KAA20" s="16"/>
      <c r="KAB20" s="18"/>
      <c r="KAC20" s="16"/>
      <c r="KAD20" s="18"/>
      <c r="KAE20" s="16"/>
      <c r="KAF20" s="18"/>
      <c r="KAG20" s="16"/>
      <c r="KAH20" s="18"/>
      <c r="KAI20" s="16"/>
      <c r="KAJ20" s="18"/>
      <c r="KAK20" s="16"/>
      <c r="KAL20" s="18"/>
      <c r="KAM20" s="16"/>
      <c r="KAN20" s="18"/>
      <c r="KAO20" s="16"/>
      <c r="KAP20" s="18"/>
      <c r="KAQ20" s="16"/>
      <c r="KAR20" s="18"/>
      <c r="KAS20" s="16"/>
      <c r="KAT20" s="18"/>
      <c r="KAU20" s="16"/>
      <c r="KAV20" s="18"/>
      <c r="KAW20" s="16"/>
      <c r="KAX20" s="18"/>
      <c r="KAY20" s="16"/>
      <c r="KAZ20" s="18"/>
      <c r="KBA20" s="16"/>
      <c r="KBB20" s="18"/>
      <c r="KBC20" s="16"/>
      <c r="KBD20" s="18"/>
      <c r="KBE20" s="16"/>
      <c r="KBF20" s="18"/>
      <c r="KBG20" s="16"/>
      <c r="KBH20" s="18"/>
      <c r="KBI20" s="16"/>
      <c r="KBJ20" s="18"/>
      <c r="KBK20" s="16"/>
      <c r="KBL20" s="18"/>
      <c r="KBM20" s="16"/>
      <c r="KBN20" s="18"/>
      <c r="KBO20" s="16"/>
      <c r="KBP20" s="18"/>
      <c r="KBQ20" s="16"/>
      <c r="KBR20" s="18"/>
      <c r="KBS20" s="16"/>
      <c r="KBT20" s="18"/>
      <c r="KBU20" s="16"/>
      <c r="KBV20" s="18"/>
      <c r="KBW20" s="16"/>
      <c r="KBX20" s="18"/>
      <c r="KBY20" s="16"/>
      <c r="KBZ20" s="18"/>
      <c r="KCA20" s="16"/>
      <c r="KCB20" s="18"/>
      <c r="KCC20" s="16"/>
      <c r="KCD20" s="18"/>
      <c r="KCE20" s="16"/>
      <c r="KCF20" s="18"/>
      <c r="KCG20" s="16"/>
      <c r="KCH20" s="18"/>
      <c r="KCI20" s="16"/>
      <c r="KCJ20" s="18"/>
      <c r="KCK20" s="16"/>
      <c r="KCL20" s="18"/>
      <c r="KCM20" s="16"/>
      <c r="KCN20" s="18"/>
      <c r="KCO20" s="16"/>
      <c r="KCP20" s="18"/>
      <c r="KCQ20" s="16"/>
      <c r="KCR20" s="18"/>
      <c r="KCS20" s="16"/>
      <c r="KCT20" s="18"/>
      <c r="KCU20" s="16"/>
      <c r="KCV20" s="18"/>
      <c r="KCW20" s="16"/>
      <c r="KCX20" s="18"/>
      <c r="KCY20" s="16"/>
      <c r="KCZ20" s="18"/>
      <c r="KDA20" s="16"/>
      <c r="KDB20" s="18"/>
      <c r="KDC20" s="16"/>
      <c r="KDD20" s="18"/>
      <c r="KDE20" s="16"/>
      <c r="KDF20" s="18"/>
      <c r="KDG20" s="16"/>
      <c r="KDH20" s="18"/>
      <c r="KDI20" s="16"/>
      <c r="KDJ20" s="18"/>
      <c r="KDK20" s="16"/>
      <c r="KDL20" s="18"/>
      <c r="KDM20" s="16"/>
      <c r="KDN20" s="18"/>
      <c r="KDO20" s="16"/>
      <c r="KDP20" s="18"/>
      <c r="KDQ20" s="16"/>
      <c r="KDR20" s="18"/>
      <c r="KDS20" s="16"/>
      <c r="KDT20" s="18"/>
      <c r="KDU20" s="16"/>
      <c r="KDV20" s="18"/>
      <c r="KDW20" s="16"/>
      <c r="KDX20" s="18"/>
      <c r="KDY20" s="16"/>
      <c r="KDZ20" s="18"/>
      <c r="KEA20" s="16"/>
      <c r="KEB20" s="18"/>
      <c r="KEC20" s="16"/>
      <c r="KED20" s="18"/>
      <c r="KEE20" s="16"/>
      <c r="KEF20" s="18"/>
      <c r="KEG20" s="16"/>
      <c r="KEH20" s="18"/>
      <c r="KEI20" s="16"/>
      <c r="KEJ20" s="18"/>
      <c r="KEK20" s="16"/>
      <c r="KEL20" s="18"/>
      <c r="KEM20" s="16"/>
      <c r="KEN20" s="18"/>
      <c r="KEO20" s="16"/>
      <c r="KEP20" s="18"/>
      <c r="KEQ20" s="16"/>
      <c r="KER20" s="18"/>
      <c r="KES20" s="16"/>
      <c r="KET20" s="18"/>
      <c r="KEU20" s="16"/>
      <c r="KEV20" s="18"/>
      <c r="KEW20" s="16"/>
      <c r="KEX20" s="18"/>
      <c r="KEY20" s="16"/>
      <c r="KEZ20" s="18"/>
      <c r="KFA20" s="16"/>
      <c r="KFB20" s="18"/>
      <c r="KFC20" s="16"/>
      <c r="KFD20" s="18"/>
      <c r="KFE20" s="16"/>
      <c r="KFF20" s="18"/>
      <c r="KFG20" s="16"/>
      <c r="KFH20" s="18"/>
      <c r="KFI20" s="16"/>
      <c r="KFJ20" s="18"/>
      <c r="KFK20" s="16"/>
      <c r="KFL20" s="18"/>
      <c r="KFM20" s="16"/>
      <c r="KFN20" s="18"/>
      <c r="KFO20" s="16"/>
      <c r="KFP20" s="18"/>
      <c r="KFQ20" s="16"/>
      <c r="KFR20" s="18"/>
      <c r="KFS20" s="16"/>
      <c r="KFT20" s="18"/>
      <c r="KFU20" s="16"/>
      <c r="KFV20" s="18"/>
      <c r="KFW20" s="16"/>
      <c r="KFX20" s="18"/>
      <c r="KFY20" s="16"/>
      <c r="KFZ20" s="18"/>
      <c r="KGA20" s="16"/>
      <c r="KGB20" s="18"/>
      <c r="KGC20" s="16"/>
      <c r="KGD20" s="18"/>
      <c r="KGE20" s="16"/>
      <c r="KGF20" s="18"/>
      <c r="KGG20" s="16"/>
      <c r="KGH20" s="18"/>
      <c r="KGI20" s="16"/>
      <c r="KGJ20" s="18"/>
      <c r="KGK20" s="16"/>
      <c r="KGL20" s="18"/>
      <c r="KGM20" s="16"/>
      <c r="KGN20" s="18"/>
      <c r="KGO20" s="16"/>
      <c r="KGP20" s="18"/>
      <c r="KGQ20" s="16"/>
      <c r="KGR20" s="18"/>
      <c r="KGS20" s="16"/>
      <c r="KGT20" s="18"/>
      <c r="KGU20" s="16"/>
      <c r="KGV20" s="18"/>
      <c r="KGW20" s="16"/>
      <c r="KGX20" s="18"/>
      <c r="KGY20" s="16"/>
      <c r="KGZ20" s="18"/>
      <c r="KHA20" s="16"/>
      <c r="KHB20" s="18"/>
      <c r="KHC20" s="16"/>
      <c r="KHD20" s="18"/>
      <c r="KHE20" s="16"/>
      <c r="KHF20" s="18"/>
      <c r="KHG20" s="16"/>
      <c r="KHH20" s="18"/>
      <c r="KHI20" s="16"/>
      <c r="KHJ20" s="18"/>
      <c r="KHK20" s="16"/>
      <c r="KHL20" s="18"/>
      <c r="KHM20" s="16"/>
      <c r="KHN20" s="18"/>
      <c r="KHO20" s="16"/>
      <c r="KHP20" s="18"/>
      <c r="KHQ20" s="16"/>
      <c r="KHR20" s="18"/>
      <c r="KHS20" s="16"/>
      <c r="KHT20" s="18"/>
      <c r="KHU20" s="16"/>
      <c r="KHV20" s="18"/>
      <c r="KHW20" s="16"/>
      <c r="KHX20" s="18"/>
      <c r="KHY20" s="16"/>
      <c r="KHZ20" s="18"/>
      <c r="KIA20" s="16"/>
      <c r="KIB20" s="18"/>
      <c r="KIC20" s="16"/>
      <c r="KID20" s="18"/>
      <c r="KIE20" s="16"/>
      <c r="KIF20" s="18"/>
      <c r="KIG20" s="16"/>
      <c r="KIH20" s="18"/>
      <c r="KII20" s="16"/>
      <c r="KIJ20" s="18"/>
      <c r="KIK20" s="16"/>
      <c r="KIL20" s="18"/>
      <c r="KIM20" s="16"/>
      <c r="KIN20" s="18"/>
      <c r="KIO20" s="16"/>
      <c r="KIP20" s="18"/>
      <c r="KIQ20" s="16"/>
      <c r="KIR20" s="18"/>
      <c r="KIS20" s="16"/>
      <c r="KIT20" s="18"/>
      <c r="KIU20" s="16"/>
      <c r="KIV20" s="18"/>
      <c r="KIW20" s="16"/>
      <c r="KIX20" s="18"/>
      <c r="KIY20" s="16"/>
      <c r="KIZ20" s="18"/>
      <c r="KJA20" s="16"/>
      <c r="KJB20" s="18"/>
      <c r="KJC20" s="16"/>
      <c r="KJD20" s="18"/>
      <c r="KJE20" s="16"/>
      <c r="KJF20" s="18"/>
      <c r="KJG20" s="16"/>
      <c r="KJH20" s="18"/>
      <c r="KJI20" s="16"/>
      <c r="KJJ20" s="18"/>
      <c r="KJK20" s="16"/>
      <c r="KJL20" s="18"/>
      <c r="KJM20" s="16"/>
      <c r="KJN20" s="18"/>
      <c r="KJO20" s="16"/>
      <c r="KJP20" s="18"/>
      <c r="KJQ20" s="16"/>
      <c r="KJR20" s="18"/>
      <c r="KJS20" s="16"/>
      <c r="KJT20" s="18"/>
      <c r="KJU20" s="16"/>
      <c r="KJV20" s="18"/>
      <c r="KJW20" s="16"/>
      <c r="KJX20" s="18"/>
      <c r="KJY20" s="16"/>
      <c r="KJZ20" s="18"/>
      <c r="KKA20" s="16"/>
      <c r="KKB20" s="18"/>
      <c r="KKC20" s="16"/>
      <c r="KKD20" s="18"/>
      <c r="KKE20" s="16"/>
      <c r="KKF20" s="18"/>
      <c r="KKG20" s="16"/>
      <c r="KKH20" s="18"/>
      <c r="KKI20" s="16"/>
      <c r="KKJ20" s="18"/>
      <c r="KKK20" s="16"/>
      <c r="KKL20" s="18"/>
      <c r="KKM20" s="16"/>
      <c r="KKN20" s="18"/>
      <c r="KKO20" s="16"/>
      <c r="KKP20" s="18"/>
      <c r="KKQ20" s="16"/>
      <c r="KKR20" s="18"/>
      <c r="KKS20" s="16"/>
      <c r="KKT20" s="18"/>
      <c r="KKU20" s="16"/>
      <c r="KKV20" s="18"/>
      <c r="KKW20" s="16"/>
      <c r="KKX20" s="18"/>
      <c r="KKY20" s="16"/>
      <c r="KKZ20" s="18"/>
      <c r="KLA20" s="16"/>
      <c r="KLB20" s="18"/>
      <c r="KLC20" s="16"/>
      <c r="KLD20" s="18"/>
      <c r="KLE20" s="16"/>
      <c r="KLF20" s="18"/>
      <c r="KLG20" s="16"/>
      <c r="KLH20" s="18"/>
      <c r="KLI20" s="16"/>
      <c r="KLJ20" s="18"/>
      <c r="KLK20" s="16"/>
      <c r="KLL20" s="18"/>
      <c r="KLM20" s="16"/>
      <c r="KLN20" s="18"/>
      <c r="KLO20" s="16"/>
      <c r="KLP20" s="18"/>
      <c r="KLQ20" s="16"/>
      <c r="KLR20" s="18"/>
      <c r="KLS20" s="16"/>
      <c r="KLT20" s="18"/>
      <c r="KLU20" s="16"/>
      <c r="KLV20" s="18"/>
      <c r="KLW20" s="16"/>
      <c r="KLX20" s="18"/>
      <c r="KLY20" s="16"/>
      <c r="KLZ20" s="18"/>
      <c r="KMA20" s="16"/>
      <c r="KMB20" s="18"/>
      <c r="KMC20" s="16"/>
      <c r="KMD20" s="18"/>
      <c r="KME20" s="16"/>
      <c r="KMF20" s="18"/>
      <c r="KMG20" s="16"/>
      <c r="KMH20" s="18"/>
      <c r="KMI20" s="16"/>
      <c r="KMJ20" s="18"/>
      <c r="KMK20" s="16"/>
      <c r="KML20" s="18"/>
      <c r="KMM20" s="16"/>
      <c r="KMN20" s="18"/>
      <c r="KMO20" s="16"/>
      <c r="KMP20" s="18"/>
      <c r="KMQ20" s="16"/>
      <c r="KMR20" s="18"/>
      <c r="KMS20" s="16"/>
      <c r="KMT20" s="18"/>
      <c r="KMU20" s="16"/>
      <c r="KMV20" s="18"/>
      <c r="KMW20" s="16"/>
      <c r="KMX20" s="18"/>
      <c r="KMY20" s="16"/>
      <c r="KMZ20" s="18"/>
      <c r="KNA20" s="16"/>
      <c r="KNB20" s="18"/>
      <c r="KNC20" s="16"/>
      <c r="KND20" s="18"/>
      <c r="KNE20" s="16"/>
      <c r="KNF20" s="18"/>
      <c r="KNG20" s="16"/>
      <c r="KNH20" s="18"/>
      <c r="KNI20" s="16"/>
      <c r="KNJ20" s="18"/>
      <c r="KNK20" s="16"/>
      <c r="KNL20" s="18"/>
      <c r="KNM20" s="16"/>
      <c r="KNN20" s="18"/>
      <c r="KNO20" s="16"/>
      <c r="KNP20" s="18"/>
      <c r="KNQ20" s="16"/>
      <c r="KNR20" s="18"/>
      <c r="KNS20" s="16"/>
      <c r="KNT20" s="18"/>
      <c r="KNU20" s="16"/>
      <c r="KNV20" s="18"/>
      <c r="KNW20" s="16"/>
      <c r="KNX20" s="18"/>
      <c r="KNY20" s="16"/>
      <c r="KNZ20" s="18"/>
      <c r="KOA20" s="16"/>
      <c r="KOB20" s="18"/>
      <c r="KOC20" s="16"/>
      <c r="KOD20" s="18"/>
      <c r="KOE20" s="16"/>
      <c r="KOF20" s="18"/>
      <c r="KOG20" s="16"/>
      <c r="KOH20" s="18"/>
      <c r="KOI20" s="16"/>
      <c r="KOJ20" s="18"/>
      <c r="KOK20" s="16"/>
      <c r="KOL20" s="18"/>
      <c r="KOM20" s="16"/>
      <c r="KON20" s="18"/>
      <c r="KOO20" s="16"/>
      <c r="KOP20" s="18"/>
      <c r="KOQ20" s="16"/>
      <c r="KOR20" s="18"/>
      <c r="KOS20" s="16"/>
      <c r="KOT20" s="18"/>
      <c r="KOU20" s="16"/>
      <c r="KOV20" s="18"/>
      <c r="KOW20" s="16"/>
      <c r="KOX20" s="18"/>
      <c r="KOY20" s="16"/>
      <c r="KOZ20" s="18"/>
      <c r="KPA20" s="16"/>
      <c r="KPB20" s="18"/>
      <c r="KPC20" s="16"/>
      <c r="KPD20" s="18"/>
      <c r="KPE20" s="16"/>
      <c r="KPF20" s="18"/>
      <c r="KPG20" s="16"/>
      <c r="KPH20" s="18"/>
      <c r="KPI20" s="16"/>
      <c r="KPJ20" s="18"/>
      <c r="KPK20" s="16"/>
      <c r="KPL20" s="18"/>
      <c r="KPM20" s="16"/>
      <c r="KPN20" s="18"/>
      <c r="KPO20" s="16"/>
      <c r="KPP20" s="18"/>
      <c r="KPQ20" s="16"/>
      <c r="KPR20" s="18"/>
      <c r="KPS20" s="16"/>
      <c r="KPT20" s="18"/>
      <c r="KPU20" s="16"/>
      <c r="KPV20" s="18"/>
      <c r="KPW20" s="16"/>
      <c r="KPX20" s="18"/>
      <c r="KPY20" s="16"/>
      <c r="KPZ20" s="18"/>
      <c r="KQA20" s="16"/>
      <c r="KQB20" s="18"/>
      <c r="KQC20" s="16"/>
      <c r="KQD20" s="18"/>
      <c r="KQE20" s="16"/>
      <c r="KQF20" s="18"/>
      <c r="KQG20" s="16"/>
      <c r="KQH20" s="18"/>
      <c r="KQI20" s="16"/>
      <c r="KQJ20" s="18"/>
      <c r="KQK20" s="16"/>
      <c r="KQL20" s="18"/>
      <c r="KQM20" s="16"/>
      <c r="KQN20" s="18"/>
      <c r="KQO20" s="16"/>
      <c r="KQP20" s="18"/>
      <c r="KQQ20" s="16"/>
      <c r="KQR20" s="18"/>
      <c r="KQS20" s="16"/>
      <c r="KQT20" s="18"/>
      <c r="KQU20" s="16"/>
      <c r="KQV20" s="18"/>
      <c r="KQW20" s="16"/>
      <c r="KQX20" s="18"/>
      <c r="KQY20" s="16"/>
      <c r="KQZ20" s="18"/>
      <c r="KRA20" s="16"/>
      <c r="KRB20" s="18"/>
      <c r="KRC20" s="16"/>
      <c r="KRD20" s="18"/>
      <c r="KRE20" s="16"/>
      <c r="KRF20" s="18"/>
      <c r="KRG20" s="16"/>
      <c r="KRH20" s="18"/>
      <c r="KRI20" s="16"/>
      <c r="KRJ20" s="18"/>
      <c r="KRK20" s="16"/>
      <c r="KRL20" s="18"/>
      <c r="KRM20" s="16"/>
      <c r="KRN20" s="18"/>
      <c r="KRO20" s="16"/>
      <c r="KRP20" s="18"/>
      <c r="KRQ20" s="16"/>
      <c r="KRR20" s="18"/>
      <c r="KRS20" s="16"/>
      <c r="KRT20" s="18"/>
      <c r="KRU20" s="16"/>
      <c r="KRV20" s="18"/>
      <c r="KRW20" s="16"/>
      <c r="KRX20" s="18"/>
      <c r="KRY20" s="16"/>
      <c r="KRZ20" s="18"/>
      <c r="KSA20" s="16"/>
      <c r="KSB20" s="18"/>
      <c r="KSC20" s="16"/>
      <c r="KSD20" s="18"/>
      <c r="KSE20" s="16"/>
      <c r="KSF20" s="18"/>
      <c r="KSG20" s="16"/>
      <c r="KSH20" s="18"/>
      <c r="KSI20" s="16"/>
      <c r="KSJ20" s="18"/>
      <c r="KSK20" s="16"/>
      <c r="KSL20" s="18"/>
      <c r="KSM20" s="16"/>
      <c r="KSN20" s="18"/>
      <c r="KSO20" s="16"/>
      <c r="KSP20" s="18"/>
      <c r="KSQ20" s="16"/>
      <c r="KSR20" s="18"/>
      <c r="KSS20" s="16"/>
      <c r="KST20" s="18"/>
      <c r="KSU20" s="16"/>
      <c r="KSV20" s="18"/>
      <c r="KSW20" s="16"/>
      <c r="KSX20" s="18"/>
      <c r="KSY20" s="16"/>
      <c r="KSZ20" s="18"/>
      <c r="KTA20" s="16"/>
      <c r="KTB20" s="18"/>
      <c r="KTC20" s="16"/>
      <c r="KTD20" s="18"/>
      <c r="KTE20" s="16"/>
      <c r="KTF20" s="18"/>
      <c r="KTG20" s="16"/>
      <c r="KTH20" s="18"/>
      <c r="KTI20" s="16"/>
      <c r="KTJ20" s="18"/>
      <c r="KTK20" s="16"/>
      <c r="KTL20" s="18"/>
      <c r="KTM20" s="16"/>
      <c r="KTN20" s="18"/>
      <c r="KTO20" s="16"/>
      <c r="KTP20" s="18"/>
      <c r="KTQ20" s="16"/>
      <c r="KTR20" s="18"/>
      <c r="KTS20" s="16"/>
      <c r="KTT20" s="18"/>
      <c r="KTU20" s="16"/>
      <c r="KTV20" s="18"/>
      <c r="KTW20" s="16"/>
      <c r="KTX20" s="18"/>
      <c r="KTY20" s="16"/>
      <c r="KTZ20" s="18"/>
      <c r="KUA20" s="16"/>
      <c r="KUB20" s="18"/>
      <c r="KUC20" s="16"/>
      <c r="KUD20" s="18"/>
      <c r="KUE20" s="16"/>
      <c r="KUF20" s="18"/>
      <c r="KUG20" s="16"/>
      <c r="KUH20" s="18"/>
      <c r="KUI20" s="16"/>
      <c r="KUJ20" s="18"/>
      <c r="KUK20" s="16"/>
      <c r="KUL20" s="18"/>
      <c r="KUM20" s="16"/>
      <c r="KUN20" s="18"/>
      <c r="KUO20" s="16"/>
      <c r="KUP20" s="18"/>
      <c r="KUQ20" s="16"/>
      <c r="KUR20" s="18"/>
      <c r="KUS20" s="16"/>
      <c r="KUT20" s="18"/>
      <c r="KUU20" s="16"/>
      <c r="KUV20" s="18"/>
      <c r="KUW20" s="16"/>
      <c r="KUX20" s="18"/>
      <c r="KUY20" s="16"/>
      <c r="KUZ20" s="18"/>
      <c r="KVA20" s="16"/>
      <c r="KVB20" s="18"/>
      <c r="KVC20" s="16"/>
      <c r="KVD20" s="18"/>
      <c r="KVE20" s="16"/>
      <c r="KVF20" s="18"/>
      <c r="KVG20" s="16"/>
      <c r="KVH20" s="18"/>
      <c r="KVI20" s="16"/>
      <c r="KVJ20" s="18"/>
      <c r="KVK20" s="16"/>
      <c r="KVL20" s="18"/>
      <c r="KVM20" s="16"/>
      <c r="KVN20" s="18"/>
      <c r="KVO20" s="16"/>
      <c r="KVP20" s="18"/>
      <c r="KVQ20" s="16"/>
      <c r="KVR20" s="18"/>
      <c r="KVS20" s="16"/>
      <c r="KVT20" s="18"/>
      <c r="KVU20" s="16"/>
      <c r="KVV20" s="18"/>
      <c r="KVW20" s="16"/>
      <c r="KVX20" s="18"/>
      <c r="KVY20" s="16"/>
      <c r="KVZ20" s="18"/>
      <c r="KWA20" s="16"/>
      <c r="KWB20" s="18"/>
      <c r="KWC20" s="16"/>
      <c r="KWD20" s="18"/>
      <c r="KWE20" s="16"/>
      <c r="KWF20" s="18"/>
      <c r="KWG20" s="16"/>
      <c r="KWH20" s="18"/>
      <c r="KWI20" s="16"/>
      <c r="KWJ20" s="18"/>
      <c r="KWK20" s="16"/>
      <c r="KWL20" s="18"/>
      <c r="KWM20" s="16"/>
      <c r="KWN20" s="18"/>
      <c r="KWO20" s="16"/>
      <c r="KWP20" s="18"/>
      <c r="KWQ20" s="16"/>
      <c r="KWR20" s="18"/>
      <c r="KWS20" s="16"/>
      <c r="KWT20" s="18"/>
      <c r="KWU20" s="16"/>
      <c r="KWV20" s="18"/>
      <c r="KWW20" s="16"/>
      <c r="KWX20" s="18"/>
      <c r="KWY20" s="16"/>
      <c r="KWZ20" s="18"/>
      <c r="KXA20" s="16"/>
      <c r="KXB20" s="18"/>
      <c r="KXC20" s="16"/>
      <c r="KXD20" s="18"/>
      <c r="KXE20" s="16"/>
      <c r="KXF20" s="18"/>
      <c r="KXG20" s="16"/>
      <c r="KXH20" s="18"/>
      <c r="KXI20" s="16"/>
      <c r="KXJ20" s="18"/>
      <c r="KXK20" s="16"/>
      <c r="KXL20" s="18"/>
      <c r="KXM20" s="16"/>
      <c r="KXN20" s="18"/>
      <c r="KXO20" s="16"/>
      <c r="KXP20" s="18"/>
      <c r="KXQ20" s="16"/>
      <c r="KXR20" s="18"/>
      <c r="KXS20" s="16"/>
      <c r="KXT20" s="18"/>
      <c r="KXU20" s="16"/>
      <c r="KXV20" s="18"/>
      <c r="KXW20" s="16"/>
      <c r="KXX20" s="18"/>
      <c r="KXY20" s="16"/>
      <c r="KXZ20" s="18"/>
      <c r="KYA20" s="16"/>
      <c r="KYB20" s="18"/>
      <c r="KYC20" s="16"/>
      <c r="KYD20" s="18"/>
      <c r="KYE20" s="16"/>
      <c r="KYF20" s="18"/>
      <c r="KYG20" s="16"/>
      <c r="KYH20" s="18"/>
      <c r="KYI20" s="16"/>
      <c r="KYJ20" s="18"/>
      <c r="KYK20" s="16"/>
      <c r="KYL20" s="18"/>
      <c r="KYM20" s="16"/>
      <c r="KYN20" s="18"/>
      <c r="KYO20" s="16"/>
      <c r="KYP20" s="18"/>
      <c r="KYQ20" s="16"/>
      <c r="KYR20" s="18"/>
      <c r="KYS20" s="16"/>
      <c r="KYT20" s="18"/>
      <c r="KYU20" s="16"/>
      <c r="KYV20" s="18"/>
      <c r="KYW20" s="16"/>
      <c r="KYX20" s="18"/>
      <c r="KYY20" s="16"/>
      <c r="KYZ20" s="18"/>
      <c r="KZA20" s="16"/>
      <c r="KZB20" s="18"/>
      <c r="KZC20" s="16"/>
      <c r="KZD20" s="18"/>
      <c r="KZE20" s="16"/>
      <c r="KZF20" s="18"/>
      <c r="KZG20" s="16"/>
      <c r="KZH20" s="18"/>
      <c r="KZI20" s="16"/>
      <c r="KZJ20" s="18"/>
      <c r="KZK20" s="16"/>
      <c r="KZL20" s="18"/>
      <c r="KZM20" s="16"/>
      <c r="KZN20" s="18"/>
      <c r="KZO20" s="16"/>
      <c r="KZP20" s="18"/>
      <c r="KZQ20" s="16"/>
      <c r="KZR20" s="18"/>
      <c r="KZS20" s="16"/>
      <c r="KZT20" s="18"/>
      <c r="KZU20" s="16"/>
      <c r="KZV20" s="18"/>
      <c r="KZW20" s="16"/>
      <c r="KZX20" s="18"/>
      <c r="KZY20" s="16"/>
      <c r="KZZ20" s="18"/>
      <c r="LAA20" s="16"/>
      <c r="LAB20" s="18"/>
      <c r="LAC20" s="16"/>
      <c r="LAD20" s="18"/>
      <c r="LAE20" s="16"/>
      <c r="LAF20" s="18"/>
      <c r="LAG20" s="16"/>
      <c r="LAH20" s="18"/>
      <c r="LAI20" s="16"/>
      <c r="LAJ20" s="18"/>
      <c r="LAK20" s="16"/>
      <c r="LAL20" s="18"/>
      <c r="LAM20" s="16"/>
      <c r="LAN20" s="18"/>
      <c r="LAO20" s="16"/>
      <c r="LAP20" s="18"/>
      <c r="LAQ20" s="16"/>
      <c r="LAR20" s="18"/>
      <c r="LAS20" s="16"/>
      <c r="LAT20" s="18"/>
      <c r="LAU20" s="16"/>
      <c r="LAV20" s="18"/>
      <c r="LAW20" s="16"/>
      <c r="LAX20" s="18"/>
      <c r="LAY20" s="16"/>
      <c r="LAZ20" s="18"/>
      <c r="LBA20" s="16"/>
      <c r="LBB20" s="18"/>
      <c r="LBC20" s="16"/>
      <c r="LBD20" s="18"/>
      <c r="LBE20" s="16"/>
      <c r="LBF20" s="18"/>
      <c r="LBG20" s="16"/>
      <c r="LBH20" s="18"/>
      <c r="LBI20" s="16"/>
      <c r="LBJ20" s="18"/>
      <c r="LBK20" s="16"/>
      <c r="LBL20" s="18"/>
      <c r="LBM20" s="16"/>
      <c r="LBN20" s="18"/>
      <c r="LBO20" s="16"/>
      <c r="LBP20" s="18"/>
      <c r="LBQ20" s="16"/>
      <c r="LBR20" s="18"/>
      <c r="LBS20" s="16"/>
      <c r="LBT20" s="18"/>
      <c r="LBU20" s="16"/>
      <c r="LBV20" s="18"/>
      <c r="LBW20" s="16"/>
      <c r="LBX20" s="18"/>
      <c r="LBY20" s="16"/>
      <c r="LBZ20" s="18"/>
      <c r="LCA20" s="16"/>
      <c r="LCB20" s="18"/>
      <c r="LCC20" s="16"/>
      <c r="LCD20" s="18"/>
      <c r="LCE20" s="16"/>
      <c r="LCF20" s="18"/>
      <c r="LCG20" s="16"/>
      <c r="LCH20" s="18"/>
      <c r="LCI20" s="16"/>
      <c r="LCJ20" s="18"/>
      <c r="LCK20" s="16"/>
      <c r="LCL20" s="18"/>
      <c r="LCM20" s="16"/>
      <c r="LCN20" s="18"/>
      <c r="LCO20" s="16"/>
      <c r="LCP20" s="18"/>
      <c r="LCQ20" s="16"/>
      <c r="LCR20" s="18"/>
      <c r="LCS20" s="16"/>
      <c r="LCT20" s="18"/>
      <c r="LCU20" s="16"/>
      <c r="LCV20" s="18"/>
      <c r="LCW20" s="16"/>
      <c r="LCX20" s="18"/>
      <c r="LCY20" s="16"/>
      <c r="LCZ20" s="18"/>
      <c r="LDA20" s="16"/>
      <c r="LDB20" s="18"/>
      <c r="LDC20" s="16"/>
      <c r="LDD20" s="18"/>
      <c r="LDE20" s="16"/>
      <c r="LDF20" s="18"/>
      <c r="LDG20" s="16"/>
      <c r="LDH20" s="18"/>
      <c r="LDI20" s="16"/>
      <c r="LDJ20" s="18"/>
      <c r="LDK20" s="16"/>
      <c r="LDL20" s="18"/>
      <c r="LDM20" s="16"/>
      <c r="LDN20" s="18"/>
      <c r="LDO20" s="16"/>
      <c r="LDP20" s="18"/>
      <c r="LDQ20" s="16"/>
      <c r="LDR20" s="18"/>
      <c r="LDS20" s="16"/>
      <c r="LDT20" s="18"/>
      <c r="LDU20" s="16"/>
      <c r="LDV20" s="18"/>
      <c r="LDW20" s="16"/>
      <c r="LDX20" s="18"/>
      <c r="LDY20" s="16"/>
      <c r="LDZ20" s="18"/>
      <c r="LEA20" s="16"/>
      <c r="LEB20" s="18"/>
      <c r="LEC20" s="16"/>
      <c r="LED20" s="18"/>
      <c r="LEE20" s="16"/>
      <c r="LEF20" s="18"/>
      <c r="LEG20" s="16"/>
      <c r="LEH20" s="18"/>
      <c r="LEI20" s="16"/>
      <c r="LEJ20" s="18"/>
      <c r="LEK20" s="16"/>
      <c r="LEL20" s="18"/>
      <c r="LEM20" s="16"/>
      <c r="LEN20" s="18"/>
      <c r="LEO20" s="16"/>
      <c r="LEP20" s="18"/>
      <c r="LEQ20" s="16"/>
      <c r="LER20" s="18"/>
      <c r="LES20" s="16"/>
      <c r="LET20" s="18"/>
      <c r="LEU20" s="16"/>
      <c r="LEV20" s="18"/>
      <c r="LEW20" s="16"/>
      <c r="LEX20" s="18"/>
      <c r="LEY20" s="16"/>
      <c r="LEZ20" s="18"/>
      <c r="LFA20" s="16"/>
      <c r="LFB20" s="18"/>
      <c r="LFC20" s="16"/>
      <c r="LFD20" s="18"/>
      <c r="LFE20" s="16"/>
      <c r="LFF20" s="18"/>
      <c r="LFG20" s="16"/>
      <c r="LFH20" s="18"/>
      <c r="LFI20" s="16"/>
      <c r="LFJ20" s="18"/>
      <c r="LFK20" s="16"/>
      <c r="LFL20" s="18"/>
      <c r="LFM20" s="16"/>
      <c r="LFN20" s="18"/>
      <c r="LFO20" s="16"/>
      <c r="LFP20" s="18"/>
      <c r="LFQ20" s="16"/>
      <c r="LFR20" s="18"/>
      <c r="LFS20" s="16"/>
      <c r="LFT20" s="18"/>
      <c r="LFU20" s="16"/>
      <c r="LFV20" s="18"/>
      <c r="LFW20" s="16"/>
      <c r="LFX20" s="18"/>
      <c r="LFY20" s="16"/>
      <c r="LFZ20" s="18"/>
      <c r="LGA20" s="16"/>
      <c r="LGB20" s="18"/>
      <c r="LGC20" s="16"/>
      <c r="LGD20" s="18"/>
      <c r="LGE20" s="16"/>
      <c r="LGF20" s="18"/>
      <c r="LGG20" s="16"/>
      <c r="LGH20" s="18"/>
      <c r="LGI20" s="16"/>
      <c r="LGJ20" s="18"/>
      <c r="LGK20" s="16"/>
      <c r="LGL20" s="18"/>
      <c r="LGM20" s="16"/>
      <c r="LGN20" s="18"/>
      <c r="LGO20" s="16"/>
      <c r="LGP20" s="18"/>
      <c r="LGQ20" s="16"/>
      <c r="LGR20" s="18"/>
      <c r="LGS20" s="16"/>
      <c r="LGT20" s="18"/>
      <c r="LGU20" s="16"/>
      <c r="LGV20" s="18"/>
      <c r="LGW20" s="16"/>
      <c r="LGX20" s="18"/>
      <c r="LGY20" s="16"/>
      <c r="LGZ20" s="18"/>
      <c r="LHA20" s="16"/>
      <c r="LHB20" s="18"/>
      <c r="LHC20" s="16"/>
      <c r="LHD20" s="18"/>
      <c r="LHE20" s="16"/>
      <c r="LHF20" s="18"/>
      <c r="LHG20" s="16"/>
      <c r="LHH20" s="18"/>
      <c r="LHI20" s="16"/>
      <c r="LHJ20" s="18"/>
      <c r="LHK20" s="16"/>
      <c r="LHL20" s="18"/>
      <c r="LHM20" s="16"/>
      <c r="LHN20" s="18"/>
      <c r="LHO20" s="16"/>
      <c r="LHP20" s="18"/>
      <c r="LHQ20" s="16"/>
      <c r="LHR20" s="18"/>
      <c r="LHS20" s="16"/>
      <c r="LHT20" s="18"/>
      <c r="LHU20" s="16"/>
      <c r="LHV20" s="18"/>
      <c r="LHW20" s="16"/>
      <c r="LHX20" s="18"/>
      <c r="LHY20" s="16"/>
      <c r="LHZ20" s="18"/>
      <c r="LIA20" s="16"/>
      <c r="LIB20" s="18"/>
      <c r="LIC20" s="16"/>
      <c r="LID20" s="18"/>
      <c r="LIE20" s="16"/>
      <c r="LIF20" s="18"/>
      <c r="LIG20" s="16"/>
      <c r="LIH20" s="18"/>
      <c r="LII20" s="16"/>
      <c r="LIJ20" s="18"/>
      <c r="LIK20" s="16"/>
      <c r="LIL20" s="18"/>
      <c r="LIM20" s="16"/>
      <c r="LIN20" s="18"/>
      <c r="LIO20" s="16"/>
      <c r="LIP20" s="18"/>
      <c r="LIQ20" s="16"/>
      <c r="LIR20" s="18"/>
      <c r="LIS20" s="16"/>
      <c r="LIT20" s="18"/>
      <c r="LIU20" s="16"/>
      <c r="LIV20" s="18"/>
      <c r="LIW20" s="16"/>
      <c r="LIX20" s="18"/>
      <c r="LIY20" s="16"/>
      <c r="LIZ20" s="18"/>
      <c r="LJA20" s="16"/>
      <c r="LJB20" s="18"/>
      <c r="LJC20" s="16"/>
      <c r="LJD20" s="18"/>
      <c r="LJE20" s="16"/>
      <c r="LJF20" s="18"/>
      <c r="LJG20" s="16"/>
      <c r="LJH20" s="18"/>
      <c r="LJI20" s="16"/>
      <c r="LJJ20" s="18"/>
      <c r="LJK20" s="16"/>
      <c r="LJL20" s="18"/>
      <c r="LJM20" s="16"/>
      <c r="LJN20" s="18"/>
      <c r="LJO20" s="16"/>
      <c r="LJP20" s="18"/>
      <c r="LJQ20" s="16"/>
      <c r="LJR20" s="18"/>
      <c r="LJS20" s="16"/>
      <c r="LJT20" s="18"/>
      <c r="LJU20" s="16"/>
      <c r="LJV20" s="18"/>
      <c r="LJW20" s="16"/>
      <c r="LJX20" s="18"/>
      <c r="LJY20" s="16"/>
      <c r="LJZ20" s="18"/>
      <c r="LKA20" s="16"/>
      <c r="LKB20" s="18"/>
      <c r="LKC20" s="16"/>
      <c r="LKD20" s="18"/>
      <c r="LKE20" s="16"/>
      <c r="LKF20" s="18"/>
      <c r="LKG20" s="16"/>
      <c r="LKH20" s="18"/>
      <c r="LKI20" s="16"/>
      <c r="LKJ20" s="18"/>
      <c r="LKK20" s="16"/>
      <c r="LKL20" s="18"/>
      <c r="LKM20" s="16"/>
      <c r="LKN20" s="18"/>
      <c r="LKO20" s="16"/>
      <c r="LKP20" s="18"/>
      <c r="LKQ20" s="16"/>
      <c r="LKR20" s="18"/>
      <c r="LKS20" s="16"/>
      <c r="LKT20" s="18"/>
      <c r="LKU20" s="16"/>
      <c r="LKV20" s="18"/>
      <c r="LKW20" s="16"/>
      <c r="LKX20" s="18"/>
      <c r="LKY20" s="16"/>
      <c r="LKZ20" s="18"/>
      <c r="LLA20" s="16"/>
      <c r="LLB20" s="18"/>
      <c r="LLC20" s="16"/>
      <c r="LLD20" s="18"/>
      <c r="LLE20" s="16"/>
      <c r="LLF20" s="18"/>
      <c r="LLG20" s="16"/>
      <c r="LLH20" s="18"/>
      <c r="LLI20" s="16"/>
      <c r="LLJ20" s="18"/>
      <c r="LLK20" s="16"/>
      <c r="LLL20" s="18"/>
      <c r="LLM20" s="16"/>
      <c r="LLN20" s="18"/>
      <c r="LLO20" s="16"/>
      <c r="LLP20" s="18"/>
      <c r="LLQ20" s="16"/>
      <c r="LLR20" s="18"/>
      <c r="LLS20" s="16"/>
      <c r="LLT20" s="18"/>
      <c r="LLU20" s="16"/>
      <c r="LLV20" s="18"/>
      <c r="LLW20" s="16"/>
      <c r="LLX20" s="18"/>
      <c r="LLY20" s="16"/>
      <c r="LLZ20" s="18"/>
      <c r="LMA20" s="16"/>
      <c r="LMB20" s="18"/>
      <c r="LMC20" s="16"/>
      <c r="LMD20" s="18"/>
      <c r="LME20" s="16"/>
      <c r="LMF20" s="18"/>
      <c r="LMG20" s="16"/>
      <c r="LMH20" s="18"/>
      <c r="LMI20" s="16"/>
      <c r="LMJ20" s="18"/>
      <c r="LMK20" s="16"/>
      <c r="LML20" s="18"/>
      <c r="LMM20" s="16"/>
      <c r="LMN20" s="18"/>
      <c r="LMO20" s="16"/>
      <c r="LMP20" s="18"/>
      <c r="LMQ20" s="16"/>
      <c r="LMR20" s="18"/>
      <c r="LMS20" s="16"/>
      <c r="LMT20" s="18"/>
      <c r="LMU20" s="16"/>
      <c r="LMV20" s="18"/>
      <c r="LMW20" s="16"/>
      <c r="LMX20" s="18"/>
      <c r="LMY20" s="16"/>
      <c r="LMZ20" s="18"/>
      <c r="LNA20" s="16"/>
      <c r="LNB20" s="18"/>
      <c r="LNC20" s="16"/>
      <c r="LND20" s="18"/>
      <c r="LNE20" s="16"/>
      <c r="LNF20" s="18"/>
      <c r="LNG20" s="16"/>
      <c r="LNH20" s="18"/>
      <c r="LNI20" s="16"/>
      <c r="LNJ20" s="18"/>
      <c r="LNK20" s="16"/>
      <c r="LNL20" s="18"/>
      <c r="LNM20" s="16"/>
      <c r="LNN20" s="18"/>
      <c r="LNO20" s="16"/>
      <c r="LNP20" s="18"/>
      <c r="LNQ20" s="16"/>
      <c r="LNR20" s="18"/>
      <c r="LNS20" s="16"/>
      <c r="LNT20" s="18"/>
      <c r="LNU20" s="16"/>
      <c r="LNV20" s="18"/>
      <c r="LNW20" s="16"/>
      <c r="LNX20" s="18"/>
      <c r="LNY20" s="16"/>
      <c r="LNZ20" s="18"/>
      <c r="LOA20" s="16"/>
      <c r="LOB20" s="18"/>
      <c r="LOC20" s="16"/>
      <c r="LOD20" s="18"/>
      <c r="LOE20" s="16"/>
      <c r="LOF20" s="18"/>
      <c r="LOG20" s="16"/>
      <c r="LOH20" s="18"/>
      <c r="LOI20" s="16"/>
      <c r="LOJ20" s="18"/>
      <c r="LOK20" s="16"/>
      <c r="LOL20" s="18"/>
      <c r="LOM20" s="16"/>
      <c r="LON20" s="18"/>
      <c r="LOO20" s="16"/>
      <c r="LOP20" s="18"/>
      <c r="LOQ20" s="16"/>
      <c r="LOR20" s="18"/>
      <c r="LOS20" s="16"/>
      <c r="LOT20" s="18"/>
      <c r="LOU20" s="16"/>
      <c r="LOV20" s="18"/>
      <c r="LOW20" s="16"/>
      <c r="LOX20" s="18"/>
      <c r="LOY20" s="16"/>
      <c r="LOZ20" s="18"/>
      <c r="LPA20" s="16"/>
      <c r="LPB20" s="18"/>
      <c r="LPC20" s="16"/>
      <c r="LPD20" s="18"/>
      <c r="LPE20" s="16"/>
      <c r="LPF20" s="18"/>
      <c r="LPG20" s="16"/>
      <c r="LPH20" s="18"/>
      <c r="LPI20" s="16"/>
      <c r="LPJ20" s="18"/>
      <c r="LPK20" s="16"/>
      <c r="LPL20" s="18"/>
      <c r="LPM20" s="16"/>
      <c r="LPN20" s="18"/>
      <c r="LPO20" s="16"/>
      <c r="LPP20" s="18"/>
      <c r="LPQ20" s="16"/>
      <c r="LPR20" s="18"/>
      <c r="LPS20" s="16"/>
      <c r="LPT20" s="18"/>
      <c r="LPU20" s="16"/>
      <c r="LPV20" s="18"/>
      <c r="LPW20" s="16"/>
      <c r="LPX20" s="18"/>
      <c r="LPY20" s="16"/>
      <c r="LPZ20" s="18"/>
      <c r="LQA20" s="16"/>
      <c r="LQB20" s="18"/>
      <c r="LQC20" s="16"/>
      <c r="LQD20" s="18"/>
      <c r="LQE20" s="16"/>
      <c r="LQF20" s="18"/>
      <c r="LQG20" s="16"/>
      <c r="LQH20" s="18"/>
      <c r="LQI20" s="16"/>
      <c r="LQJ20" s="18"/>
      <c r="LQK20" s="16"/>
      <c r="LQL20" s="18"/>
      <c r="LQM20" s="16"/>
      <c r="LQN20" s="18"/>
      <c r="LQO20" s="16"/>
      <c r="LQP20" s="18"/>
      <c r="LQQ20" s="16"/>
      <c r="LQR20" s="18"/>
      <c r="LQS20" s="16"/>
      <c r="LQT20" s="18"/>
      <c r="LQU20" s="16"/>
      <c r="LQV20" s="18"/>
      <c r="LQW20" s="16"/>
      <c r="LQX20" s="18"/>
      <c r="LQY20" s="16"/>
      <c r="LQZ20" s="18"/>
      <c r="LRA20" s="16"/>
      <c r="LRB20" s="18"/>
      <c r="LRC20" s="16"/>
      <c r="LRD20" s="18"/>
      <c r="LRE20" s="16"/>
      <c r="LRF20" s="18"/>
      <c r="LRG20" s="16"/>
      <c r="LRH20" s="18"/>
      <c r="LRI20" s="16"/>
      <c r="LRJ20" s="18"/>
      <c r="LRK20" s="16"/>
      <c r="LRL20" s="18"/>
      <c r="LRM20" s="16"/>
      <c r="LRN20" s="18"/>
      <c r="LRO20" s="16"/>
      <c r="LRP20" s="18"/>
      <c r="LRQ20" s="16"/>
      <c r="LRR20" s="18"/>
      <c r="LRS20" s="16"/>
      <c r="LRT20" s="18"/>
      <c r="LRU20" s="16"/>
      <c r="LRV20" s="18"/>
      <c r="LRW20" s="16"/>
      <c r="LRX20" s="18"/>
      <c r="LRY20" s="16"/>
      <c r="LRZ20" s="18"/>
      <c r="LSA20" s="16"/>
      <c r="LSB20" s="18"/>
      <c r="LSC20" s="16"/>
      <c r="LSD20" s="18"/>
      <c r="LSE20" s="16"/>
      <c r="LSF20" s="18"/>
      <c r="LSG20" s="16"/>
      <c r="LSH20" s="18"/>
      <c r="LSI20" s="16"/>
      <c r="LSJ20" s="18"/>
      <c r="LSK20" s="16"/>
      <c r="LSL20" s="18"/>
      <c r="LSM20" s="16"/>
      <c r="LSN20" s="18"/>
      <c r="LSO20" s="16"/>
      <c r="LSP20" s="18"/>
      <c r="LSQ20" s="16"/>
      <c r="LSR20" s="18"/>
      <c r="LSS20" s="16"/>
      <c r="LST20" s="18"/>
      <c r="LSU20" s="16"/>
      <c r="LSV20" s="18"/>
      <c r="LSW20" s="16"/>
      <c r="LSX20" s="18"/>
      <c r="LSY20" s="16"/>
      <c r="LSZ20" s="18"/>
      <c r="LTA20" s="16"/>
      <c r="LTB20" s="18"/>
      <c r="LTC20" s="16"/>
      <c r="LTD20" s="18"/>
      <c r="LTE20" s="16"/>
      <c r="LTF20" s="18"/>
      <c r="LTG20" s="16"/>
      <c r="LTH20" s="18"/>
      <c r="LTI20" s="16"/>
      <c r="LTJ20" s="18"/>
      <c r="LTK20" s="16"/>
      <c r="LTL20" s="18"/>
      <c r="LTM20" s="16"/>
      <c r="LTN20" s="18"/>
      <c r="LTO20" s="16"/>
      <c r="LTP20" s="18"/>
      <c r="LTQ20" s="16"/>
      <c r="LTR20" s="18"/>
      <c r="LTS20" s="16"/>
      <c r="LTT20" s="18"/>
      <c r="LTU20" s="16"/>
      <c r="LTV20" s="18"/>
      <c r="LTW20" s="16"/>
      <c r="LTX20" s="18"/>
      <c r="LTY20" s="16"/>
      <c r="LTZ20" s="18"/>
      <c r="LUA20" s="16"/>
      <c r="LUB20" s="18"/>
      <c r="LUC20" s="16"/>
      <c r="LUD20" s="18"/>
      <c r="LUE20" s="16"/>
      <c r="LUF20" s="18"/>
      <c r="LUG20" s="16"/>
      <c r="LUH20" s="18"/>
      <c r="LUI20" s="16"/>
      <c r="LUJ20" s="18"/>
      <c r="LUK20" s="16"/>
      <c r="LUL20" s="18"/>
      <c r="LUM20" s="16"/>
      <c r="LUN20" s="18"/>
      <c r="LUO20" s="16"/>
      <c r="LUP20" s="18"/>
      <c r="LUQ20" s="16"/>
      <c r="LUR20" s="18"/>
      <c r="LUS20" s="16"/>
      <c r="LUT20" s="18"/>
      <c r="LUU20" s="16"/>
      <c r="LUV20" s="18"/>
      <c r="LUW20" s="16"/>
      <c r="LUX20" s="18"/>
      <c r="LUY20" s="16"/>
      <c r="LUZ20" s="18"/>
      <c r="LVA20" s="16"/>
      <c r="LVB20" s="18"/>
      <c r="LVC20" s="16"/>
      <c r="LVD20" s="18"/>
      <c r="LVE20" s="16"/>
      <c r="LVF20" s="18"/>
      <c r="LVG20" s="16"/>
      <c r="LVH20" s="18"/>
      <c r="LVI20" s="16"/>
      <c r="LVJ20" s="18"/>
      <c r="LVK20" s="16"/>
      <c r="LVL20" s="18"/>
      <c r="LVM20" s="16"/>
      <c r="LVN20" s="18"/>
      <c r="LVO20" s="16"/>
      <c r="LVP20" s="18"/>
      <c r="LVQ20" s="16"/>
      <c r="LVR20" s="18"/>
      <c r="LVS20" s="16"/>
      <c r="LVT20" s="18"/>
      <c r="LVU20" s="16"/>
      <c r="LVV20" s="18"/>
      <c r="LVW20" s="16"/>
      <c r="LVX20" s="18"/>
      <c r="LVY20" s="16"/>
      <c r="LVZ20" s="18"/>
      <c r="LWA20" s="16"/>
      <c r="LWB20" s="18"/>
      <c r="LWC20" s="16"/>
      <c r="LWD20" s="18"/>
      <c r="LWE20" s="16"/>
      <c r="LWF20" s="18"/>
      <c r="LWG20" s="16"/>
      <c r="LWH20" s="18"/>
      <c r="LWI20" s="16"/>
      <c r="LWJ20" s="18"/>
      <c r="LWK20" s="16"/>
      <c r="LWL20" s="18"/>
      <c r="LWM20" s="16"/>
      <c r="LWN20" s="18"/>
      <c r="LWO20" s="16"/>
      <c r="LWP20" s="18"/>
      <c r="LWQ20" s="16"/>
      <c r="LWR20" s="18"/>
      <c r="LWS20" s="16"/>
      <c r="LWT20" s="18"/>
      <c r="LWU20" s="16"/>
      <c r="LWV20" s="18"/>
      <c r="LWW20" s="16"/>
      <c r="LWX20" s="18"/>
      <c r="LWY20" s="16"/>
      <c r="LWZ20" s="18"/>
      <c r="LXA20" s="16"/>
      <c r="LXB20" s="18"/>
      <c r="LXC20" s="16"/>
      <c r="LXD20" s="18"/>
      <c r="LXE20" s="16"/>
      <c r="LXF20" s="18"/>
      <c r="LXG20" s="16"/>
      <c r="LXH20" s="18"/>
      <c r="LXI20" s="16"/>
      <c r="LXJ20" s="18"/>
      <c r="LXK20" s="16"/>
      <c r="LXL20" s="18"/>
      <c r="LXM20" s="16"/>
      <c r="LXN20" s="18"/>
      <c r="LXO20" s="16"/>
      <c r="LXP20" s="18"/>
      <c r="LXQ20" s="16"/>
      <c r="LXR20" s="18"/>
      <c r="LXS20" s="16"/>
      <c r="LXT20" s="18"/>
      <c r="LXU20" s="16"/>
      <c r="LXV20" s="18"/>
      <c r="LXW20" s="16"/>
      <c r="LXX20" s="18"/>
      <c r="LXY20" s="16"/>
      <c r="LXZ20" s="18"/>
      <c r="LYA20" s="16"/>
      <c r="LYB20" s="18"/>
      <c r="LYC20" s="16"/>
      <c r="LYD20" s="18"/>
      <c r="LYE20" s="16"/>
      <c r="LYF20" s="18"/>
      <c r="LYG20" s="16"/>
      <c r="LYH20" s="18"/>
      <c r="LYI20" s="16"/>
      <c r="LYJ20" s="18"/>
      <c r="LYK20" s="16"/>
      <c r="LYL20" s="18"/>
      <c r="LYM20" s="16"/>
      <c r="LYN20" s="18"/>
      <c r="LYO20" s="16"/>
      <c r="LYP20" s="18"/>
      <c r="LYQ20" s="16"/>
      <c r="LYR20" s="18"/>
      <c r="LYS20" s="16"/>
      <c r="LYT20" s="18"/>
      <c r="LYU20" s="16"/>
      <c r="LYV20" s="18"/>
      <c r="LYW20" s="16"/>
      <c r="LYX20" s="18"/>
      <c r="LYY20" s="16"/>
      <c r="LYZ20" s="18"/>
      <c r="LZA20" s="16"/>
      <c r="LZB20" s="18"/>
      <c r="LZC20" s="16"/>
      <c r="LZD20" s="18"/>
      <c r="LZE20" s="16"/>
      <c r="LZF20" s="18"/>
      <c r="LZG20" s="16"/>
      <c r="LZH20" s="18"/>
      <c r="LZI20" s="16"/>
      <c r="LZJ20" s="18"/>
      <c r="LZK20" s="16"/>
      <c r="LZL20" s="18"/>
      <c r="LZM20" s="16"/>
      <c r="LZN20" s="18"/>
      <c r="LZO20" s="16"/>
      <c r="LZP20" s="18"/>
      <c r="LZQ20" s="16"/>
      <c r="LZR20" s="18"/>
      <c r="LZS20" s="16"/>
      <c r="LZT20" s="18"/>
      <c r="LZU20" s="16"/>
      <c r="LZV20" s="18"/>
      <c r="LZW20" s="16"/>
      <c r="LZX20" s="18"/>
      <c r="LZY20" s="16"/>
      <c r="LZZ20" s="18"/>
      <c r="MAA20" s="16"/>
      <c r="MAB20" s="18"/>
      <c r="MAC20" s="16"/>
      <c r="MAD20" s="18"/>
      <c r="MAE20" s="16"/>
      <c r="MAF20" s="18"/>
      <c r="MAG20" s="16"/>
      <c r="MAH20" s="18"/>
      <c r="MAI20" s="16"/>
      <c r="MAJ20" s="18"/>
      <c r="MAK20" s="16"/>
      <c r="MAL20" s="18"/>
      <c r="MAM20" s="16"/>
      <c r="MAN20" s="18"/>
      <c r="MAO20" s="16"/>
      <c r="MAP20" s="18"/>
      <c r="MAQ20" s="16"/>
      <c r="MAR20" s="18"/>
      <c r="MAS20" s="16"/>
      <c r="MAT20" s="18"/>
      <c r="MAU20" s="16"/>
      <c r="MAV20" s="18"/>
      <c r="MAW20" s="16"/>
      <c r="MAX20" s="18"/>
      <c r="MAY20" s="16"/>
      <c r="MAZ20" s="18"/>
      <c r="MBA20" s="16"/>
      <c r="MBB20" s="18"/>
      <c r="MBC20" s="16"/>
      <c r="MBD20" s="18"/>
      <c r="MBE20" s="16"/>
      <c r="MBF20" s="18"/>
      <c r="MBG20" s="16"/>
      <c r="MBH20" s="18"/>
      <c r="MBI20" s="16"/>
      <c r="MBJ20" s="18"/>
      <c r="MBK20" s="16"/>
      <c r="MBL20" s="18"/>
      <c r="MBM20" s="16"/>
      <c r="MBN20" s="18"/>
      <c r="MBO20" s="16"/>
      <c r="MBP20" s="18"/>
      <c r="MBQ20" s="16"/>
      <c r="MBR20" s="18"/>
      <c r="MBS20" s="16"/>
      <c r="MBT20" s="18"/>
      <c r="MBU20" s="16"/>
      <c r="MBV20" s="18"/>
      <c r="MBW20" s="16"/>
      <c r="MBX20" s="18"/>
      <c r="MBY20" s="16"/>
      <c r="MBZ20" s="18"/>
      <c r="MCA20" s="16"/>
      <c r="MCB20" s="18"/>
      <c r="MCC20" s="16"/>
      <c r="MCD20" s="18"/>
      <c r="MCE20" s="16"/>
      <c r="MCF20" s="18"/>
      <c r="MCG20" s="16"/>
      <c r="MCH20" s="18"/>
      <c r="MCI20" s="16"/>
      <c r="MCJ20" s="18"/>
      <c r="MCK20" s="16"/>
      <c r="MCL20" s="18"/>
      <c r="MCM20" s="16"/>
      <c r="MCN20" s="18"/>
      <c r="MCO20" s="16"/>
      <c r="MCP20" s="18"/>
      <c r="MCQ20" s="16"/>
      <c r="MCR20" s="18"/>
      <c r="MCS20" s="16"/>
      <c r="MCT20" s="18"/>
      <c r="MCU20" s="16"/>
      <c r="MCV20" s="18"/>
      <c r="MCW20" s="16"/>
      <c r="MCX20" s="18"/>
      <c r="MCY20" s="16"/>
      <c r="MCZ20" s="18"/>
      <c r="MDA20" s="16"/>
      <c r="MDB20" s="18"/>
      <c r="MDC20" s="16"/>
      <c r="MDD20" s="18"/>
      <c r="MDE20" s="16"/>
      <c r="MDF20" s="18"/>
      <c r="MDG20" s="16"/>
      <c r="MDH20" s="18"/>
      <c r="MDI20" s="16"/>
      <c r="MDJ20" s="18"/>
      <c r="MDK20" s="16"/>
      <c r="MDL20" s="18"/>
      <c r="MDM20" s="16"/>
      <c r="MDN20" s="18"/>
      <c r="MDO20" s="16"/>
      <c r="MDP20" s="18"/>
      <c r="MDQ20" s="16"/>
      <c r="MDR20" s="18"/>
      <c r="MDS20" s="16"/>
      <c r="MDT20" s="18"/>
      <c r="MDU20" s="16"/>
      <c r="MDV20" s="18"/>
      <c r="MDW20" s="16"/>
      <c r="MDX20" s="18"/>
      <c r="MDY20" s="16"/>
      <c r="MDZ20" s="18"/>
      <c r="MEA20" s="16"/>
      <c r="MEB20" s="18"/>
      <c r="MEC20" s="16"/>
      <c r="MED20" s="18"/>
      <c r="MEE20" s="16"/>
      <c r="MEF20" s="18"/>
      <c r="MEG20" s="16"/>
      <c r="MEH20" s="18"/>
      <c r="MEI20" s="16"/>
      <c r="MEJ20" s="18"/>
      <c r="MEK20" s="16"/>
      <c r="MEL20" s="18"/>
      <c r="MEM20" s="16"/>
      <c r="MEN20" s="18"/>
      <c r="MEO20" s="16"/>
      <c r="MEP20" s="18"/>
      <c r="MEQ20" s="16"/>
      <c r="MER20" s="18"/>
      <c r="MES20" s="16"/>
      <c r="MET20" s="18"/>
      <c r="MEU20" s="16"/>
      <c r="MEV20" s="18"/>
      <c r="MEW20" s="16"/>
      <c r="MEX20" s="18"/>
      <c r="MEY20" s="16"/>
      <c r="MEZ20" s="18"/>
      <c r="MFA20" s="16"/>
      <c r="MFB20" s="18"/>
      <c r="MFC20" s="16"/>
      <c r="MFD20" s="18"/>
      <c r="MFE20" s="16"/>
      <c r="MFF20" s="18"/>
      <c r="MFG20" s="16"/>
      <c r="MFH20" s="18"/>
      <c r="MFI20" s="16"/>
      <c r="MFJ20" s="18"/>
      <c r="MFK20" s="16"/>
      <c r="MFL20" s="18"/>
      <c r="MFM20" s="16"/>
      <c r="MFN20" s="18"/>
      <c r="MFO20" s="16"/>
      <c r="MFP20" s="18"/>
      <c r="MFQ20" s="16"/>
      <c r="MFR20" s="18"/>
      <c r="MFS20" s="16"/>
      <c r="MFT20" s="18"/>
      <c r="MFU20" s="16"/>
      <c r="MFV20" s="18"/>
      <c r="MFW20" s="16"/>
      <c r="MFX20" s="18"/>
      <c r="MFY20" s="16"/>
      <c r="MFZ20" s="18"/>
      <c r="MGA20" s="16"/>
      <c r="MGB20" s="18"/>
      <c r="MGC20" s="16"/>
      <c r="MGD20" s="18"/>
      <c r="MGE20" s="16"/>
      <c r="MGF20" s="18"/>
      <c r="MGG20" s="16"/>
      <c r="MGH20" s="18"/>
      <c r="MGI20" s="16"/>
      <c r="MGJ20" s="18"/>
      <c r="MGK20" s="16"/>
      <c r="MGL20" s="18"/>
      <c r="MGM20" s="16"/>
      <c r="MGN20" s="18"/>
      <c r="MGO20" s="16"/>
      <c r="MGP20" s="18"/>
      <c r="MGQ20" s="16"/>
      <c r="MGR20" s="18"/>
      <c r="MGS20" s="16"/>
      <c r="MGT20" s="18"/>
      <c r="MGU20" s="16"/>
      <c r="MGV20" s="18"/>
      <c r="MGW20" s="16"/>
      <c r="MGX20" s="18"/>
      <c r="MGY20" s="16"/>
      <c r="MGZ20" s="18"/>
      <c r="MHA20" s="16"/>
      <c r="MHB20" s="18"/>
      <c r="MHC20" s="16"/>
      <c r="MHD20" s="18"/>
      <c r="MHE20" s="16"/>
      <c r="MHF20" s="18"/>
      <c r="MHG20" s="16"/>
      <c r="MHH20" s="18"/>
      <c r="MHI20" s="16"/>
      <c r="MHJ20" s="18"/>
      <c r="MHK20" s="16"/>
      <c r="MHL20" s="18"/>
      <c r="MHM20" s="16"/>
      <c r="MHN20" s="18"/>
      <c r="MHO20" s="16"/>
      <c r="MHP20" s="18"/>
      <c r="MHQ20" s="16"/>
      <c r="MHR20" s="18"/>
      <c r="MHS20" s="16"/>
      <c r="MHT20" s="18"/>
      <c r="MHU20" s="16"/>
      <c r="MHV20" s="18"/>
      <c r="MHW20" s="16"/>
      <c r="MHX20" s="18"/>
      <c r="MHY20" s="16"/>
      <c r="MHZ20" s="18"/>
      <c r="MIA20" s="16"/>
      <c r="MIB20" s="18"/>
      <c r="MIC20" s="16"/>
      <c r="MID20" s="18"/>
      <c r="MIE20" s="16"/>
      <c r="MIF20" s="18"/>
      <c r="MIG20" s="16"/>
      <c r="MIH20" s="18"/>
      <c r="MII20" s="16"/>
      <c r="MIJ20" s="18"/>
      <c r="MIK20" s="16"/>
      <c r="MIL20" s="18"/>
      <c r="MIM20" s="16"/>
      <c r="MIN20" s="18"/>
      <c r="MIO20" s="16"/>
      <c r="MIP20" s="18"/>
      <c r="MIQ20" s="16"/>
      <c r="MIR20" s="18"/>
      <c r="MIS20" s="16"/>
      <c r="MIT20" s="18"/>
      <c r="MIU20" s="16"/>
      <c r="MIV20" s="18"/>
      <c r="MIW20" s="16"/>
      <c r="MIX20" s="18"/>
      <c r="MIY20" s="16"/>
      <c r="MIZ20" s="18"/>
      <c r="MJA20" s="16"/>
      <c r="MJB20" s="18"/>
      <c r="MJC20" s="16"/>
      <c r="MJD20" s="18"/>
      <c r="MJE20" s="16"/>
      <c r="MJF20" s="18"/>
      <c r="MJG20" s="16"/>
      <c r="MJH20" s="18"/>
      <c r="MJI20" s="16"/>
      <c r="MJJ20" s="18"/>
      <c r="MJK20" s="16"/>
      <c r="MJL20" s="18"/>
      <c r="MJM20" s="16"/>
      <c r="MJN20" s="18"/>
      <c r="MJO20" s="16"/>
      <c r="MJP20" s="18"/>
      <c r="MJQ20" s="16"/>
      <c r="MJR20" s="18"/>
      <c r="MJS20" s="16"/>
      <c r="MJT20" s="18"/>
      <c r="MJU20" s="16"/>
      <c r="MJV20" s="18"/>
      <c r="MJW20" s="16"/>
      <c r="MJX20" s="18"/>
      <c r="MJY20" s="16"/>
      <c r="MJZ20" s="18"/>
      <c r="MKA20" s="16"/>
      <c r="MKB20" s="18"/>
      <c r="MKC20" s="16"/>
      <c r="MKD20" s="18"/>
      <c r="MKE20" s="16"/>
      <c r="MKF20" s="18"/>
      <c r="MKG20" s="16"/>
      <c r="MKH20" s="18"/>
      <c r="MKI20" s="16"/>
      <c r="MKJ20" s="18"/>
      <c r="MKK20" s="16"/>
      <c r="MKL20" s="18"/>
      <c r="MKM20" s="16"/>
      <c r="MKN20" s="18"/>
      <c r="MKO20" s="16"/>
      <c r="MKP20" s="18"/>
      <c r="MKQ20" s="16"/>
      <c r="MKR20" s="18"/>
      <c r="MKS20" s="16"/>
      <c r="MKT20" s="18"/>
      <c r="MKU20" s="16"/>
      <c r="MKV20" s="18"/>
      <c r="MKW20" s="16"/>
      <c r="MKX20" s="18"/>
      <c r="MKY20" s="16"/>
      <c r="MKZ20" s="18"/>
      <c r="MLA20" s="16"/>
      <c r="MLB20" s="18"/>
      <c r="MLC20" s="16"/>
      <c r="MLD20" s="18"/>
      <c r="MLE20" s="16"/>
      <c r="MLF20" s="18"/>
      <c r="MLG20" s="16"/>
      <c r="MLH20" s="18"/>
      <c r="MLI20" s="16"/>
      <c r="MLJ20" s="18"/>
      <c r="MLK20" s="16"/>
      <c r="MLL20" s="18"/>
      <c r="MLM20" s="16"/>
      <c r="MLN20" s="18"/>
      <c r="MLO20" s="16"/>
      <c r="MLP20" s="18"/>
      <c r="MLQ20" s="16"/>
      <c r="MLR20" s="18"/>
      <c r="MLS20" s="16"/>
      <c r="MLT20" s="18"/>
      <c r="MLU20" s="16"/>
      <c r="MLV20" s="18"/>
      <c r="MLW20" s="16"/>
      <c r="MLX20" s="18"/>
      <c r="MLY20" s="16"/>
      <c r="MLZ20" s="18"/>
      <c r="MMA20" s="16"/>
      <c r="MMB20" s="18"/>
      <c r="MMC20" s="16"/>
      <c r="MMD20" s="18"/>
      <c r="MME20" s="16"/>
      <c r="MMF20" s="18"/>
      <c r="MMG20" s="16"/>
      <c r="MMH20" s="18"/>
      <c r="MMI20" s="16"/>
      <c r="MMJ20" s="18"/>
      <c r="MMK20" s="16"/>
      <c r="MML20" s="18"/>
      <c r="MMM20" s="16"/>
      <c r="MMN20" s="18"/>
      <c r="MMO20" s="16"/>
      <c r="MMP20" s="18"/>
      <c r="MMQ20" s="16"/>
      <c r="MMR20" s="18"/>
      <c r="MMS20" s="16"/>
      <c r="MMT20" s="18"/>
      <c r="MMU20" s="16"/>
      <c r="MMV20" s="18"/>
      <c r="MMW20" s="16"/>
      <c r="MMX20" s="18"/>
      <c r="MMY20" s="16"/>
      <c r="MMZ20" s="18"/>
      <c r="MNA20" s="16"/>
      <c r="MNB20" s="18"/>
      <c r="MNC20" s="16"/>
      <c r="MND20" s="18"/>
      <c r="MNE20" s="16"/>
      <c r="MNF20" s="18"/>
      <c r="MNG20" s="16"/>
      <c r="MNH20" s="18"/>
      <c r="MNI20" s="16"/>
      <c r="MNJ20" s="18"/>
      <c r="MNK20" s="16"/>
      <c r="MNL20" s="18"/>
      <c r="MNM20" s="16"/>
      <c r="MNN20" s="18"/>
      <c r="MNO20" s="16"/>
      <c r="MNP20" s="18"/>
      <c r="MNQ20" s="16"/>
      <c r="MNR20" s="18"/>
      <c r="MNS20" s="16"/>
      <c r="MNT20" s="18"/>
      <c r="MNU20" s="16"/>
      <c r="MNV20" s="18"/>
      <c r="MNW20" s="16"/>
      <c r="MNX20" s="18"/>
      <c r="MNY20" s="16"/>
      <c r="MNZ20" s="18"/>
      <c r="MOA20" s="16"/>
      <c r="MOB20" s="18"/>
      <c r="MOC20" s="16"/>
      <c r="MOD20" s="18"/>
      <c r="MOE20" s="16"/>
      <c r="MOF20" s="18"/>
      <c r="MOG20" s="16"/>
      <c r="MOH20" s="18"/>
      <c r="MOI20" s="16"/>
      <c r="MOJ20" s="18"/>
      <c r="MOK20" s="16"/>
      <c r="MOL20" s="18"/>
      <c r="MOM20" s="16"/>
      <c r="MON20" s="18"/>
      <c r="MOO20" s="16"/>
      <c r="MOP20" s="18"/>
      <c r="MOQ20" s="16"/>
      <c r="MOR20" s="18"/>
      <c r="MOS20" s="16"/>
      <c r="MOT20" s="18"/>
      <c r="MOU20" s="16"/>
      <c r="MOV20" s="18"/>
      <c r="MOW20" s="16"/>
      <c r="MOX20" s="18"/>
      <c r="MOY20" s="16"/>
      <c r="MOZ20" s="18"/>
      <c r="MPA20" s="16"/>
      <c r="MPB20" s="18"/>
      <c r="MPC20" s="16"/>
      <c r="MPD20" s="18"/>
      <c r="MPE20" s="16"/>
      <c r="MPF20" s="18"/>
      <c r="MPG20" s="16"/>
      <c r="MPH20" s="18"/>
      <c r="MPI20" s="16"/>
      <c r="MPJ20" s="18"/>
      <c r="MPK20" s="16"/>
      <c r="MPL20" s="18"/>
      <c r="MPM20" s="16"/>
      <c r="MPN20" s="18"/>
      <c r="MPO20" s="16"/>
      <c r="MPP20" s="18"/>
      <c r="MPQ20" s="16"/>
      <c r="MPR20" s="18"/>
      <c r="MPS20" s="16"/>
      <c r="MPT20" s="18"/>
      <c r="MPU20" s="16"/>
      <c r="MPV20" s="18"/>
      <c r="MPW20" s="16"/>
      <c r="MPX20" s="18"/>
      <c r="MPY20" s="16"/>
      <c r="MPZ20" s="18"/>
      <c r="MQA20" s="16"/>
      <c r="MQB20" s="18"/>
      <c r="MQC20" s="16"/>
      <c r="MQD20" s="18"/>
      <c r="MQE20" s="16"/>
      <c r="MQF20" s="18"/>
      <c r="MQG20" s="16"/>
      <c r="MQH20" s="18"/>
      <c r="MQI20" s="16"/>
      <c r="MQJ20" s="18"/>
      <c r="MQK20" s="16"/>
      <c r="MQL20" s="18"/>
      <c r="MQM20" s="16"/>
      <c r="MQN20" s="18"/>
      <c r="MQO20" s="16"/>
      <c r="MQP20" s="18"/>
      <c r="MQQ20" s="16"/>
      <c r="MQR20" s="18"/>
      <c r="MQS20" s="16"/>
      <c r="MQT20" s="18"/>
      <c r="MQU20" s="16"/>
      <c r="MQV20" s="18"/>
      <c r="MQW20" s="16"/>
      <c r="MQX20" s="18"/>
      <c r="MQY20" s="16"/>
      <c r="MQZ20" s="18"/>
      <c r="MRA20" s="16"/>
      <c r="MRB20" s="18"/>
      <c r="MRC20" s="16"/>
      <c r="MRD20" s="18"/>
      <c r="MRE20" s="16"/>
      <c r="MRF20" s="18"/>
      <c r="MRG20" s="16"/>
      <c r="MRH20" s="18"/>
      <c r="MRI20" s="16"/>
      <c r="MRJ20" s="18"/>
      <c r="MRK20" s="16"/>
      <c r="MRL20" s="18"/>
      <c r="MRM20" s="16"/>
      <c r="MRN20" s="18"/>
      <c r="MRO20" s="16"/>
      <c r="MRP20" s="18"/>
      <c r="MRQ20" s="16"/>
      <c r="MRR20" s="18"/>
      <c r="MRS20" s="16"/>
      <c r="MRT20" s="18"/>
      <c r="MRU20" s="16"/>
      <c r="MRV20" s="18"/>
      <c r="MRW20" s="16"/>
      <c r="MRX20" s="18"/>
      <c r="MRY20" s="16"/>
      <c r="MRZ20" s="18"/>
      <c r="MSA20" s="16"/>
      <c r="MSB20" s="18"/>
      <c r="MSC20" s="16"/>
      <c r="MSD20" s="18"/>
      <c r="MSE20" s="16"/>
      <c r="MSF20" s="18"/>
      <c r="MSG20" s="16"/>
      <c r="MSH20" s="18"/>
      <c r="MSI20" s="16"/>
      <c r="MSJ20" s="18"/>
      <c r="MSK20" s="16"/>
      <c r="MSL20" s="18"/>
      <c r="MSM20" s="16"/>
      <c r="MSN20" s="18"/>
      <c r="MSO20" s="16"/>
      <c r="MSP20" s="18"/>
      <c r="MSQ20" s="16"/>
      <c r="MSR20" s="18"/>
      <c r="MSS20" s="16"/>
      <c r="MST20" s="18"/>
      <c r="MSU20" s="16"/>
      <c r="MSV20" s="18"/>
      <c r="MSW20" s="16"/>
      <c r="MSX20" s="18"/>
      <c r="MSY20" s="16"/>
      <c r="MSZ20" s="18"/>
      <c r="MTA20" s="16"/>
      <c r="MTB20" s="18"/>
      <c r="MTC20" s="16"/>
      <c r="MTD20" s="18"/>
      <c r="MTE20" s="16"/>
      <c r="MTF20" s="18"/>
      <c r="MTG20" s="16"/>
      <c r="MTH20" s="18"/>
      <c r="MTI20" s="16"/>
      <c r="MTJ20" s="18"/>
      <c r="MTK20" s="16"/>
      <c r="MTL20" s="18"/>
      <c r="MTM20" s="16"/>
      <c r="MTN20" s="18"/>
      <c r="MTO20" s="16"/>
      <c r="MTP20" s="18"/>
      <c r="MTQ20" s="16"/>
      <c r="MTR20" s="18"/>
      <c r="MTS20" s="16"/>
      <c r="MTT20" s="18"/>
      <c r="MTU20" s="16"/>
      <c r="MTV20" s="18"/>
      <c r="MTW20" s="16"/>
      <c r="MTX20" s="18"/>
      <c r="MTY20" s="16"/>
      <c r="MTZ20" s="18"/>
      <c r="MUA20" s="16"/>
      <c r="MUB20" s="18"/>
      <c r="MUC20" s="16"/>
      <c r="MUD20" s="18"/>
      <c r="MUE20" s="16"/>
      <c r="MUF20" s="18"/>
      <c r="MUG20" s="16"/>
      <c r="MUH20" s="18"/>
      <c r="MUI20" s="16"/>
      <c r="MUJ20" s="18"/>
      <c r="MUK20" s="16"/>
      <c r="MUL20" s="18"/>
      <c r="MUM20" s="16"/>
      <c r="MUN20" s="18"/>
      <c r="MUO20" s="16"/>
      <c r="MUP20" s="18"/>
      <c r="MUQ20" s="16"/>
      <c r="MUR20" s="18"/>
      <c r="MUS20" s="16"/>
      <c r="MUT20" s="18"/>
      <c r="MUU20" s="16"/>
      <c r="MUV20" s="18"/>
      <c r="MUW20" s="16"/>
      <c r="MUX20" s="18"/>
      <c r="MUY20" s="16"/>
      <c r="MUZ20" s="18"/>
      <c r="MVA20" s="16"/>
      <c r="MVB20" s="18"/>
      <c r="MVC20" s="16"/>
      <c r="MVD20" s="18"/>
      <c r="MVE20" s="16"/>
      <c r="MVF20" s="18"/>
      <c r="MVG20" s="16"/>
      <c r="MVH20" s="18"/>
      <c r="MVI20" s="16"/>
      <c r="MVJ20" s="18"/>
      <c r="MVK20" s="16"/>
      <c r="MVL20" s="18"/>
      <c r="MVM20" s="16"/>
      <c r="MVN20" s="18"/>
      <c r="MVO20" s="16"/>
      <c r="MVP20" s="18"/>
      <c r="MVQ20" s="16"/>
      <c r="MVR20" s="18"/>
      <c r="MVS20" s="16"/>
      <c r="MVT20" s="18"/>
      <c r="MVU20" s="16"/>
      <c r="MVV20" s="18"/>
      <c r="MVW20" s="16"/>
      <c r="MVX20" s="18"/>
      <c r="MVY20" s="16"/>
      <c r="MVZ20" s="18"/>
      <c r="MWA20" s="16"/>
      <c r="MWB20" s="18"/>
      <c r="MWC20" s="16"/>
      <c r="MWD20" s="18"/>
      <c r="MWE20" s="16"/>
      <c r="MWF20" s="18"/>
      <c r="MWG20" s="16"/>
      <c r="MWH20" s="18"/>
      <c r="MWI20" s="16"/>
      <c r="MWJ20" s="18"/>
      <c r="MWK20" s="16"/>
      <c r="MWL20" s="18"/>
      <c r="MWM20" s="16"/>
      <c r="MWN20" s="18"/>
      <c r="MWO20" s="16"/>
      <c r="MWP20" s="18"/>
      <c r="MWQ20" s="16"/>
      <c r="MWR20" s="18"/>
      <c r="MWS20" s="16"/>
      <c r="MWT20" s="18"/>
      <c r="MWU20" s="16"/>
      <c r="MWV20" s="18"/>
      <c r="MWW20" s="16"/>
      <c r="MWX20" s="18"/>
      <c r="MWY20" s="16"/>
      <c r="MWZ20" s="18"/>
      <c r="MXA20" s="16"/>
      <c r="MXB20" s="18"/>
      <c r="MXC20" s="16"/>
      <c r="MXD20" s="18"/>
      <c r="MXE20" s="16"/>
      <c r="MXF20" s="18"/>
      <c r="MXG20" s="16"/>
      <c r="MXH20" s="18"/>
      <c r="MXI20" s="16"/>
      <c r="MXJ20" s="18"/>
      <c r="MXK20" s="16"/>
      <c r="MXL20" s="18"/>
      <c r="MXM20" s="16"/>
      <c r="MXN20" s="18"/>
      <c r="MXO20" s="16"/>
      <c r="MXP20" s="18"/>
      <c r="MXQ20" s="16"/>
      <c r="MXR20" s="18"/>
      <c r="MXS20" s="16"/>
      <c r="MXT20" s="18"/>
      <c r="MXU20" s="16"/>
      <c r="MXV20" s="18"/>
      <c r="MXW20" s="16"/>
      <c r="MXX20" s="18"/>
      <c r="MXY20" s="16"/>
      <c r="MXZ20" s="18"/>
      <c r="MYA20" s="16"/>
      <c r="MYB20" s="18"/>
      <c r="MYC20" s="16"/>
      <c r="MYD20" s="18"/>
      <c r="MYE20" s="16"/>
      <c r="MYF20" s="18"/>
      <c r="MYG20" s="16"/>
      <c r="MYH20" s="18"/>
      <c r="MYI20" s="16"/>
      <c r="MYJ20" s="18"/>
      <c r="MYK20" s="16"/>
      <c r="MYL20" s="18"/>
      <c r="MYM20" s="16"/>
      <c r="MYN20" s="18"/>
      <c r="MYO20" s="16"/>
      <c r="MYP20" s="18"/>
      <c r="MYQ20" s="16"/>
      <c r="MYR20" s="18"/>
      <c r="MYS20" s="16"/>
      <c r="MYT20" s="18"/>
      <c r="MYU20" s="16"/>
      <c r="MYV20" s="18"/>
      <c r="MYW20" s="16"/>
      <c r="MYX20" s="18"/>
      <c r="MYY20" s="16"/>
      <c r="MYZ20" s="18"/>
      <c r="MZA20" s="16"/>
      <c r="MZB20" s="18"/>
      <c r="MZC20" s="16"/>
      <c r="MZD20" s="18"/>
      <c r="MZE20" s="16"/>
      <c r="MZF20" s="18"/>
      <c r="MZG20" s="16"/>
      <c r="MZH20" s="18"/>
      <c r="MZI20" s="16"/>
      <c r="MZJ20" s="18"/>
      <c r="MZK20" s="16"/>
      <c r="MZL20" s="18"/>
      <c r="MZM20" s="16"/>
      <c r="MZN20" s="18"/>
      <c r="MZO20" s="16"/>
      <c r="MZP20" s="18"/>
      <c r="MZQ20" s="16"/>
      <c r="MZR20" s="18"/>
      <c r="MZS20" s="16"/>
      <c r="MZT20" s="18"/>
      <c r="MZU20" s="16"/>
      <c r="MZV20" s="18"/>
      <c r="MZW20" s="16"/>
      <c r="MZX20" s="18"/>
      <c r="MZY20" s="16"/>
      <c r="MZZ20" s="18"/>
      <c r="NAA20" s="16"/>
      <c r="NAB20" s="18"/>
      <c r="NAC20" s="16"/>
      <c r="NAD20" s="18"/>
      <c r="NAE20" s="16"/>
      <c r="NAF20" s="18"/>
      <c r="NAG20" s="16"/>
      <c r="NAH20" s="18"/>
      <c r="NAI20" s="16"/>
      <c r="NAJ20" s="18"/>
      <c r="NAK20" s="16"/>
      <c r="NAL20" s="18"/>
      <c r="NAM20" s="16"/>
      <c r="NAN20" s="18"/>
      <c r="NAO20" s="16"/>
      <c r="NAP20" s="18"/>
      <c r="NAQ20" s="16"/>
      <c r="NAR20" s="18"/>
      <c r="NAS20" s="16"/>
      <c r="NAT20" s="18"/>
      <c r="NAU20" s="16"/>
      <c r="NAV20" s="18"/>
      <c r="NAW20" s="16"/>
      <c r="NAX20" s="18"/>
      <c r="NAY20" s="16"/>
      <c r="NAZ20" s="18"/>
      <c r="NBA20" s="16"/>
      <c r="NBB20" s="18"/>
      <c r="NBC20" s="16"/>
      <c r="NBD20" s="18"/>
      <c r="NBE20" s="16"/>
      <c r="NBF20" s="18"/>
      <c r="NBG20" s="16"/>
      <c r="NBH20" s="18"/>
      <c r="NBI20" s="16"/>
      <c r="NBJ20" s="18"/>
      <c r="NBK20" s="16"/>
      <c r="NBL20" s="18"/>
      <c r="NBM20" s="16"/>
      <c r="NBN20" s="18"/>
      <c r="NBO20" s="16"/>
      <c r="NBP20" s="18"/>
      <c r="NBQ20" s="16"/>
      <c r="NBR20" s="18"/>
      <c r="NBS20" s="16"/>
      <c r="NBT20" s="18"/>
      <c r="NBU20" s="16"/>
      <c r="NBV20" s="18"/>
      <c r="NBW20" s="16"/>
      <c r="NBX20" s="18"/>
      <c r="NBY20" s="16"/>
      <c r="NBZ20" s="18"/>
      <c r="NCA20" s="16"/>
      <c r="NCB20" s="18"/>
      <c r="NCC20" s="16"/>
      <c r="NCD20" s="18"/>
      <c r="NCE20" s="16"/>
      <c r="NCF20" s="18"/>
      <c r="NCG20" s="16"/>
      <c r="NCH20" s="18"/>
      <c r="NCI20" s="16"/>
      <c r="NCJ20" s="18"/>
      <c r="NCK20" s="16"/>
      <c r="NCL20" s="18"/>
      <c r="NCM20" s="16"/>
      <c r="NCN20" s="18"/>
      <c r="NCO20" s="16"/>
      <c r="NCP20" s="18"/>
      <c r="NCQ20" s="16"/>
      <c r="NCR20" s="18"/>
      <c r="NCS20" s="16"/>
      <c r="NCT20" s="18"/>
      <c r="NCU20" s="16"/>
      <c r="NCV20" s="18"/>
      <c r="NCW20" s="16"/>
      <c r="NCX20" s="18"/>
      <c r="NCY20" s="16"/>
      <c r="NCZ20" s="18"/>
      <c r="NDA20" s="16"/>
      <c r="NDB20" s="18"/>
      <c r="NDC20" s="16"/>
      <c r="NDD20" s="18"/>
      <c r="NDE20" s="16"/>
      <c r="NDF20" s="18"/>
      <c r="NDG20" s="16"/>
      <c r="NDH20" s="18"/>
      <c r="NDI20" s="16"/>
      <c r="NDJ20" s="18"/>
      <c r="NDK20" s="16"/>
      <c r="NDL20" s="18"/>
      <c r="NDM20" s="16"/>
      <c r="NDN20" s="18"/>
      <c r="NDO20" s="16"/>
      <c r="NDP20" s="18"/>
      <c r="NDQ20" s="16"/>
      <c r="NDR20" s="18"/>
      <c r="NDS20" s="16"/>
      <c r="NDT20" s="18"/>
      <c r="NDU20" s="16"/>
      <c r="NDV20" s="18"/>
      <c r="NDW20" s="16"/>
      <c r="NDX20" s="18"/>
      <c r="NDY20" s="16"/>
      <c r="NDZ20" s="18"/>
      <c r="NEA20" s="16"/>
      <c r="NEB20" s="18"/>
      <c r="NEC20" s="16"/>
      <c r="NED20" s="18"/>
      <c r="NEE20" s="16"/>
      <c r="NEF20" s="18"/>
      <c r="NEG20" s="16"/>
      <c r="NEH20" s="18"/>
      <c r="NEI20" s="16"/>
      <c r="NEJ20" s="18"/>
      <c r="NEK20" s="16"/>
      <c r="NEL20" s="18"/>
      <c r="NEM20" s="16"/>
      <c r="NEN20" s="18"/>
      <c r="NEO20" s="16"/>
      <c r="NEP20" s="18"/>
      <c r="NEQ20" s="16"/>
      <c r="NER20" s="18"/>
      <c r="NES20" s="16"/>
      <c r="NET20" s="18"/>
      <c r="NEU20" s="16"/>
      <c r="NEV20" s="18"/>
      <c r="NEW20" s="16"/>
      <c r="NEX20" s="18"/>
      <c r="NEY20" s="16"/>
      <c r="NEZ20" s="18"/>
      <c r="NFA20" s="16"/>
      <c r="NFB20" s="18"/>
      <c r="NFC20" s="16"/>
      <c r="NFD20" s="18"/>
      <c r="NFE20" s="16"/>
      <c r="NFF20" s="18"/>
      <c r="NFG20" s="16"/>
      <c r="NFH20" s="18"/>
      <c r="NFI20" s="16"/>
      <c r="NFJ20" s="18"/>
      <c r="NFK20" s="16"/>
      <c r="NFL20" s="18"/>
      <c r="NFM20" s="16"/>
      <c r="NFN20" s="18"/>
      <c r="NFO20" s="16"/>
      <c r="NFP20" s="18"/>
      <c r="NFQ20" s="16"/>
      <c r="NFR20" s="18"/>
      <c r="NFS20" s="16"/>
      <c r="NFT20" s="18"/>
      <c r="NFU20" s="16"/>
      <c r="NFV20" s="18"/>
      <c r="NFW20" s="16"/>
      <c r="NFX20" s="18"/>
      <c r="NFY20" s="16"/>
      <c r="NFZ20" s="18"/>
      <c r="NGA20" s="16"/>
      <c r="NGB20" s="18"/>
      <c r="NGC20" s="16"/>
      <c r="NGD20" s="18"/>
      <c r="NGE20" s="16"/>
      <c r="NGF20" s="18"/>
      <c r="NGG20" s="16"/>
      <c r="NGH20" s="18"/>
      <c r="NGI20" s="16"/>
      <c r="NGJ20" s="18"/>
      <c r="NGK20" s="16"/>
      <c r="NGL20" s="18"/>
      <c r="NGM20" s="16"/>
      <c r="NGN20" s="18"/>
      <c r="NGO20" s="16"/>
      <c r="NGP20" s="18"/>
      <c r="NGQ20" s="16"/>
      <c r="NGR20" s="18"/>
      <c r="NGS20" s="16"/>
      <c r="NGT20" s="18"/>
      <c r="NGU20" s="16"/>
      <c r="NGV20" s="18"/>
      <c r="NGW20" s="16"/>
      <c r="NGX20" s="18"/>
      <c r="NGY20" s="16"/>
      <c r="NGZ20" s="18"/>
      <c r="NHA20" s="16"/>
      <c r="NHB20" s="18"/>
      <c r="NHC20" s="16"/>
      <c r="NHD20" s="18"/>
      <c r="NHE20" s="16"/>
      <c r="NHF20" s="18"/>
      <c r="NHG20" s="16"/>
      <c r="NHH20" s="18"/>
      <c r="NHI20" s="16"/>
      <c r="NHJ20" s="18"/>
      <c r="NHK20" s="16"/>
      <c r="NHL20" s="18"/>
      <c r="NHM20" s="16"/>
      <c r="NHN20" s="18"/>
      <c r="NHO20" s="16"/>
      <c r="NHP20" s="18"/>
      <c r="NHQ20" s="16"/>
      <c r="NHR20" s="18"/>
      <c r="NHS20" s="16"/>
      <c r="NHT20" s="18"/>
      <c r="NHU20" s="16"/>
      <c r="NHV20" s="18"/>
      <c r="NHW20" s="16"/>
      <c r="NHX20" s="18"/>
      <c r="NHY20" s="16"/>
      <c r="NHZ20" s="18"/>
      <c r="NIA20" s="16"/>
      <c r="NIB20" s="18"/>
      <c r="NIC20" s="16"/>
      <c r="NID20" s="18"/>
      <c r="NIE20" s="16"/>
      <c r="NIF20" s="18"/>
      <c r="NIG20" s="16"/>
      <c r="NIH20" s="18"/>
      <c r="NII20" s="16"/>
      <c r="NIJ20" s="18"/>
      <c r="NIK20" s="16"/>
      <c r="NIL20" s="18"/>
      <c r="NIM20" s="16"/>
      <c r="NIN20" s="18"/>
      <c r="NIO20" s="16"/>
      <c r="NIP20" s="18"/>
      <c r="NIQ20" s="16"/>
      <c r="NIR20" s="18"/>
      <c r="NIS20" s="16"/>
      <c r="NIT20" s="18"/>
      <c r="NIU20" s="16"/>
      <c r="NIV20" s="18"/>
      <c r="NIW20" s="16"/>
      <c r="NIX20" s="18"/>
      <c r="NIY20" s="16"/>
      <c r="NIZ20" s="18"/>
      <c r="NJA20" s="16"/>
      <c r="NJB20" s="18"/>
      <c r="NJC20" s="16"/>
      <c r="NJD20" s="18"/>
      <c r="NJE20" s="16"/>
      <c r="NJF20" s="18"/>
      <c r="NJG20" s="16"/>
      <c r="NJH20" s="18"/>
      <c r="NJI20" s="16"/>
      <c r="NJJ20" s="18"/>
      <c r="NJK20" s="16"/>
      <c r="NJL20" s="18"/>
      <c r="NJM20" s="16"/>
      <c r="NJN20" s="18"/>
      <c r="NJO20" s="16"/>
      <c r="NJP20" s="18"/>
      <c r="NJQ20" s="16"/>
      <c r="NJR20" s="18"/>
      <c r="NJS20" s="16"/>
      <c r="NJT20" s="18"/>
      <c r="NJU20" s="16"/>
      <c r="NJV20" s="18"/>
      <c r="NJW20" s="16"/>
      <c r="NJX20" s="18"/>
      <c r="NJY20" s="16"/>
      <c r="NJZ20" s="18"/>
      <c r="NKA20" s="16"/>
      <c r="NKB20" s="18"/>
      <c r="NKC20" s="16"/>
      <c r="NKD20" s="18"/>
      <c r="NKE20" s="16"/>
      <c r="NKF20" s="18"/>
      <c r="NKG20" s="16"/>
      <c r="NKH20" s="18"/>
      <c r="NKI20" s="16"/>
      <c r="NKJ20" s="18"/>
      <c r="NKK20" s="16"/>
      <c r="NKL20" s="18"/>
      <c r="NKM20" s="16"/>
      <c r="NKN20" s="18"/>
      <c r="NKO20" s="16"/>
      <c r="NKP20" s="18"/>
      <c r="NKQ20" s="16"/>
      <c r="NKR20" s="18"/>
      <c r="NKS20" s="16"/>
      <c r="NKT20" s="18"/>
      <c r="NKU20" s="16"/>
      <c r="NKV20" s="18"/>
      <c r="NKW20" s="16"/>
      <c r="NKX20" s="18"/>
      <c r="NKY20" s="16"/>
      <c r="NKZ20" s="18"/>
      <c r="NLA20" s="16"/>
      <c r="NLB20" s="18"/>
      <c r="NLC20" s="16"/>
      <c r="NLD20" s="18"/>
      <c r="NLE20" s="16"/>
      <c r="NLF20" s="18"/>
      <c r="NLG20" s="16"/>
      <c r="NLH20" s="18"/>
      <c r="NLI20" s="16"/>
      <c r="NLJ20" s="18"/>
      <c r="NLK20" s="16"/>
      <c r="NLL20" s="18"/>
      <c r="NLM20" s="16"/>
      <c r="NLN20" s="18"/>
      <c r="NLO20" s="16"/>
      <c r="NLP20" s="18"/>
      <c r="NLQ20" s="16"/>
      <c r="NLR20" s="18"/>
      <c r="NLS20" s="16"/>
      <c r="NLT20" s="18"/>
      <c r="NLU20" s="16"/>
      <c r="NLV20" s="18"/>
      <c r="NLW20" s="16"/>
      <c r="NLX20" s="18"/>
      <c r="NLY20" s="16"/>
      <c r="NLZ20" s="18"/>
      <c r="NMA20" s="16"/>
      <c r="NMB20" s="18"/>
      <c r="NMC20" s="16"/>
      <c r="NMD20" s="18"/>
      <c r="NME20" s="16"/>
      <c r="NMF20" s="18"/>
      <c r="NMG20" s="16"/>
      <c r="NMH20" s="18"/>
      <c r="NMI20" s="16"/>
      <c r="NMJ20" s="18"/>
      <c r="NMK20" s="16"/>
      <c r="NML20" s="18"/>
      <c r="NMM20" s="16"/>
      <c r="NMN20" s="18"/>
      <c r="NMO20" s="16"/>
      <c r="NMP20" s="18"/>
      <c r="NMQ20" s="16"/>
      <c r="NMR20" s="18"/>
      <c r="NMS20" s="16"/>
      <c r="NMT20" s="18"/>
      <c r="NMU20" s="16"/>
      <c r="NMV20" s="18"/>
      <c r="NMW20" s="16"/>
      <c r="NMX20" s="18"/>
      <c r="NMY20" s="16"/>
      <c r="NMZ20" s="18"/>
      <c r="NNA20" s="16"/>
      <c r="NNB20" s="18"/>
      <c r="NNC20" s="16"/>
      <c r="NND20" s="18"/>
      <c r="NNE20" s="16"/>
      <c r="NNF20" s="18"/>
      <c r="NNG20" s="16"/>
      <c r="NNH20" s="18"/>
      <c r="NNI20" s="16"/>
      <c r="NNJ20" s="18"/>
      <c r="NNK20" s="16"/>
      <c r="NNL20" s="18"/>
      <c r="NNM20" s="16"/>
      <c r="NNN20" s="18"/>
      <c r="NNO20" s="16"/>
      <c r="NNP20" s="18"/>
      <c r="NNQ20" s="16"/>
      <c r="NNR20" s="18"/>
      <c r="NNS20" s="16"/>
      <c r="NNT20" s="18"/>
      <c r="NNU20" s="16"/>
      <c r="NNV20" s="18"/>
      <c r="NNW20" s="16"/>
      <c r="NNX20" s="18"/>
      <c r="NNY20" s="16"/>
      <c r="NNZ20" s="18"/>
      <c r="NOA20" s="16"/>
      <c r="NOB20" s="18"/>
      <c r="NOC20" s="16"/>
      <c r="NOD20" s="18"/>
      <c r="NOE20" s="16"/>
      <c r="NOF20" s="18"/>
      <c r="NOG20" s="16"/>
      <c r="NOH20" s="18"/>
      <c r="NOI20" s="16"/>
      <c r="NOJ20" s="18"/>
      <c r="NOK20" s="16"/>
      <c r="NOL20" s="18"/>
      <c r="NOM20" s="16"/>
      <c r="NON20" s="18"/>
      <c r="NOO20" s="16"/>
      <c r="NOP20" s="18"/>
      <c r="NOQ20" s="16"/>
      <c r="NOR20" s="18"/>
      <c r="NOS20" s="16"/>
      <c r="NOT20" s="18"/>
      <c r="NOU20" s="16"/>
      <c r="NOV20" s="18"/>
      <c r="NOW20" s="16"/>
      <c r="NOX20" s="18"/>
      <c r="NOY20" s="16"/>
      <c r="NOZ20" s="18"/>
      <c r="NPA20" s="16"/>
      <c r="NPB20" s="18"/>
      <c r="NPC20" s="16"/>
      <c r="NPD20" s="18"/>
      <c r="NPE20" s="16"/>
      <c r="NPF20" s="18"/>
      <c r="NPG20" s="16"/>
      <c r="NPH20" s="18"/>
      <c r="NPI20" s="16"/>
      <c r="NPJ20" s="18"/>
      <c r="NPK20" s="16"/>
      <c r="NPL20" s="18"/>
      <c r="NPM20" s="16"/>
      <c r="NPN20" s="18"/>
      <c r="NPO20" s="16"/>
      <c r="NPP20" s="18"/>
      <c r="NPQ20" s="16"/>
      <c r="NPR20" s="18"/>
      <c r="NPS20" s="16"/>
      <c r="NPT20" s="18"/>
      <c r="NPU20" s="16"/>
      <c r="NPV20" s="18"/>
      <c r="NPW20" s="16"/>
      <c r="NPX20" s="18"/>
      <c r="NPY20" s="16"/>
      <c r="NPZ20" s="18"/>
      <c r="NQA20" s="16"/>
      <c r="NQB20" s="18"/>
      <c r="NQC20" s="16"/>
      <c r="NQD20" s="18"/>
      <c r="NQE20" s="16"/>
      <c r="NQF20" s="18"/>
      <c r="NQG20" s="16"/>
      <c r="NQH20" s="18"/>
      <c r="NQI20" s="16"/>
      <c r="NQJ20" s="18"/>
      <c r="NQK20" s="16"/>
      <c r="NQL20" s="18"/>
      <c r="NQM20" s="16"/>
      <c r="NQN20" s="18"/>
      <c r="NQO20" s="16"/>
      <c r="NQP20" s="18"/>
      <c r="NQQ20" s="16"/>
      <c r="NQR20" s="18"/>
      <c r="NQS20" s="16"/>
      <c r="NQT20" s="18"/>
      <c r="NQU20" s="16"/>
      <c r="NQV20" s="18"/>
      <c r="NQW20" s="16"/>
      <c r="NQX20" s="18"/>
      <c r="NQY20" s="16"/>
      <c r="NQZ20" s="18"/>
      <c r="NRA20" s="16"/>
      <c r="NRB20" s="18"/>
      <c r="NRC20" s="16"/>
      <c r="NRD20" s="18"/>
      <c r="NRE20" s="16"/>
      <c r="NRF20" s="18"/>
      <c r="NRG20" s="16"/>
      <c r="NRH20" s="18"/>
      <c r="NRI20" s="16"/>
      <c r="NRJ20" s="18"/>
      <c r="NRK20" s="16"/>
      <c r="NRL20" s="18"/>
      <c r="NRM20" s="16"/>
      <c r="NRN20" s="18"/>
      <c r="NRO20" s="16"/>
      <c r="NRP20" s="18"/>
      <c r="NRQ20" s="16"/>
      <c r="NRR20" s="18"/>
      <c r="NRS20" s="16"/>
      <c r="NRT20" s="18"/>
      <c r="NRU20" s="16"/>
      <c r="NRV20" s="18"/>
      <c r="NRW20" s="16"/>
      <c r="NRX20" s="18"/>
      <c r="NRY20" s="16"/>
      <c r="NRZ20" s="18"/>
      <c r="NSA20" s="16"/>
      <c r="NSB20" s="18"/>
      <c r="NSC20" s="16"/>
      <c r="NSD20" s="18"/>
      <c r="NSE20" s="16"/>
      <c r="NSF20" s="18"/>
      <c r="NSG20" s="16"/>
      <c r="NSH20" s="18"/>
      <c r="NSI20" s="16"/>
      <c r="NSJ20" s="18"/>
      <c r="NSK20" s="16"/>
      <c r="NSL20" s="18"/>
      <c r="NSM20" s="16"/>
      <c r="NSN20" s="18"/>
      <c r="NSO20" s="16"/>
      <c r="NSP20" s="18"/>
      <c r="NSQ20" s="16"/>
      <c r="NSR20" s="18"/>
      <c r="NSS20" s="16"/>
      <c r="NST20" s="18"/>
      <c r="NSU20" s="16"/>
      <c r="NSV20" s="18"/>
      <c r="NSW20" s="16"/>
      <c r="NSX20" s="18"/>
      <c r="NSY20" s="16"/>
      <c r="NSZ20" s="18"/>
      <c r="NTA20" s="16"/>
      <c r="NTB20" s="18"/>
      <c r="NTC20" s="16"/>
      <c r="NTD20" s="18"/>
      <c r="NTE20" s="16"/>
      <c r="NTF20" s="18"/>
      <c r="NTG20" s="16"/>
      <c r="NTH20" s="18"/>
      <c r="NTI20" s="16"/>
      <c r="NTJ20" s="18"/>
      <c r="NTK20" s="16"/>
      <c r="NTL20" s="18"/>
      <c r="NTM20" s="16"/>
      <c r="NTN20" s="18"/>
      <c r="NTO20" s="16"/>
      <c r="NTP20" s="18"/>
      <c r="NTQ20" s="16"/>
      <c r="NTR20" s="18"/>
      <c r="NTS20" s="16"/>
      <c r="NTT20" s="18"/>
      <c r="NTU20" s="16"/>
      <c r="NTV20" s="18"/>
      <c r="NTW20" s="16"/>
      <c r="NTX20" s="18"/>
      <c r="NTY20" s="16"/>
      <c r="NTZ20" s="18"/>
      <c r="NUA20" s="16"/>
      <c r="NUB20" s="18"/>
      <c r="NUC20" s="16"/>
      <c r="NUD20" s="18"/>
      <c r="NUE20" s="16"/>
      <c r="NUF20" s="18"/>
      <c r="NUG20" s="16"/>
      <c r="NUH20" s="18"/>
      <c r="NUI20" s="16"/>
      <c r="NUJ20" s="18"/>
      <c r="NUK20" s="16"/>
      <c r="NUL20" s="18"/>
      <c r="NUM20" s="16"/>
      <c r="NUN20" s="18"/>
      <c r="NUO20" s="16"/>
      <c r="NUP20" s="18"/>
      <c r="NUQ20" s="16"/>
      <c r="NUR20" s="18"/>
      <c r="NUS20" s="16"/>
      <c r="NUT20" s="18"/>
      <c r="NUU20" s="16"/>
      <c r="NUV20" s="18"/>
      <c r="NUW20" s="16"/>
      <c r="NUX20" s="18"/>
      <c r="NUY20" s="16"/>
      <c r="NUZ20" s="18"/>
      <c r="NVA20" s="16"/>
      <c r="NVB20" s="18"/>
      <c r="NVC20" s="16"/>
      <c r="NVD20" s="18"/>
      <c r="NVE20" s="16"/>
      <c r="NVF20" s="18"/>
      <c r="NVG20" s="16"/>
      <c r="NVH20" s="18"/>
      <c r="NVI20" s="16"/>
      <c r="NVJ20" s="18"/>
      <c r="NVK20" s="16"/>
      <c r="NVL20" s="18"/>
      <c r="NVM20" s="16"/>
      <c r="NVN20" s="18"/>
      <c r="NVO20" s="16"/>
      <c r="NVP20" s="18"/>
      <c r="NVQ20" s="16"/>
      <c r="NVR20" s="18"/>
      <c r="NVS20" s="16"/>
      <c r="NVT20" s="18"/>
      <c r="NVU20" s="16"/>
      <c r="NVV20" s="18"/>
      <c r="NVW20" s="16"/>
      <c r="NVX20" s="18"/>
      <c r="NVY20" s="16"/>
      <c r="NVZ20" s="18"/>
      <c r="NWA20" s="16"/>
      <c r="NWB20" s="18"/>
      <c r="NWC20" s="16"/>
      <c r="NWD20" s="18"/>
      <c r="NWE20" s="16"/>
      <c r="NWF20" s="18"/>
      <c r="NWG20" s="16"/>
      <c r="NWH20" s="18"/>
      <c r="NWI20" s="16"/>
      <c r="NWJ20" s="18"/>
      <c r="NWK20" s="16"/>
      <c r="NWL20" s="18"/>
      <c r="NWM20" s="16"/>
      <c r="NWN20" s="18"/>
      <c r="NWO20" s="16"/>
      <c r="NWP20" s="18"/>
      <c r="NWQ20" s="16"/>
      <c r="NWR20" s="18"/>
      <c r="NWS20" s="16"/>
      <c r="NWT20" s="18"/>
      <c r="NWU20" s="16"/>
      <c r="NWV20" s="18"/>
      <c r="NWW20" s="16"/>
      <c r="NWX20" s="18"/>
      <c r="NWY20" s="16"/>
      <c r="NWZ20" s="18"/>
      <c r="NXA20" s="16"/>
      <c r="NXB20" s="18"/>
      <c r="NXC20" s="16"/>
      <c r="NXD20" s="18"/>
      <c r="NXE20" s="16"/>
      <c r="NXF20" s="18"/>
      <c r="NXG20" s="16"/>
      <c r="NXH20" s="18"/>
      <c r="NXI20" s="16"/>
      <c r="NXJ20" s="18"/>
      <c r="NXK20" s="16"/>
      <c r="NXL20" s="18"/>
      <c r="NXM20" s="16"/>
      <c r="NXN20" s="18"/>
      <c r="NXO20" s="16"/>
      <c r="NXP20" s="18"/>
      <c r="NXQ20" s="16"/>
      <c r="NXR20" s="18"/>
      <c r="NXS20" s="16"/>
      <c r="NXT20" s="18"/>
      <c r="NXU20" s="16"/>
      <c r="NXV20" s="18"/>
      <c r="NXW20" s="16"/>
      <c r="NXX20" s="18"/>
      <c r="NXY20" s="16"/>
      <c r="NXZ20" s="18"/>
      <c r="NYA20" s="16"/>
      <c r="NYB20" s="18"/>
      <c r="NYC20" s="16"/>
      <c r="NYD20" s="18"/>
      <c r="NYE20" s="16"/>
      <c r="NYF20" s="18"/>
      <c r="NYG20" s="16"/>
      <c r="NYH20" s="18"/>
      <c r="NYI20" s="16"/>
      <c r="NYJ20" s="18"/>
      <c r="NYK20" s="16"/>
      <c r="NYL20" s="18"/>
      <c r="NYM20" s="16"/>
      <c r="NYN20" s="18"/>
      <c r="NYO20" s="16"/>
      <c r="NYP20" s="18"/>
      <c r="NYQ20" s="16"/>
      <c r="NYR20" s="18"/>
      <c r="NYS20" s="16"/>
      <c r="NYT20" s="18"/>
      <c r="NYU20" s="16"/>
      <c r="NYV20" s="18"/>
      <c r="NYW20" s="16"/>
      <c r="NYX20" s="18"/>
      <c r="NYY20" s="16"/>
      <c r="NYZ20" s="18"/>
      <c r="NZA20" s="16"/>
      <c r="NZB20" s="18"/>
      <c r="NZC20" s="16"/>
      <c r="NZD20" s="18"/>
      <c r="NZE20" s="16"/>
      <c r="NZF20" s="18"/>
      <c r="NZG20" s="16"/>
      <c r="NZH20" s="18"/>
      <c r="NZI20" s="16"/>
      <c r="NZJ20" s="18"/>
      <c r="NZK20" s="16"/>
      <c r="NZL20" s="18"/>
      <c r="NZM20" s="16"/>
      <c r="NZN20" s="18"/>
      <c r="NZO20" s="16"/>
      <c r="NZP20" s="18"/>
      <c r="NZQ20" s="16"/>
      <c r="NZR20" s="18"/>
      <c r="NZS20" s="16"/>
      <c r="NZT20" s="18"/>
      <c r="NZU20" s="16"/>
      <c r="NZV20" s="18"/>
      <c r="NZW20" s="16"/>
      <c r="NZX20" s="18"/>
      <c r="NZY20" s="16"/>
      <c r="NZZ20" s="18"/>
      <c r="OAA20" s="16"/>
      <c r="OAB20" s="18"/>
      <c r="OAC20" s="16"/>
      <c r="OAD20" s="18"/>
      <c r="OAE20" s="16"/>
      <c r="OAF20" s="18"/>
      <c r="OAG20" s="16"/>
      <c r="OAH20" s="18"/>
      <c r="OAI20" s="16"/>
      <c r="OAJ20" s="18"/>
      <c r="OAK20" s="16"/>
      <c r="OAL20" s="18"/>
      <c r="OAM20" s="16"/>
      <c r="OAN20" s="18"/>
      <c r="OAO20" s="16"/>
      <c r="OAP20" s="18"/>
      <c r="OAQ20" s="16"/>
      <c r="OAR20" s="18"/>
      <c r="OAS20" s="16"/>
      <c r="OAT20" s="18"/>
      <c r="OAU20" s="16"/>
      <c r="OAV20" s="18"/>
      <c r="OAW20" s="16"/>
      <c r="OAX20" s="18"/>
      <c r="OAY20" s="16"/>
      <c r="OAZ20" s="18"/>
      <c r="OBA20" s="16"/>
      <c r="OBB20" s="18"/>
      <c r="OBC20" s="16"/>
      <c r="OBD20" s="18"/>
      <c r="OBE20" s="16"/>
      <c r="OBF20" s="18"/>
      <c r="OBG20" s="16"/>
      <c r="OBH20" s="18"/>
      <c r="OBI20" s="16"/>
      <c r="OBJ20" s="18"/>
      <c r="OBK20" s="16"/>
      <c r="OBL20" s="18"/>
      <c r="OBM20" s="16"/>
      <c r="OBN20" s="18"/>
      <c r="OBO20" s="16"/>
      <c r="OBP20" s="18"/>
      <c r="OBQ20" s="16"/>
      <c r="OBR20" s="18"/>
      <c r="OBS20" s="16"/>
      <c r="OBT20" s="18"/>
      <c r="OBU20" s="16"/>
      <c r="OBV20" s="18"/>
      <c r="OBW20" s="16"/>
      <c r="OBX20" s="18"/>
      <c r="OBY20" s="16"/>
      <c r="OBZ20" s="18"/>
      <c r="OCA20" s="16"/>
      <c r="OCB20" s="18"/>
      <c r="OCC20" s="16"/>
      <c r="OCD20" s="18"/>
      <c r="OCE20" s="16"/>
      <c r="OCF20" s="18"/>
      <c r="OCG20" s="16"/>
      <c r="OCH20" s="18"/>
      <c r="OCI20" s="16"/>
      <c r="OCJ20" s="18"/>
      <c r="OCK20" s="16"/>
      <c r="OCL20" s="18"/>
      <c r="OCM20" s="16"/>
      <c r="OCN20" s="18"/>
      <c r="OCO20" s="16"/>
      <c r="OCP20" s="18"/>
      <c r="OCQ20" s="16"/>
      <c r="OCR20" s="18"/>
      <c r="OCS20" s="16"/>
      <c r="OCT20" s="18"/>
      <c r="OCU20" s="16"/>
      <c r="OCV20" s="18"/>
      <c r="OCW20" s="16"/>
      <c r="OCX20" s="18"/>
      <c r="OCY20" s="16"/>
      <c r="OCZ20" s="18"/>
      <c r="ODA20" s="16"/>
      <c r="ODB20" s="18"/>
      <c r="ODC20" s="16"/>
      <c r="ODD20" s="18"/>
      <c r="ODE20" s="16"/>
      <c r="ODF20" s="18"/>
      <c r="ODG20" s="16"/>
      <c r="ODH20" s="18"/>
      <c r="ODI20" s="16"/>
      <c r="ODJ20" s="18"/>
      <c r="ODK20" s="16"/>
      <c r="ODL20" s="18"/>
      <c r="ODM20" s="16"/>
      <c r="ODN20" s="18"/>
      <c r="ODO20" s="16"/>
      <c r="ODP20" s="18"/>
      <c r="ODQ20" s="16"/>
      <c r="ODR20" s="18"/>
      <c r="ODS20" s="16"/>
      <c r="ODT20" s="18"/>
      <c r="ODU20" s="16"/>
      <c r="ODV20" s="18"/>
      <c r="ODW20" s="16"/>
      <c r="ODX20" s="18"/>
      <c r="ODY20" s="16"/>
      <c r="ODZ20" s="18"/>
      <c r="OEA20" s="16"/>
      <c r="OEB20" s="18"/>
      <c r="OEC20" s="16"/>
      <c r="OED20" s="18"/>
      <c r="OEE20" s="16"/>
      <c r="OEF20" s="18"/>
      <c r="OEG20" s="16"/>
      <c r="OEH20" s="18"/>
      <c r="OEI20" s="16"/>
      <c r="OEJ20" s="18"/>
      <c r="OEK20" s="16"/>
      <c r="OEL20" s="18"/>
      <c r="OEM20" s="16"/>
      <c r="OEN20" s="18"/>
      <c r="OEO20" s="16"/>
      <c r="OEP20" s="18"/>
      <c r="OEQ20" s="16"/>
      <c r="OER20" s="18"/>
      <c r="OES20" s="16"/>
      <c r="OET20" s="18"/>
      <c r="OEU20" s="16"/>
      <c r="OEV20" s="18"/>
      <c r="OEW20" s="16"/>
      <c r="OEX20" s="18"/>
      <c r="OEY20" s="16"/>
      <c r="OEZ20" s="18"/>
      <c r="OFA20" s="16"/>
      <c r="OFB20" s="18"/>
      <c r="OFC20" s="16"/>
      <c r="OFD20" s="18"/>
      <c r="OFE20" s="16"/>
      <c r="OFF20" s="18"/>
      <c r="OFG20" s="16"/>
      <c r="OFH20" s="18"/>
      <c r="OFI20" s="16"/>
      <c r="OFJ20" s="18"/>
      <c r="OFK20" s="16"/>
      <c r="OFL20" s="18"/>
      <c r="OFM20" s="16"/>
      <c r="OFN20" s="18"/>
      <c r="OFO20" s="16"/>
      <c r="OFP20" s="18"/>
      <c r="OFQ20" s="16"/>
      <c r="OFR20" s="18"/>
      <c r="OFS20" s="16"/>
      <c r="OFT20" s="18"/>
      <c r="OFU20" s="16"/>
      <c r="OFV20" s="18"/>
      <c r="OFW20" s="16"/>
      <c r="OFX20" s="18"/>
      <c r="OFY20" s="16"/>
      <c r="OFZ20" s="18"/>
      <c r="OGA20" s="16"/>
      <c r="OGB20" s="18"/>
      <c r="OGC20" s="16"/>
      <c r="OGD20" s="18"/>
      <c r="OGE20" s="16"/>
      <c r="OGF20" s="18"/>
      <c r="OGG20" s="16"/>
      <c r="OGH20" s="18"/>
      <c r="OGI20" s="16"/>
      <c r="OGJ20" s="18"/>
      <c r="OGK20" s="16"/>
      <c r="OGL20" s="18"/>
      <c r="OGM20" s="16"/>
      <c r="OGN20" s="18"/>
      <c r="OGO20" s="16"/>
      <c r="OGP20" s="18"/>
      <c r="OGQ20" s="16"/>
      <c r="OGR20" s="18"/>
      <c r="OGS20" s="16"/>
      <c r="OGT20" s="18"/>
      <c r="OGU20" s="16"/>
      <c r="OGV20" s="18"/>
      <c r="OGW20" s="16"/>
      <c r="OGX20" s="18"/>
      <c r="OGY20" s="16"/>
      <c r="OGZ20" s="18"/>
      <c r="OHA20" s="16"/>
      <c r="OHB20" s="18"/>
      <c r="OHC20" s="16"/>
      <c r="OHD20" s="18"/>
      <c r="OHE20" s="16"/>
      <c r="OHF20" s="18"/>
      <c r="OHG20" s="16"/>
      <c r="OHH20" s="18"/>
      <c r="OHI20" s="16"/>
      <c r="OHJ20" s="18"/>
      <c r="OHK20" s="16"/>
      <c r="OHL20" s="18"/>
      <c r="OHM20" s="16"/>
      <c r="OHN20" s="18"/>
      <c r="OHO20" s="16"/>
      <c r="OHP20" s="18"/>
      <c r="OHQ20" s="16"/>
      <c r="OHR20" s="18"/>
      <c r="OHS20" s="16"/>
      <c r="OHT20" s="18"/>
      <c r="OHU20" s="16"/>
      <c r="OHV20" s="18"/>
      <c r="OHW20" s="16"/>
      <c r="OHX20" s="18"/>
      <c r="OHY20" s="16"/>
      <c r="OHZ20" s="18"/>
      <c r="OIA20" s="16"/>
      <c r="OIB20" s="18"/>
      <c r="OIC20" s="16"/>
      <c r="OID20" s="18"/>
      <c r="OIE20" s="16"/>
      <c r="OIF20" s="18"/>
      <c r="OIG20" s="16"/>
      <c r="OIH20" s="18"/>
      <c r="OII20" s="16"/>
      <c r="OIJ20" s="18"/>
      <c r="OIK20" s="16"/>
      <c r="OIL20" s="18"/>
      <c r="OIM20" s="16"/>
      <c r="OIN20" s="18"/>
      <c r="OIO20" s="16"/>
      <c r="OIP20" s="18"/>
      <c r="OIQ20" s="16"/>
      <c r="OIR20" s="18"/>
      <c r="OIS20" s="16"/>
      <c r="OIT20" s="18"/>
      <c r="OIU20" s="16"/>
      <c r="OIV20" s="18"/>
      <c r="OIW20" s="16"/>
      <c r="OIX20" s="18"/>
      <c r="OIY20" s="16"/>
      <c r="OIZ20" s="18"/>
      <c r="OJA20" s="16"/>
      <c r="OJB20" s="18"/>
      <c r="OJC20" s="16"/>
      <c r="OJD20" s="18"/>
      <c r="OJE20" s="16"/>
      <c r="OJF20" s="18"/>
      <c r="OJG20" s="16"/>
      <c r="OJH20" s="18"/>
      <c r="OJI20" s="16"/>
      <c r="OJJ20" s="18"/>
      <c r="OJK20" s="16"/>
      <c r="OJL20" s="18"/>
      <c r="OJM20" s="16"/>
      <c r="OJN20" s="18"/>
      <c r="OJO20" s="16"/>
      <c r="OJP20" s="18"/>
      <c r="OJQ20" s="16"/>
      <c r="OJR20" s="18"/>
      <c r="OJS20" s="16"/>
      <c r="OJT20" s="18"/>
      <c r="OJU20" s="16"/>
      <c r="OJV20" s="18"/>
      <c r="OJW20" s="16"/>
      <c r="OJX20" s="18"/>
      <c r="OJY20" s="16"/>
      <c r="OJZ20" s="18"/>
      <c r="OKA20" s="16"/>
      <c r="OKB20" s="18"/>
      <c r="OKC20" s="16"/>
      <c r="OKD20" s="18"/>
      <c r="OKE20" s="16"/>
      <c r="OKF20" s="18"/>
      <c r="OKG20" s="16"/>
      <c r="OKH20" s="18"/>
      <c r="OKI20" s="16"/>
      <c r="OKJ20" s="18"/>
      <c r="OKK20" s="16"/>
      <c r="OKL20" s="18"/>
      <c r="OKM20" s="16"/>
      <c r="OKN20" s="18"/>
      <c r="OKO20" s="16"/>
      <c r="OKP20" s="18"/>
      <c r="OKQ20" s="16"/>
      <c r="OKR20" s="18"/>
      <c r="OKS20" s="16"/>
      <c r="OKT20" s="18"/>
      <c r="OKU20" s="16"/>
      <c r="OKV20" s="18"/>
      <c r="OKW20" s="16"/>
      <c r="OKX20" s="18"/>
      <c r="OKY20" s="16"/>
      <c r="OKZ20" s="18"/>
      <c r="OLA20" s="16"/>
      <c r="OLB20" s="18"/>
      <c r="OLC20" s="16"/>
      <c r="OLD20" s="18"/>
      <c r="OLE20" s="16"/>
      <c r="OLF20" s="18"/>
      <c r="OLG20" s="16"/>
      <c r="OLH20" s="18"/>
      <c r="OLI20" s="16"/>
      <c r="OLJ20" s="18"/>
      <c r="OLK20" s="16"/>
      <c r="OLL20" s="18"/>
      <c r="OLM20" s="16"/>
      <c r="OLN20" s="18"/>
      <c r="OLO20" s="16"/>
      <c r="OLP20" s="18"/>
      <c r="OLQ20" s="16"/>
      <c r="OLR20" s="18"/>
      <c r="OLS20" s="16"/>
      <c r="OLT20" s="18"/>
      <c r="OLU20" s="16"/>
      <c r="OLV20" s="18"/>
      <c r="OLW20" s="16"/>
      <c r="OLX20" s="18"/>
      <c r="OLY20" s="16"/>
      <c r="OLZ20" s="18"/>
      <c r="OMA20" s="16"/>
      <c r="OMB20" s="18"/>
      <c r="OMC20" s="16"/>
      <c r="OMD20" s="18"/>
      <c r="OME20" s="16"/>
      <c r="OMF20" s="18"/>
      <c r="OMG20" s="16"/>
      <c r="OMH20" s="18"/>
      <c r="OMI20" s="16"/>
      <c r="OMJ20" s="18"/>
      <c r="OMK20" s="16"/>
      <c r="OML20" s="18"/>
      <c r="OMM20" s="16"/>
      <c r="OMN20" s="18"/>
      <c r="OMO20" s="16"/>
      <c r="OMP20" s="18"/>
      <c r="OMQ20" s="16"/>
      <c r="OMR20" s="18"/>
      <c r="OMS20" s="16"/>
      <c r="OMT20" s="18"/>
      <c r="OMU20" s="16"/>
      <c r="OMV20" s="18"/>
      <c r="OMW20" s="16"/>
      <c r="OMX20" s="18"/>
      <c r="OMY20" s="16"/>
      <c r="OMZ20" s="18"/>
      <c r="ONA20" s="16"/>
      <c r="ONB20" s="18"/>
      <c r="ONC20" s="16"/>
      <c r="OND20" s="18"/>
      <c r="ONE20" s="16"/>
      <c r="ONF20" s="18"/>
      <c r="ONG20" s="16"/>
      <c r="ONH20" s="18"/>
      <c r="ONI20" s="16"/>
      <c r="ONJ20" s="18"/>
      <c r="ONK20" s="16"/>
      <c r="ONL20" s="18"/>
      <c r="ONM20" s="16"/>
      <c r="ONN20" s="18"/>
      <c r="ONO20" s="16"/>
      <c r="ONP20" s="18"/>
      <c r="ONQ20" s="16"/>
      <c r="ONR20" s="18"/>
      <c r="ONS20" s="16"/>
      <c r="ONT20" s="18"/>
      <c r="ONU20" s="16"/>
      <c r="ONV20" s="18"/>
      <c r="ONW20" s="16"/>
      <c r="ONX20" s="18"/>
      <c r="ONY20" s="16"/>
      <c r="ONZ20" s="18"/>
      <c r="OOA20" s="16"/>
      <c r="OOB20" s="18"/>
      <c r="OOC20" s="16"/>
      <c r="OOD20" s="18"/>
      <c r="OOE20" s="16"/>
      <c r="OOF20" s="18"/>
      <c r="OOG20" s="16"/>
      <c r="OOH20" s="18"/>
      <c r="OOI20" s="16"/>
      <c r="OOJ20" s="18"/>
      <c r="OOK20" s="16"/>
      <c r="OOL20" s="18"/>
      <c r="OOM20" s="16"/>
      <c r="OON20" s="18"/>
      <c r="OOO20" s="16"/>
      <c r="OOP20" s="18"/>
      <c r="OOQ20" s="16"/>
      <c r="OOR20" s="18"/>
      <c r="OOS20" s="16"/>
      <c r="OOT20" s="18"/>
      <c r="OOU20" s="16"/>
      <c r="OOV20" s="18"/>
      <c r="OOW20" s="16"/>
      <c r="OOX20" s="18"/>
      <c r="OOY20" s="16"/>
      <c r="OOZ20" s="18"/>
      <c r="OPA20" s="16"/>
      <c r="OPB20" s="18"/>
      <c r="OPC20" s="16"/>
      <c r="OPD20" s="18"/>
      <c r="OPE20" s="16"/>
      <c r="OPF20" s="18"/>
      <c r="OPG20" s="16"/>
      <c r="OPH20" s="18"/>
      <c r="OPI20" s="16"/>
      <c r="OPJ20" s="18"/>
      <c r="OPK20" s="16"/>
      <c r="OPL20" s="18"/>
      <c r="OPM20" s="16"/>
      <c r="OPN20" s="18"/>
      <c r="OPO20" s="16"/>
      <c r="OPP20" s="18"/>
      <c r="OPQ20" s="16"/>
      <c r="OPR20" s="18"/>
      <c r="OPS20" s="16"/>
      <c r="OPT20" s="18"/>
      <c r="OPU20" s="16"/>
      <c r="OPV20" s="18"/>
      <c r="OPW20" s="16"/>
      <c r="OPX20" s="18"/>
      <c r="OPY20" s="16"/>
      <c r="OPZ20" s="18"/>
      <c r="OQA20" s="16"/>
      <c r="OQB20" s="18"/>
      <c r="OQC20" s="16"/>
      <c r="OQD20" s="18"/>
      <c r="OQE20" s="16"/>
      <c r="OQF20" s="18"/>
      <c r="OQG20" s="16"/>
      <c r="OQH20" s="18"/>
      <c r="OQI20" s="16"/>
      <c r="OQJ20" s="18"/>
      <c r="OQK20" s="16"/>
      <c r="OQL20" s="18"/>
      <c r="OQM20" s="16"/>
      <c r="OQN20" s="18"/>
      <c r="OQO20" s="16"/>
      <c r="OQP20" s="18"/>
      <c r="OQQ20" s="16"/>
      <c r="OQR20" s="18"/>
      <c r="OQS20" s="16"/>
      <c r="OQT20" s="18"/>
      <c r="OQU20" s="16"/>
      <c r="OQV20" s="18"/>
      <c r="OQW20" s="16"/>
      <c r="OQX20" s="18"/>
      <c r="OQY20" s="16"/>
      <c r="OQZ20" s="18"/>
      <c r="ORA20" s="16"/>
      <c r="ORB20" s="18"/>
      <c r="ORC20" s="16"/>
      <c r="ORD20" s="18"/>
      <c r="ORE20" s="16"/>
      <c r="ORF20" s="18"/>
      <c r="ORG20" s="16"/>
      <c r="ORH20" s="18"/>
      <c r="ORI20" s="16"/>
      <c r="ORJ20" s="18"/>
      <c r="ORK20" s="16"/>
      <c r="ORL20" s="18"/>
      <c r="ORM20" s="16"/>
      <c r="ORN20" s="18"/>
      <c r="ORO20" s="16"/>
      <c r="ORP20" s="18"/>
      <c r="ORQ20" s="16"/>
      <c r="ORR20" s="18"/>
      <c r="ORS20" s="16"/>
      <c r="ORT20" s="18"/>
      <c r="ORU20" s="16"/>
      <c r="ORV20" s="18"/>
      <c r="ORW20" s="16"/>
      <c r="ORX20" s="18"/>
      <c r="ORY20" s="16"/>
      <c r="ORZ20" s="18"/>
      <c r="OSA20" s="16"/>
      <c r="OSB20" s="18"/>
      <c r="OSC20" s="16"/>
      <c r="OSD20" s="18"/>
      <c r="OSE20" s="16"/>
      <c r="OSF20" s="18"/>
      <c r="OSG20" s="16"/>
      <c r="OSH20" s="18"/>
      <c r="OSI20" s="16"/>
      <c r="OSJ20" s="18"/>
      <c r="OSK20" s="16"/>
      <c r="OSL20" s="18"/>
      <c r="OSM20" s="16"/>
      <c r="OSN20" s="18"/>
      <c r="OSO20" s="16"/>
      <c r="OSP20" s="18"/>
      <c r="OSQ20" s="16"/>
      <c r="OSR20" s="18"/>
      <c r="OSS20" s="16"/>
      <c r="OST20" s="18"/>
      <c r="OSU20" s="16"/>
      <c r="OSV20" s="18"/>
      <c r="OSW20" s="16"/>
      <c r="OSX20" s="18"/>
      <c r="OSY20" s="16"/>
      <c r="OSZ20" s="18"/>
      <c r="OTA20" s="16"/>
      <c r="OTB20" s="18"/>
      <c r="OTC20" s="16"/>
      <c r="OTD20" s="18"/>
      <c r="OTE20" s="16"/>
      <c r="OTF20" s="18"/>
      <c r="OTG20" s="16"/>
      <c r="OTH20" s="18"/>
      <c r="OTI20" s="16"/>
      <c r="OTJ20" s="18"/>
      <c r="OTK20" s="16"/>
      <c r="OTL20" s="18"/>
      <c r="OTM20" s="16"/>
      <c r="OTN20" s="18"/>
      <c r="OTO20" s="16"/>
      <c r="OTP20" s="18"/>
      <c r="OTQ20" s="16"/>
      <c r="OTR20" s="18"/>
      <c r="OTS20" s="16"/>
      <c r="OTT20" s="18"/>
      <c r="OTU20" s="16"/>
      <c r="OTV20" s="18"/>
      <c r="OTW20" s="16"/>
      <c r="OTX20" s="18"/>
      <c r="OTY20" s="16"/>
      <c r="OTZ20" s="18"/>
      <c r="OUA20" s="16"/>
      <c r="OUB20" s="18"/>
      <c r="OUC20" s="16"/>
      <c r="OUD20" s="18"/>
      <c r="OUE20" s="16"/>
      <c r="OUF20" s="18"/>
      <c r="OUG20" s="16"/>
      <c r="OUH20" s="18"/>
      <c r="OUI20" s="16"/>
      <c r="OUJ20" s="18"/>
      <c r="OUK20" s="16"/>
      <c r="OUL20" s="18"/>
      <c r="OUM20" s="16"/>
      <c r="OUN20" s="18"/>
      <c r="OUO20" s="16"/>
      <c r="OUP20" s="18"/>
      <c r="OUQ20" s="16"/>
      <c r="OUR20" s="18"/>
      <c r="OUS20" s="16"/>
      <c r="OUT20" s="18"/>
      <c r="OUU20" s="16"/>
      <c r="OUV20" s="18"/>
      <c r="OUW20" s="16"/>
      <c r="OUX20" s="18"/>
      <c r="OUY20" s="16"/>
      <c r="OUZ20" s="18"/>
      <c r="OVA20" s="16"/>
      <c r="OVB20" s="18"/>
      <c r="OVC20" s="16"/>
      <c r="OVD20" s="18"/>
      <c r="OVE20" s="16"/>
      <c r="OVF20" s="18"/>
      <c r="OVG20" s="16"/>
      <c r="OVH20" s="18"/>
      <c r="OVI20" s="16"/>
      <c r="OVJ20" s="18"/>
      <c r="OVK20" s="16"/>
      <c r="OVL20" s="18"/>
      <c r="OVM20" s="16"/>
      <c r="OVN20" s="18"/>
      <c r="OVO20" s="16"/>
      <c r="OVP20" s="18"/>
      <c r="OVQ20" s="16"/>
      <c r="OVR20" s="18"/>
      <c r="OVS20" s="16"/>
      <c r="OVT20" s="18"/>
      <c r="OVU20" s="16"/>
      <c r="OVV20" s="18"/>
      <c r="OVW20" s="16"/>
      <c r="OVX20" s="18"/>
      <c r="OVY20" s="16"/>
      <c r="OVZ20" s="18"/>
      <c r="OWA20" s="16"/>
      <c r="OWB20" s="18"/>
      <c r="OWC20" s="16"/>
      <c r="OWD20" s="18"/>
      <c r="OWE20" s="16"/>
      <c r="OWF20" s="18"/>
      <c r="OWG20" s="16"/>
      <c r="OWH20" s="18"/>
      <c r="OWI20" s="16"/>
      <c r="OWJ20" s="18"/>
      <c r="OWK20" s="16"/>
      <c r="OWL20" s="18"/>
      <c r="OWM20" s="16"/>
      <c r="OWN20" s="18"/>
      <c r="OWO20" s="16"/>
      <c r="OWP20" s="18"/>
      <c r="OWQ20" s="16"/>
      <c r="OWR20" s="18"/>
      <c r="OWS20" s="16"/>
      <c r="OWT20" s="18"/>
      <c r="OWU20" s="16"/>
      <c r="OWV20" s="18"/>
      <c r="OWW20" s="16"/>
      <c r="OWX20" s="18"/>
      <c r="OWY20" s="16"/>
      <c r="OWZ20" s="18"/>
      <c r="OXA20" s="16"/>
      <c r="OXB20" s="18"/>
      <c r="OXC20" s="16"/>
      <c r="OXD20" s="18"/>
      <c r="OXE20" s="16"/>
      <c r="OXF20" s="18"/>
      <c r="OXG20" s="16"/>
      <c r="OXH20" s="18"/>
      <c r="OXI20" s="16"/>
      <c r="OXJ20" s="18"/>
      <c r="OXK20" s="16"/>
      <c r="OXL20" s="18"/>
      <c r="OXM20" s="16"/>
      <c r="OXN20" s="18"/>
      <c r="OXO20" s="16"/>
      <c r="OXP20" s="18"/>
      <c r="OXQ20" s="16"/>
      <c r="OXR20" s="18"/>
      <c r="OXS20" s="16"/>
      <c r="OXT20" s="18"/>
      <c r="OXU20" s="16"/>
      <c r="OXV20" s="18"/>
      <c r="OXW20" s="16"/>
      <c r="OXX20" s="18"/>
      <c r="OXY20" s="16"/>
      <c r="OXZ20" s="18"/>
      <c r="OYA20" s="16"/>
      <c r="OYB20" s="18"/>
      <c r="OYC20" s="16"/>
      <c r="OYD20" s="18"/>
      <c r="OYE20" s="16"/>
      <c r="OYF20" s="18"/>
      <c r="OYG20" s="16"/>
      <c r="OYH20" s="18"/>
      <c r="OYI20" s="16"/>
      <c r="OYJ20" s="18"/>
      <c r="OYK20" s="16"/>
      <c r="OYL20" s="18"/>
      <c r="OYM20" s="16"/>
      <c r="OYN20" s="18"/>
      <c r="OYO20" s="16"/>
      <c r="OYP20" s="18"/>
      <c r="OYQ20" s="16"/>
      <c r="OYR20" s="18"/>
      <c r="OYS20" s="16"/>
      <c r="OYT20" s="18"/>
      <c r="OYU20" s="16"/>
      <c r="OYV20" s="18"/>
      <c r="OYW20" s="16"/>
      <c r="OYX20" s="18"/>
      <c r="OYY20" s="16"/>
      <c r="OYZ20" s="18"/>
      <c r="OZA20" s="16"/>
      <c r="OZB20" s="18"/>
      <c r="OZC20" s="16"/>
      <c r="OZD20" s="18"/>
      <c r="OZE20" s="16"/>
      <c r="OZF20" s="18"/>
      <c r="OZG20" s="16"/>
      <c r="OZH20" s="18"/>
      <c r="OZI20" s="16"/>
      <c r="OZJ20" s="18"/>
      <c r="OZK20" s="16"/>
      <c r="OZL20" s="18"/>
      <c r="OZM20" s="16"/>
      <c r="OZN20" s="18"/>
      <c r="OZO20" s="16"/>
      <c r="OZP20" s="18"/>
      <c r="OZQ20" s="16"/>
      <c r="OZR20" s="18"/>
      <c r="OZS20" s="16"/>
      <c r="OZT20" s="18"/>
      <c r="OZU20" s="16"/>
      <c r="OZV20" s="18"/>
      <c r="OZW20" s="16"/>
      <c r="OZX20" s="18"/>
      <c r="OZY20" s="16"/>
      <c r="OZZ20" s="18"/>
      <c r="PAA20" s="16"/>
      <c r="PAB20" s="18"/>
      <c r="PAC20" s="16"/>
      <c r="PAD20" s="18"/>
      <c r="PAE20" s="16"/>
      <c r="PAF20" s="18"/>
      <c r="PAG20" s="16"/>
      <c r="PAH20" s="18"/>
      <c r="PAI20" s="16"/>
      <c r="PAJ20" s="18"/>
      <c r="PAK20" s="16"/>
      <c r="PAL20" s="18"/>
      <c r="PAM20" s="16"/>
      <c r="PAN20" s="18"/>
      <c r="PAO20" s="16"/>
      <c r="PAP20" s="18"/>
      <c r="PAQ20" s="16"/>
      <c r="PAR20" s="18"/>
      <c r="PAS20" s="16"/>
      <c r="PAT20" s="18"/>
      <c r="PAU20" s="16"/>
      <c r="PAV20" s="18"/>
      <c r="PAW20" s="16"/>
      <c r="PAX20" s="18"/>
      <c r="PAY20" s="16"/>
      <c r="PAZ20" s="18"/>
      <c r="PBA20" s="16"/>
      <c r="PBB20" s="18"/>
      <c r="PBC20" s="16"/>
      <c r="PBD20" s="18"/>
      <c r="PBE20" s="16"/>
      <c r="PBF20" s="18"/>
      <c r="PBG20" s="16"/>
      <c r="PBH20" s="18"/>
      <c r="PBI20" s="16"/>
      <c r="PBJ20" s="18"/>
      <c r="PBK20" s="16"/>
      <c r="PBL20" s="18"/>
      <c r="PBM20" s="16"/>
      <c r="PBN20" s="18"/>
      <c r="PBO20" s="16"/>
      <c r="PBP20" s="18"/>
      <c r="PBQ20" s="16"/>
      <c r="PBR20" s="18"/>
      <c r="PBS20" s="16"/>
      <c r="PBT20" s="18"/>
      <c r="PBU20" s="16"/>
      <c r="PBV20" s="18"/>
      <c r="PBW20" s="16"/>
      <c r="PBX20" s="18"/>
      <c r="PBY20" s="16"/>
      <c r="PBZ20" s="18"/>
      <c r="PCA20" s="16"/>
      <c r="PCB20" s="18"/>
      <c r="PCC20" s="16"/>
      <c r="PCD20" s="18"/>
      <c r="PCE20" s="16"/>
      <c r="PCF20" s="18"/>
      <c r="PCG20" s="16"/>
      <c r="PCH20" s="18"/>
      <c r="PCI20" s="16"/>
      <c r="PCJ20" s="18"/>
      <c r="PCK20" s="16"/>
      <c r="PCL20" s="18"/>
      <c r="PCM20" s="16"/>
      <c r="PCN20" s="18"/>
      <c r="PCO20" s="16"/>
      <c r="PCP20" s="18"/>
      <c r="PCQ20" s="16"/>
      <c r="PCR20" s="18"/>
      <c r="PCS20" s="16"/>
      <c r="PCT20" s="18"/>
      <c r="PCU20" s="16"/>
      <c r="PCV20" s="18"/>
      <c r="PCW20" s="16"/>
      <c r="PCX20" s="18"/>
      <c r="PCY20" s="16"/>
      <c r="PCZ20" s="18"/>
      <c r="PDA20" s="16"/>
      <c r="PDB20" s="18"/>
      <c r="PDC20" s="16"/>
      <c r="PDD20" s="18"/>
      <c r="PDE20" s="16"/>
      <c r="PDF20" s="18"/>
      <c r="PDG20" s="16"/>
      <c r="PDH20" s="18"/>
      <c r="PDI20" s="16"/>
      <c r="PDJ20" s="18"/>
      <c r="PDK20" s="16"/>
      <c r="PDL20" s="18"/>
      <c r="PDM20" s="16"/>
      <c r="PDN20" s="18"/>
      <c r="PDO20" s="16"/>
      <c r="PDP20" s="18"/>
      <c r="PDQ20" s="16"/>
      <c r="PDR20" s="18"/>
      <c r="PDS20" s="16"/>
      <c r="PDT20" s="18"/>
      <c r="PDU20" s="16"/>
      <c r="PDV20" s="18"/>
      <c r="PDW20" s="16"/>
      <c r="PDX20" s="18"/>
      <c r="PDY20" s="16"/>
      <c r="PDZ20" s="18"/>
      <c r="PEA20" s="16"/>
      <c r="PEB20" s="18"/>
      <c r="PEC20" s="16"/>
      <c r="PED20" s="18"/>
      <c r="PEE20" s="16"/>
      <c r="PEF20" s="18"/>
      <c r="PEG20" s="16"/>
      <c r="PEH20" s="18"/>
      <c r="PEI20" s="16"/>
      <c r="PEJ20" s="18"/>
      <c r="PEK20" s="16"/>
      <c r="PEL20" s="18"/>
      <c r="PEM20" s="16"/>
      <c r="PEN20" s="18"/>
      <c r="PEO20" s="16"/>
      <c r="PEP20" s="18"/>
      <c r="PEQ20" s="16"/>
      <c r="PER20" s="18"/>
      <c r="PES20" s="16"/>
      <c r="PET20" s="18"/>
      <c r="PEU20" s="16"/>
      <c r="PEV20" s="18"/>
      <c r="PEW20" s="16"/>
      <c r="PEX20" s="18"/>
      <c r="PEY20" s="16"/>
      <c r="PEZ20" s="18"/>
      <c r="PFA20" s="16"/>
      <c r="PFB20" s="18"/>
      <c r="PFC20" s="16"/>
      <c r="PFD20" s="18"/>
      <c r="PFE20" s="16"/>
      <c r="PFF20" s="18"/>
      <c r="PFG20" s="16"/>
      <c r="PFH20" s="18"/>
      <c r="PFI20" s="16"/>
      <c r="PFJ20" s="18"/>
      <c r="PFK20" s="16"/>
      <c r="PFL20" s="18"/>
      <c r="PFM20" s="16"/>
      <c r="PFN20" s="18"/>
      <c r="PFO20" s="16"/>
      <c r="PFP20" s="18"/>
      <c r="PFQ20" s="16"/>
      <c r="PFR20" s="18"/>
      <c r="PFS20" s="16"/>
      <c r="PFT20" s="18"/>
      <c r="PFU20" s="16"/>
      <c r="PFV20" s="18"/>
      <c r="PFW20" s="16"/>
      <c r="PFX20" s="18"/>
      <c r="PFY20" s="16"/>
      <c r="PFZ20" s="18"/>
      <c r="PGA20" s="16"/>
      <c r="PGB20" s="18"/>
      <c r="PGC20" s="16"/>
      <c r="PGD20" s="18"/>
      <c r="PGE20" s="16"/>
      <c r="PGF20" s="18"/>
      <c r="PGG20" s="16"/>
      <c r="PGH20" s="18"/>
      <c r="PGI20" s="16"/>
      <c r="PGJ20" s="18"/>
      <c r="PGK20" s="16"/>
      <c r="PGL20" s="18"/>
      <c r="PGM20" s="16"/>
      <c r="PGN20" s="18"/>
      <c r="PGO20" s="16"/>
      <c r="PGP20" s="18"/>
      <c r="PGQ20" s="16"/>
      <c r="PGR20" s="18"/>
      <c r="PGS20" s="16"/>
      <c r="PGT20" s="18"/>
      <c r="PGU20" s="16"/>
      <c r="PGV20" s="18"/>
      <c r="PGW20" s="16"/>
      <c r="PGX20" s="18"/>
      <c r="PGY20" s="16"/>
      <c r="PGZ20" s="18"/>
      <c r="PHA20" s="16"/>
      <c r="PHB20" s="18"/>
      <c r="PHC20" s="16"/>
      <c r="PHD20" s="18"/>
      <c r="PHE20" s="16"/>
      <c r="PHF20" s="18"/>
      <c r="PHG20" s="16"/>
      <c r="PHH20" s="18"/>
      <c r="PHI20" s="16"/>
      <c r="PHJ20" s="18"/>
      <c r="PHK20" s="16"/>
      <c r="PHL20" s="18"/>
      <c r="PHM20" s="16"/>
      <c r="PHN20" s="18"/>
      <c r="PHO20" s="16"/>
      <c r="PHP20" s="18"/>
      <c r="PHQ20" s="16"/>
      <c r="PHR20" s="18"/>
      <c r="PHS20" s="16"/>
      <c r="PHT20" s="18"/>
      <c r="PHU20" s="16"/>
      <c r="PHV20" s="18"/>
      <c r="PHW20" s="16"/>
      <c r="PHX20" s="18"/>
      <c r="PHY20" s="16"/>
      <c r="PHZ20" s="18"/>
      <c r="PIA20" s="16"/>
      <c r="PIB20" s="18"/>
      <c r="PIC20" s="16"/>
      <c r="PID20" s="18"/>
      <c r="PIE20" s="16"/>
      <c r="PIF20" s="18"/>
      <c r="PIG20" s="16"/>
      <c r="PIH20" s="18"/>
      <c r="PII20" s="16"/>
      <c r="PIJ20" s="18"/>
      <c r="PIK20" s="16"/>
      <c r="PIL20" s="18"/>
      <c r="PIM20" s="16"/>
      <c r="PIN20" s="18"/>
      <c r="PIO20" s="16"/>
      <c r="PIP20" s="18"/>
      <c r="PIQ20" s="16"/>
      <c r="PIR20" s="18"/>
      <c r="PIS20" s="16"/>
      <c r="PIT20" s="18"/>
      <c r="PIU20" s="16"/>
      <c r="PIV20" s="18"/>
      <c r="PIW20" s="16"/>
      <c r="PIX20" s="18"/>
      <c r="PIY20" s="16"/>
      <c r="PIZ20" s="18"/>
      <c r="PJA20" s="16"/>
      <c r="PJB20" s="18"/>
      <c r="PJC20" s="16"/>
      <c r="PJD20" s="18"/>
      <c r="PJE20" s="16"/>
      <c r="PJF20" s="18"/>
      <c r="PJG20" s="16"/>
      <c r="PJH20" s="18"/>
      <c r="PJI20" s="16"/>
      <c r="PJJ20" s="18"/>
      <c r="PJK20" s="16"/>
      <c r="PJL20" s="18"/>
      <c r="PJM20" s="16"/>
      <c r="PJN20" s="18"/>
      <c r="PJO20" s="16"/>
      <c r="PJP20" s="18"/>
      <c r="PJQ20" s="16"/>
      <c r="PJR20" s="18"/>
      <c r="PJS20" s="16"/>
      <c r="PJT20" s="18"/>
      <c r="PJU20" s="16"/>
      <c r="PJV20" s="18"/>
      <c r="PJW20" s="16"/>
      <c r="PJX20" s="18"/>
      <c r="PJY20" s="16"/>
      <c r="PJZ20" s="18"/>
      <c r="PKA20" s="16"/>
      <c r="PKB20" s="18"/>
      <c r="PKC20" s="16"/>
      <c r="PKD20" s="18"/>
      <c r="PKE20" s="16"/>
      <c r="PKF20" s="18"/>
      <c r="PKG20" s="16"/>
      <c r="PKH20" s="18"/>
      <c r="PKI20" s="16"/>
      <c r="PKJ20" s="18"/>
      <c r="PKK20" s="16"/>
      <c r="PKL20" s="18"/>
      <c r="PKM20" s="16"/>
      <c r="PKN20" s="18"/>
      <c r="PKO20" s="16"/>
      <c r="PKP20" s="18"/>
      <c r="PKQ20" s="16"/>
      <c r="PKR20" s="18"/>
      <c r="PKS20" s="16"/>
      <c r="PKT20" s="18"/>
      <c r="PKU20" s="16"/>
      <c r="PKV20" s="18"/>
      <c r="PKW20" s="16"/>
      <c r="PKX20" s="18"/>
      <c r="PKY20" s="16"/>
      <c r="PKZ20" s="18"/>
      <c r="PLA20" s="16"/>
      <c r="PLB20" s="18"/>
      <c r="PLC20" s="16"/>
      <c r="PLD20" s="18"/>
      <c r="PLE20" s="16"/>
      <c r="PLF20" s="18"/>
      <c r="PLG20" s="16"/>
      <c r="PLH20" s="18"/>
      <c r="PLI20" s="16"/>
      <c r="PLJ20" s="18"/>
      <c r="PLK20" s="16"/>
      <c r="PLL20" s="18"/>
      <c r="PLM20" s="16"/>
      <c r="PLN20" s="18"/>
      <c r="PLO20" s="16"/>
      <c r="PLP20" s="18"/>
      <c r="PLQ20" s="16"/>
      <c r="PLR20" s="18"/>
      <c r="PLS20" s="16"/>
      <c r="PLT20" s="18"/>
      <c r="PLU20" s="16"/>
      <c r="PLV20" s="18"/>
      <c r="PLW20" s="16"/>
      <c r="PLX20" s="18"/>
      <c r="PLY20" s="16"/>
      <c r="PLZ20" s="18"/>
      <c r="PMA20" s="16"/>
      <c r="PMB20" s="18"/>
      <c r="PMC20" s="16"/>
      <c r="PMD20" s="18"/>
      <c r="PME20" s="16"/>
      <c r="PMF20" s="18"/>
      <c r="PMG20" s="16"/>
      <c r="PMH20" s="18"/>
      <c r="PMI20" s="16"/>
      <c r="PMJ20" s="18"/>
      <c r="PMK20" s="16"/>
      <c r="PML20" s="18"/>
      <c r="PMM20" s="16"/>
      <c r="PMN20" s="18"/>
      <c r="PMO20" s="16"/>
      <c r="PMP20" s="18"/>
      <c r="PMQ20" s="16"/>
      <c r="PMR20" s="18"/>
      <c r="PMS20" s="16"/>
      <c r="PMT20" s="18"/>
      <c r="PMU20" s="16"/>
      <c r="PMV20" s="18"/>
      <c r="PMW20" s="16"/>
      <c r="PMX20" s="18"/>
      <c r="PMY20" s="16"/>
      <c r="PMZ20" s="18"/>
      <c r="PNA20" s="16"/>
      <c r="PNB20" s="18"/>
      <c r="PNC20" s="16"/>
      <c r="PND20" s="18"/>
      <c r="PNE20" s="16"/>
      <c r="PNF20" s="18"/>
      <c r="PNG20" s="16"/>
      <c r="PNH20" s="18"/>
      <c r="PNI20" s="16"/>
      <c r="PNJ20" s="18"/>
      <c r="PNK20" s="16"/>
      <c r="PNL20" s="18"/>
      <c r="PNM20" s="16"/>
      <c r="PNN20" s="18"/>
      <c r="PNO20" s="16"/>
      <c r="PNP20" s="18"/>
      <c r="PNQ20" s="16"/>
      <c r="PNR20" s="18"/>
      <c r="PNS20" s="16"/>
      <c r="PNT20" s="18"/>
      <c r="PNU20" s="16"/>
      <c r="PNV20" s="18"/>
      <c r="PNW20" s="16"/>
      <c r="PNX20" s="18"/>
      <c r="PNY20" s="16"/>
      <c r="PNZ20" s="18"/>
      <c r="POA20" s="16"/>
      <c r="POB20" s="18"/>
      <c r="POC20" s="16"/>
      <c r="POD20" s="18"/>
      <c r="POE20" s="16"/>
      <c r="POF20" s="18"/>
      <c r="POG20" s="16"/>
      <c r="POH20" s="18"/>
      <c r="POI20" s="16"/>
      <c r="POJ20" s="18"/>
      <c r="POK20" s="16"/>
      <c r="POL20" s="18"/>
      <c r="POM20" s="16"/>
      <c r="PON20" s="18"/>
      <c r="POO20" s="16"/>
      <c r="POP20" s="18"/>
      <c r="POQ20" s="16"/>
      <c r="POR20" s="18"/>
      <c r="POS20" s="16"/>
      <c r="POT20" s="18"/>
      <c r="POU20" s="16"/>
      <c r="POV20" s="18"/>
      <c r="POW20" s="16"/>
      <c r="POX20" s="18"/>
      <c r="POY20" s="16"/>
      <c r="POZ20" s="18"/>
      <c r="PPA20" s="16"/>
      <c r="PPB20" s="18"/>
      <c r="PPC20" s="16"/>
      <c r="PPD20" s="18"/>
      <c r="PPE20" s="16"/>
      <c r="PPF20" s="18"/>
      <c r="PPG20" s="16"/>
      <c r="PPH20" s="18"/>
      <c r="PPI20" s="16"/>
      <c r="PPJ20" s="18"/>
      <c r="PPK20" s="16"/>
      <c r="PPL20" s="18"/>
      <c r="PPM20" s="16"/>
      <c r="PPN20" s="18"/>
      <c r="PPO20" s="16"/>
      <c r="PPP20" s="18"/>
      <c r="PPQ20" s="16"/>
      <c r="PPR20" s="18"/>
      <c r="PPS20" s="16"/>
      <c r="PPT20" s="18"/>
      <c r="PPU20" s="16"/>
      <c r="PPV20" s="18"/>
      <c r="PPW20" s="16"/>
      <c r="PPX20" s="18"/>
      <c r="PPY20" s="16"/>
      <c r="PPZ20" s="18"/>
      <c r="PQA20" s="16"/>
      <c r="PQB20" s="18"/>
      <c r="PQC20" s="16"/>
      <c r="PQD20" s="18"/>
      <c r="PQE20" s="16"/>
      <c r="PQF20" s="18"/>
      <c r="PQG20" s="16"/>
      <c r="PQH20" s="18"/>
      <c r="PQI20" s="16"/>
      <c r="PQJ20" s="18"/>
      <c r="PQK20" s="16"/>
      <c r="PQL20" s="18"/>
      <c r="PQM20" s="16"/>
      <c r="PQN20" s="18"/>
      <c r="PQO20" s="16"/>
      <c r="PQP20" s="18"/>
      <c r="PQQ20" s="16"/>
      <c r="PQR20" s="18"/>
      <c r="PQS20" s="16"/>
      <c r="PQT20" s="18"/>
      <c r="PQU20" s="16"/>
      <c r="PQV20" s="18"/>
      <c r="PQW20" s="16"/>
      <c r="PQX20" s="18"/>
      <c r="PQY20" s="16"/>
      <c r="PQZ20" s="18"/>
      <c r="PRA20" s="16"/>
      <c r="PRB20" s="18"/>
      <c r="PRC20" s="16"/>
      <c r="PRD20" s="18"/>
      <c r="PRE20" s="16"/>
      <c r="PRF20" s="18"/>
      <c r="PRG20" s="16"/>
      <c r="PRH20" s="18"/>
      <c r="PRI20" s="16"/>
      <c r="PRJ20" s="18"/>
      <c r="PRK20" s="16"/>
      <c r="PRL20" s="18"/>
      <c r="PRM20" s="16"/>
      <c r="PRN20" s="18"/>
      <c r="PRO20" s="16"/>
      <c r="PRP20" s="18"/>
      <c r="PRQ20" s="16"/>
      <c r="PRR20" s="18"/>
      <c r="PRS20" s="16"/>
      <c r="PRT20" s="18"/>
      <c r="PRU20" s="16"/>
      <c r="PRV20" s="18"/>
      <c r="PRW20" s="16"/>
      <c r="PRX20" s="18"/>
      <c r="PRY20" s="16"/>
      <c r="PRZ20" s="18"/>
      <c r="PSA20" s="16"/>
      <c r="PSB20" s="18"/>
      <c r="PSC20" s="16"/>
      <c r="PSD20" s="18"/>
      <c r="PSE20" s="16"/>
      <c r="PSF20" s="18"/>
      <c r="PSG20" s="16"/>
      <c r="PSH20" s="18"/>
      <c r="PSI20" s="16"/>
      <c r="PSJ20" s="18"/>
      <c r="PSK20" s="16"/>
      <c r="PSL20" s="18"/>
      <c r="PSM20" s="16"/>
      <c r="PSN20" s="18"/>
      <c r="PSO20" s="16"/>
      <c r="PSP20" s="18"/>
      <c r="PSQ20" s="16"/>
      <c r="PSR20" s="18"/>
      <c r="PSS20" s="16"/>
      <c r="PST20" s="18"/>
      <c r="PSU20" s="16"/>
      <c r="PSV20" s="18"/>
      <c r="PSW20" s="16"/>
      <c r="PSX20" s="18"/>
      <c r="PSY20" s="16"/>
      <c r="PSZ20" s="18"/>
      <c r="PTA20" s="16"/>
      <c r="PTB20" s="18"/>
      <c r="PTC20" s="16"/>
      <c r="PTD20" s="18"/>
      <c r="PTE20" s="16"/>
      <c r="PTF20" s="18"/>
      <c r="PTG20" s="16"/>
      <c r="PTH20" s="18"/>
      <c r="PTI20" s="16"/>
      <c r="PTJ20" s="18"/>
      <c r="PTK20" s="16"/>
      <c r="PTL20" s="18"/>
      <c r="PTM20" s="16"/>
      <c r="PTN20" s="18"/>
      <c r="PTO20" s="16"/>
      <c r="PTP20" s="18"/>
      <c r="PTQ20" s="16"/>
      <c r="PTR20" s="18"/>
      <c r="PTS20" s="16"/>
      <c r="PTT20" s="18"/>
      <c r="PTU20" s="16"/>
      <c r="PTV20" s="18"/>
      <c r="PTW20" s="16"/>
      <c r="PTX20" s="18"/>
      <c r="PTY20" s="16"/>
      <c r="PTZ20" s="18"/>
      <c r="PUA20" s="16"/>
      <c r="PUB20" s="18"/>
      <c r="PUC20" s="16"/>
      <c r="PUD20" s="18"/>
      <c r="PUE20" s="16"/>
      <c r="PUF20" s="18"/>
      <c r="PUG20" s="16"/>
      <c r="PUH20" s="18"/>
      <c r="PUI20" s="16"/>
      <c r="PUJ20" s="18"/>
      <c r="PUK20" s="16"/>
      <c r="PUL20" s="18"/>
      <c r="PUM20" s="16"/>
      <c r="PUN20" s="18"/>
      <c r="PUO20" s="16"/>
      <c r="PUP20" s="18"/>
      <c r="PUQ20" s="16"/>
      <c r="PUR20" s="18"/>
      <c r="PUS20" s="16"/>
      <c r="PUT20" s="18"/>
      <c r="PUU20" s="16"/>
      <c r="PUV20" s="18"/>
      <c r="PUW20" s="16"/>
      <c r="PUX20" s="18"/>
      <c r="PUY20" s="16"/>
      <c r="PUZ20" s="18"/>
      <c r="PVA20" s="16"/>
      <c r="PVB20" s="18"/>
      <c r="PVC20" s="16"/>
      <c r="PVD20" s="18"/>
      <c r="PVE20" s="16"/>
      <c r="PVF20" s="18"/>
      <c r="PVG20" s="16"/>
      <c r="PVH20" s="18"/>
      <c r="PVI20" s="16"/>
      <c r="PVJ20" s="18"/>
      <c r="PVK20" s="16"/>
      <c r="PVL20" s="18"/>
      <c r="PVM20" s="16"/>
      <c r="PVN20" s="18"/>
      <c r="PVO20" s="16"/>
      <c r="PVP20" s="18"/>
      <c r="PVQ20" s="16"/>
      <c r="PVR20" s="18"/>
      <c r="PVS20" s="16"/>
      <c r="PVT20" s="18"/>
      <c r="PVU20" s="16"/>
      <c r="PVV20" s="18"/>
      <c r="PVW20" s="16"/>
      <c r="PVX20" s="18"/>
      <c r="PVY20" s="16"/>
      <c r="PVZ20" s="18"/>
      <c r="PWA20" s="16"/>
      <c r="PWB20" s="18"/>
      <c r="PWC20" s="16"/>
      <c r="PWD20" s="18"/>
      <c r="PWE20" s="16"/>
      <c r="PWF20" s="18"/>
      <c r="PWG20" s="16"/>
      <c r="PWH20" s="18"/>
      <c r="PWI20" s="16"/>
      <c r="PWJ20" s="18"/>
      <c r="PWK20" s="16"/>
      <c r="PWL20" s="18"/>
      <c r="PWM20" s="16"/>
      <c r="PWN20" s="18"/>
      <c r="PWO20" s="16"/>
      <c r="PWP20" s="18"/>
      <c r="PWQ20" s="16"/>
      <c r="PWR20" s="18"/>
      <c r="PWS20" s="16"/>
      <c r="PWT20" s="18"/>
      <c r="PWU20" s="16"/>
      <c r="PWV20" s="18"/>
      <c r="PWW20" s="16"/>
      <c r="PWX20" s="18"/>
      <c r="PWY20" s="16"/>
      <c r="PWZ20" s="18"/>
      <c r="PXA20" s="16"/>
      <c r="PXB20" s="18"/>
      <c r="PXC20" s="16"/>
      <c r="PXD20" s="18"/>
      <c r="PXE20" s="16"/>
      <c r="PXF20" s="18"/>
      <c r="PXG20" s="16"/>
      <c r="PXH20" s="18"/>
      <c r="PXI20" s="16"/>
      <c r="PXJ20" s="18"/>
      <c r="PXK20" s="16"/>
      <c r="PXL20" s="18"/>
      <c r="PXM20" s="16"/>
      <c r="PXN20" s="18"/>
      <c r="PXO20" s="16"/>
      <c r="PXP20" s="18"/>
      <c r="PXQ20" s="16"/>
      <c r="PXR20" s="18"/>
      <c r="PXS20" s="16"/>
      <c r="PXT20" s="18"/>
      <c r="PXU20" s="16"/>
      <c r="PXV20" s="18"/>
      <c r="PXW20" s="16"/>
      <c r="PXX20" s="18"/>
      <c r="PXY20" s="16"/>
      <c r="PXZ20" s="18"/>
      <c r="PYA20" s="16"/>
      <c r="PYB20" s="18"/>
      <c r="PYC20" s="16"/>
      <c r="PYD20" s="18"/>
      <c r="PYE20" s="16"/>
      <c r="PYF20" s="18"/>
      <c r="PYG20" s="16"/>
      <c r="PYH20" s="18"/>
      <c r="PYI20" s="16"/>
      <c r="PYJ20" s="18"/>
      <c r="PYK20" s="16"/>
      <c r="PYL20" s="18"/>
      <c r="PYM20" s="16"/>
      <c r="PYN20" s="18"/>
      <c r="PYO20" s="16"/>
      <c r="PYP20" s="18"/>
      <c r="PYQ20" s="16"/>
      <c r="PYR20" s="18"/>
      <c r="PYS20" s="16"/>
      <c r="PYT20" s="18"/>
      <c r="PYU20" s="16"/>
      <c r="PYV20" s="18"/>
      <c r="PYW20" s="16"/>
      <c r="PYX20" s="18"/>
      <c r="PYY20" s="16"/>
      <c r="PYZ20" s="18"/>
      <c r="PZA20" s="16"/>
      <c r="PZB20" s="18"/>
      <c r="PZC20" s="16"/>
      <c r="PZD20" s="18"/>
      <c r="PZE20" s="16"/>
      <c r="PZF20" s="18"/>
      <c r="PZG20" s="16"/>
      <c r="PZH20" s="18"/>
      <c r="PZI20" s="16"/>
      <c r="PZJ20" s="18"/>
      <c r="PZK20" s="16"/>
      <c r="PZL20" s="18"/>
      <c r="PZM20" s="16"/>
      <c r="PZN20" s="18"/>
      <c r="PZO20" s="16"/>
      <c r="PZP20" s="18"/>
      <c r="PZQ20" s="16"/>
      <c r="PZR20" s="18"/>
      <c r="PZS20" s="16"/>
      <c r="PZT20" s="18"/>
      <c r="PZU20" s="16"/>
      <c r="PZV20" s="18"/>
      <c r="PZW20" s="16"/>
      <c r="PZX20" s="18"/>
      <c r="PZY20" s="16"/>
      <c r="PZZ20" s="18"/>
      <c r="QAA20" s="16"/>
      <c r="QAB20" s="18"/>
      <c r="QAC20" s="16"/>
      <c r="QAD20" s="18"/>
      <c r="QAE20" s="16"/>
      <c r="QAF20" s="18"/>
      <c r="QAG20" s="16"/>
      <c r="QAH20" s="18"/>
      <c r="QAI20" s="16"/>
      <c r="QAJ20" s="18"/>
      <c r="QAK20" s="16"/>
      <c r="QAL20" s="18"/>
      <c r="QAM20" s="16"/>
      <c r="QAN20" s="18"/>
      <c r="QAO20" s="16"/>
      <c r="QAP20" s="18"/>
      <c r="QAQ20" s="16"/>
      <c r="QAR20" s="18"/>
      <c r="QAS20" s="16"/>
      <c r="QAT20" s="18"/>
      <c r="QAU20" s="16"/>
      <c r="QAV20" s="18"/>
      <c r="QAW20" s="16"/>
      <c r="QAX20" s="18"/>
      <c r="QAY20" s="16"/>
      <c r="QAZ20" s="18"/>
      <c r="QBA20" s="16"/>
      <c r="QBB20" s="18"/>
      <c r="QBC20" s="16"/>
      <c r="QBD20" s="18"/>
      <c r="QBE20" s="16"/>
      <c r="QBF20" s="18"/>
      <c r="QBG20" s="16"/>
      <c r="QBH20" s="18"/>
      <c r="QBI20" s="16"/>
      <c r="QBJ20" s="18"/>
      <c r="QBK20" s="16"/>
      <c r="QBL20" s="18"/>
      <c r="QBM20" s="16"/>
      <c r="QBN20" s="18"/>
      <c r="QBO20" s="16"/>
      <c r="QBP20" s="18"/>
      <c r="QBQ20" s="16"/>
      <c r="QBR20" s="18"/>
      <c r="QBS20" s="16"/>
      <c r="QBT20" s="18"/>
      <c r="QBU20" s="16"/>
      <c r="QBV20" s="18"/>
      <c r="QBW20" s="16"/>
      <c r="QBX20" s="18"/>
      <c r="QBY20" s="16"/>
      <c r="QBZ20" s="18"/>
      <c r="QCA20" s="16"/>
      <c r="QCB20" s="18"/>
      <c r="QCC20" s="16"/>
      <c r="QCD20" s="18"/>
      <c r="QCE20" s="16"/>
      <c r="QCF20" s="18"/>
      <c r="QCG20" s="16"/>
      <c r="QCH20" s="18"/>
      <c r="QCI20" s="16"/>
      <c r="QCJ20" s="18"/>
      <c r="QCK20" s="16"/>
      <c r="QCL20" s="18"/>
      <c r="QCM20" s="16"/>
      <c r="QCN20" s="18"/>
      <c r="QCO20" s="16"/>
      <c r="QCP20" s="18"/>
      <c r="QCQ20" s="16"/>
      <c r="QCR20" s="18"/>
      <c r="QCS20" s="16"/>
      <c r="QCT20" s="18"/>
      <c r="QCU20" s="16"/>
      <c r="QCV20" s="18"/>
      <c r="QCW20" s="16"/>
      <c r="QCX20" s="18"/>
      <c r="QCY20" s="16"/>
      <c r="QCZ20" s="18"/>
      <c r="QDA20" s="16"/>
      <c r="QDB20" s="18"/>
      <c r="QDC20" s="16"/>
      <c r="QDD20" s="18"/>
      <c r="QDE20" s="16"/>
      <c r="QDF20" s="18"/>
      <c r="QDG20" s="16"/>
      <c r="QDH20" s="18"/>
      <c r="QDI20" s="16"/>
      <c r="QDJ20" s="18"/>
      <c r="QDK20" s="16"/>
      <c r="QDL20" s="18"/>
      <c r="QDM20" s="16"/>
      <c r="QDN20" s="18"/>
      <c r="QDO20" s="16"/>
      <c r="QDP20" s="18"/>
      <c r="QDQ20" s="16"/>
      <c r="QDR20" s="18"/>
      <c r="QDS20" s="16"/>
      <c r="QDT20" s="18"/>
      <c r="QDU20" s="16"/>
      <c r="QDV20" s="18"/>
      <c r="QDW20" s="16"/>
      <c r="QDX20" s="18"/>
      <c r="QDY20" s="16"/>
      <c r="QDZ20" s="18"/>
      <c r="QEA20" s="16"/>
      <c r="QEB20" s="18"/>
      <c r="QEC20" s="16"/>
      <c r="QED20" s="18"/>
      <c r="QEE20" s="16"/>
      <c r="QEF20" s="18"/>
      <c r="QEG20" s="16"/>
      <c r="QEH20" s="18"/>
      <c r="QEI20" s="16"/>
      <c r="QEJ20" s="18"/>
      <c r="QEK20" s="16"/>
      <c r="QEL20" s="18"/>
      <c r="QEM20" s="16"/>
      <c r="QEN20" s="18"/>
      <c r="QEO20" s="16"/>
      <c r="QEP20" s="18"/>
      <c r="QEQ20" s="16"/>
      <c r="QER20" s="18"/>
      <c r="QES20" s="16"/>
      <c r="QET20" s="18"/>
      <c r="QEU20" s="16"/>
      <c r="QEV20" s="18"/>
      <c r="QEW20" s="16"/>
      <c r="QEX20" s="18"/>
      <c r="QEY20" s="16"/>
      <c r="QEZ20" s="18"/>
      <c r="QFA20" s="16"/>
      <c r="QFB20" s="18"/>
      <c r="QFC20" s="16"/>
      <c r="QFD20" s="18"/>
      <c r="QFE20" s="16"/>
      <c r="QFF20" s="18"/>
      <c r="QFG20" s="16"/>
      <c r="QFH20" s="18"/>
      <c r="QFI20" s="16"/>
      <c r="QFJ20" s="18"/>
      <c r="QFK20" s="16"/>
      <c r="QFL20" s="18"/>
      <c r="QFM20" s="16"/>
      <c r="QFN20" s="18"/>
      <c r="QFO20" s="16"/>
      <c r="QFP20" s="18"/>
      <c r="QFQ20" s="16"/>
      <c r="QFR20" s="18"/>
      <c r="QFS20" s="16"/>
      <c r="QFT20" s="18"/>
      <c r="QFU20" s="16"/>
      <c r="QFV20" s="18"/>
      <c r="QFW20" s="16"/>
      <c r="QFX20" s="18"/>
      <c r="QFY20" s="16"/>
      <c r="QFZ20" s="18"/>
      <c r="QGA20" s="16"/>
      <c r="QGB20" s="18"/>
      <c r="QGC20" s="16"/>
      <c r="QGD20" s="18"/>
      <c r="QGE20" s="16"/>
      <c r="QGF20" s="18"/>
      <c r="QGG20" s="16"/>
      <c r="QGH20" s="18"/>
      <c r="QGI20" s="16"/>
      <c r="QGJ20" s="18"/>
      <c r="QGK20" s="16"/>
      <c r="QGL20" s="18"/>
      <c r="QGM20" s="16"/>
      <c r="QGN20" s="18"/>
      <c r="QGO20" s="16"/>
      <c r="QGP20" s="18"/>
      <c r="QGQ20" s="16"/>
      <c r="QGR20" s="18"/>
      <c r="QGS20" s="16"/>
      <c r="QGT20" s="18"/>
      <c r="QGU20" s="16"/>
      <c r="QGV20" s="18"/>
      <c r="QGW20" s="16"/>
      <c r="QGX20" s="18"/>
      <c r="QGY20" s="16"/>
      <c r="QGZ20" s="18"/>
      <c r="QHA20" s="16"/>
      <c r="QHB20" s="18"/>
      <c r="QHC20" s="16"/>
      <c r="QHD20" s="18"/>
      <c r="QHE20" s="16"/>
      <c r="QHF20" s="18"/>
      <c r="QHG20" s="16"/>
      <c r="QHH20" s="18"/>
      <c r="QHI20" s="16"/>
      <c r="QHJ20" s="18"/>
      <c r="QHK20" s="16"/>
      <c r="QHL20" s="18"/>
      <c r="QHM20" s="16"/>
      <c r="QHN20" s="18"/>
      <c r="QHO20" s="16"/>
      <c r="QHP20" s="18"/>
      <c r="QHQ20" s="16"/>
      <c r="QHR20" s="18"/>
      <c r="QHS20" s="16"/>
      <c r="QHT20" s="18"/>
      <c r="QHU20" s="16"/>
      <c r="QHV20" s="18"/>
      <c r="QHW20" s="16"/>
      <c r="QHX20" s="18"/>
      <c r="QHY20" s="16"/>
      <c r="QHZ20" s="18"/>
      <c r="QIA20" s="16"/>
      <c r="QIB20" s="18"/>
      <c r="QIC20" s="16"/>
      <c r="QID20" s="18"/>
      <c r="QIE20" s="16"/>
      <c r="QIF20" s="18"/>
      <c r="QIG20" s="16"/>
      <c r="QIH20" s="18"/>
      <c r="QII20" s="16"/>
      <c r="QIJ20" s="18"/>
      <c r="QIK20" s="16"/>
      <c r="QIL20" s="18"/>
      <c r="QIM20" s="16"/>
      <c r="QIN20" s="18"/>
      <c r="QIO20" s="16"/>
      <c r="QIP20" s="18"/>
      <c r="QIQ20" s="16"/>
      <c r="QIR20" s="18"/>
      <c r="QIS20" s="16"/>
      <c r="QIT20" s="18"/>
      <c r="QIU20" s="16"/>
      <c r="QIV20" s="18"/>
      <c r="QIW20" s="16"/>
      <c r="QIX20" s="18"/>
      <c r="QIY20" s="16"/>
      <c r="QIZ20" s="18"/>
      <c r="QJA20" s="16"/>
      <c r="QJB20" s="18"/>
      <c r="QJC20" s="16"/>
      <c r="QJD20" s="18"/>
      <c r="QJE20" s="16"/>
      <c r="QJF20" s="18"/>
      <c r="QJG20" s="16"/>
      <c r="QJH20" s="18"/>
      <c r="QJI20" s="16"/>
      <c r="QJJ20" s="18"/>
      <c r="QJK20" s="16"/>
      <c r="QJL20" s="18"/>
      <c r="QJM20" s="16"/>
      <c r="QJN20" s="18"/>
      <c r="QJO20" s="16"/>
      <c r="QJP20" s="18"/>
      <c r="QJQ20" s="16"/>
      <c r="QJR20" s="18"/>
      <c r="QJS20" s="16"/>
      <c r="QJT20" s="18"/>
      <c r="QJU20" s="16"/>
      <c r="QJV20" s="18"/>
      <c r="QJW20" s="16"/>
      <c r="QJX20" s="18"/>
      <c r="QJY20" s="16"/>
      <c r="QJZ20" s="18"/>
      <c r="QKA20" s="16"/>
      <c r="QKB20" s="18"/>
      <c r="QKC20" s="16"/>
      <c r="QKD20" s="18"/>
      <c r="QKE20" s="16"/>
      <c r="QKF20" s="18"/>
      <c r="QKG20" s="16"/>
      <c r="QKH20" s="18"/>
      <c r="QKI20" s="16"/>
      <c r="QKJ20" s="18"/>
      <c r="QKK20" s="16"/>
      <c r="QKL20" s="18"/>
      <c r="QKM20" s="16"/>
      <c r="QKN20" s="18"/>
      <c r="QKO20" s="16"/>
      <c r="QKP20" s="18"/>
      <c r="QKQ20" s="16"/>
      <c r="QKR20" s="18"/>
      <c r="QKS20" s="16"/>
      <c r="QKT20" s="18"/>
      <c r="QKU20" s="16"/>
      <c r="QKV20" s="18"/>
      <c r="QKW20" s="16"/>
      <c r="QKX20" s="18"/>
      <c r="QKY20" s="16"/>
      <c r="QKZ20" s="18"/>
      <c r="QLA20" s="16"/>
      <c r="QLB20" s="18"/>
      <c r="QLC20" s="16"/>
      <c r="QLD20" s="18"/>
      <c r="QLE20" s="16"/>
      <c r="QLF20" s="18"/>
      <c r="QLG20" s="16"/>
      <c r="QLH20" s="18"/>
      <c r="QLI20" s="16"/>
      <c r="QLJ20" s="18"/>
      <c r="QLK20" s="16"/>
      <c r="QLL20" s="18"/>
      <c r="QLM20" s="16"/>
      <c r="QLN20" s="18"/>
      <c r="QLO20" s="16"/>
      <c r="QLP20" s="18"/>
      <c r="QLQ20" s="16"/>
      <c r="QLR20" s="18"/>
      <c r="QLS20" s="16"/>
      <c r="QLT20" s="18"/>
      <c r="QLU20" s="16"/>
      <c r="QLV20" s="18"/>
      <c r="QLW20" s="16"/>
      <c r="QLX20" s="18"/>
      <c r="QLY20" s="16"/>
      <c r="QLZ20" s="18"/>
      <c r="QMA20" s="16"/>
      <c r="QMB20" s="18"/>
      <c r="QMC20" s="16"/>
      <c r="QMD20" s="18"/>
      <c r="QME20" s="16"/>
      <c r="QMF20" s="18"/>
      <c r="QMG20" s="16"/>
      <c r="QMH20" s="18"/>
      <c r="QMI20" s="16"/>
      <c r="QMJ20" s="18"/>
      <c r="QMK20" s="16"/>
      <c r="QML20" s="18"/>
      <c r="QMM20" s="16"/>
      <c r="QMN20" s="18"/>
      <c r="QMO20" s="16"/>
      <c r="QMP20" s="18"/>
      <c r="QMQ20" s="16"/>
      <c r="QMR20" s="18"/>
      <c r="QMS20" s="16"/>
      <c r="QMT20" s="18"/>
      <c r="QMU20" s="16"/>
      <c r="QMV20" s="18"/>
      <c r="QMW20" s="16"/>
      <c r="QMX20" s="18"/>
      <c r="QMY20" s="16"/>
      <c r="QMZ20" s="18"/>
      <c r="QNA20" s="16"/>
      <c r="QNB20" s="18"/>
      <c r="QNC20" s="16"/>
      <c r="QND20" s="18"/>
      <c r="QNE20" s="16"/>
      <c r="QNF20" s="18"/>
      <c r="QNG20" s="16"/>
      <c r="QNH20" s="18"/>
      <c r="QNI20" s="16"/>
      <c r="QNJ20" s="18"/>
      <c r="QNK20" s="16"/>
      <c r="QNL20" s="18"/>
      <c r="QNM20" s="16"/>
      <c r="QNN20" s="18"/>
      <c r="QNO20" s="16"/>
      <c r="QNP20" s="18"/>
      <c r="QNQ20" s="16"/>
      <c r="QNR20" s="18"/>
      <c r="QNS20" s="16"/>
      <c r="QNT20" s="18"/>
      <c r="QNU20" s="16"/>
      <c r="QNV20" s="18"/>
      <c r="QNW20" s="16"/>
      <c r="QNX20" s="18"/>
      <c r="QNY20" s="16"/>
      <c r="QNZ20" s="18"/>
      <c r="QOA20" s="16"/>
      <c r="QOB20" s="18"/>
      <c r="QOC20" s="16"/>
      <c r="QOD20" s="18"/>
      <c r="QOE20" s="16"/>
      <c r="QOF20" s="18"/>
      <c r="QOG20" s="16"/>
      <c r="QOH20" s="18"/>
      <c r="QOI20" s="16"/>
      <c r="QOJ20" s="18"/>
      <c r="QOK20" s="16"/>
      <c r="QOL20" s="18"/>
      <c r="QOM20" s="16"/>
      <c r="QON20" s="18"/>
      <c r="QOO20" s="16"/>
      <c r="QOP20" s="18"/>
      <c r="QOQ20" s="16"/>
      <c r="QOR20" s="18"/>
      <c r="QOS20" s="16"/>
      <c r="QOT20" s="18"/>
      <c r="QOU20" s="16"/>
      <c r="QOV20" s="18"/>
      <c r="QOW20" s="16"/>
      <c r="QOX20" s="18"/>
      <c r="QOY20" s="16"/>
      <c r="QOZ20" s="18"/>
      <c r="QPA20" s="16"/>
      <c r="QPB20" s="18"/>
      <c r="QPC20" s="16"/>
      <c r="QPD20" s="18"/>
      <c r="QPE20" s="16"/>
      <c r="QPF20" s="18"/>
      <c r="QPG20" s="16"/>
      <c r="QPH20" s="18"/>
      <c r="QPI20" s="16"/>
      <c r="QPJ20" s="18"/>
      <c r="QPK20" s="16"/>
      <c r="QPL20" s="18"/>
      <c r="QPM20" s="16"/>
      <c r="QPN20" s="18"/>
      <c r="QPO20" s="16"/>
      <c r="QPP20" s="18"/>
      <c r="QPQ20" s="16"/>
      <c r="QPR20" s="18"/>
      <c r="QPS20" s="16"/>
      <c r="QPT20" s="18"/>
      <c r="QPU20" s="16"/>
      <c r="QPV20" s="18"/>
      <c r="QPW20" s="16"/>
      <c r="QPX20" s="18"/>
      <c r="QPY20" s="16"/>
      <c r="QPZ20" s="18"/>
      <c r="QQA20" s="16"/>
      <c r="QQB20" s="18"/>
      <c r="QQC20" s="16"/>
      <c r="QQD20" s="18"/>
      <c r="QQE20" s="16"/>
      <c r="QQF20" s="18"/>
      <c r="QQG20" s="16"/>
      <c r="QQH20" s="18"/>
      <c r="QQI20" s="16"/>
      <c r="QQJ20" s="18"/>
      <c r="QQK20" s="16"/>
      <c r="QQL20" s="18"/>
      <c r="QQM20" s="16"/>
      <c r="QQN20" s="18"/>
      <c r="QQO20" s="16"/>
      <c r="QQP20" s="18"/>
      <c r="QQQ20" s="16"/>
      <c r="QQR20" s="18"/>
      <c r="QQS20" s="16"/>
      <c r="QQT20" s="18"/>
      <c r="QQU20" s="16"/>
      <c r="QQV20" s="18"/>
      <c r="QQW20" s="16"/>
      <c r="QQX20" s="18"/>
      <c r="QQY20" s="16"/>
      <c r="QQZ20" s="18"/>
      <c r="QRA20" s="16"/>
      <c r="QRB20" s="18"/>
      <c r="QRC20" s="16"/>
      <c r="QRD20" s="18"/>
      <c r="QRE20" s="16"/>
      <c r="QRF20" s="18"/>
      <c r="QRG20" s="16"/>
      <c r="QRH20" s="18"/>
      <c r="QRI20" s="16"/>
      <c r="QRJ20" s="18"/>
      <c r="QRK20" s="16"/>
      <c r="QRL20" s="18"/>
      <c r="QRM20" s="16"/>
      <c r="QRN20" s="18"/>
      <c r="QRO20" s="16"/>
      <c r="QRP20" s="18"/>
      <c r="QRQ20" s="16"/>
      <c r="QRR20" s="18"/>
      <c r="QRS20" s="16"/>
      <c r="QRT20" s="18"/>
      <c r="QRU20" s="16"/>
      <c r="QRV20" s="18"/>
      <c r="QRW20" s="16"/>
      <c r="QRX20" s="18"/>
      <c r="QRY20" s="16"/>
      <c r="QRZ20" s="18"/>
      <c r="QSA20" s="16"/>
      <c r="QSB20" s="18"/>
      <c r="QSC20" s="16"/>
      <c r="QSD20" s="18"/>
      <c r="QSE20" s="16"/>
      <c r="QSF20" s="18"/>
      <c r="QSG20" s="16"/>
      <c r="QSH20" s="18"/>
      <c r="QSI20" s="16"/>
      <c r="QSJ20" s="18"/>
      <c r="QSK20" s="16"/>
      <c r="QSL20" s="18"/>
      <c r="QSM20" s="16"/>
      <c r="QSN20" s="18"/>
      <c r="QSO20" s="16"/>
      <c r="QSP20" s="18"/>
      <c r="QSQ20" s="16"/>
      <c r="QSR20" s="18"/>
      <c r="QSS20" s="16"/>
      <c r="QST20" s="18"/>
      <c r="QSU20" s="16"/>
      <c r="QSV20" s="18"/>
      <c r="QSW20" s="16"/>
      <c r="QSX20" s="18"/>
      <c r="QSY20" s="16"/>
      <c r="QSZ20" s="18"/>
      <c r="QTA20" s="16"/>
      <c r="QTB20" s="18"/>
      <c r="QTC20" s="16"/>
      <c r="QTD20" s="18"/>
      <c r="QTE20" s="16"/>
      <c r="QTF20" s="18"/>
      <c r="QTG20" s="16"/>
      <c r="QTH20" s="18"/>
      <c r="QTI20" s="16"/>
      <c r="QTJ20" s="18"/>
      <c r="QTK20" s="16"/>
      <c r="QTL20" s="18"/>
      <c r="QTM20" s="16"/>
      <c r="QTN20" s="18"/>
      <c r="QTO20" s="16"/>
      <c r="QTP20" s="18"/>
      <c r="QTQ20" s="16"/>
      <c r="QTR20" s="18"/>
      <c r="QTS20" s="16"/>
      <c r="QTT20" s="18"/>
      <c r="QTU20" s="16"/>
      <c r="QTV20" s="18"/>
      <c r="QTW20" s="16"/>
      <c r="QTX20" s="18"/>
      <c r="QTY20" s="16"/>
      <c r="QTZ20" s="18"/>
      <c r="QUA20" s="16"/>
      <c r="QUB20" s="18"/>
      <c r="QUC20" s="16"/>
      <c r="QUD20" s="18"/>
      <c r="QUE20" s="16"/>
      <c r="QUF20" s="18"/>
      <c r="QUG20" s="16"/>
      <c r="QUH20" s="18"/>
      <c r="QUI20" s="16"/>
      <c r="QUJ20" s="18"/>
      <c r="QUK20" s="16"/>
      <c r="QUL20" s="18"/>
      <c r="QUM20" s="16"/>
      <c r="QUN20" s="18"/>
      <c r="QUO20" s="16"/>
      <c r="QUP20" s="18"/>
      <c r="QUQ20" s="16"/>
      <c r="QUR20" s="18"/>
      <c r="QUS20" s="16"/>
      <c r="QUT20" s="18"/>
      <c r="QUU20" s="16"/>
      <c r="QUV20" s="18"/>
      <c r="QUW20" s="16"/>
      <c r="QUX20" s="18"/>
      <c r="QUY20" s="16"/>
      <c r="QUZ20" s="18"/>
      <c r="QVA20" s="16"/>
      <c r="QVB20" s="18"/>
      <c r="QVC20" s="16"/>
      <c r="QVD20" s="18"/>
      <c r="QVE20" s="16"/>
      <c r="QVF20" s="18"/>
      <c r="QVG20" s="16"/>
      <c r="QVH20" s="18"/>
      <c r="QVI20" s="16"/>
      <c r="QVJ20" s="18"/>
      <c r="QVK20" s="16"/>
      <c r="QVL20" s="18"/>
      <c r="QVM20" s="16"/>
      <c r="QVN20" s="18"/>
      <c r="QVO20" s="16"/>
      <c r="QVP20" s="18"/>
      <c r="QVQ20" s="16"/>
      <c r="QVR20" s="18"/>
      <c r="QVS20" s="16"/>
      <c r="QVT20" s="18"/>
      <c r="QVU20" s="16"/>
      <c r="QVV20" s="18"/>
      <c r="QVW20" s="16"/>
      <c r="QVX20" s="18"/>
      <c r="QVY20" s="16"/>
      <c r="QVZ20" s="18"/>
      <c r="QWA20" s="16"/>
      <c r="QWB20" s="18"/>
      <c r="QWC20" s="16"/>
      <c r="QWD20" s="18"/>
      <c r="QWE20" s="16"/>
      <c r="QWF20" s="18"/>
      <c r="QWG20" s="16"/>
      <c r="QWH20" s="18"/>
      <c r="QWI20" s="16"/>
      <c r="QWJ20" s="18"/>
      <c r="QWK20" s="16"/>
      <c r="QWL20" s="18"/>
      <c r="QWM20" s="16"/>
      <c r="QWN20" s="18"/>
      <c r="QWO20" s="16"/>
      <c r="QWP20" s="18"/>
      <c r="QWQ20" s="16"/>
      <c r="QWR20" s="18"/>
      <c r="QWS20" s="16"/>
      <c r="QWT20" s="18"/>
      <c r="QWU20" s="16"/>
      <c r="QWV20" s="18"/>
      <c r="QWW20" s="16"/>
      <c r="QWX20" s="18"/>
      <c r="QWY20" s="16"/>
      <c r="QWZ20" s="18"/>
      <c r="QXA20" s="16"/>
      <c r="QXB20" s="18"/>
      <c r="QXC20" s="16"/>
      <c r="QXD20" s="18"/>
      <c r="QXE20" s="16"/>
      <c r="QXF20" s="18"/>
      <c r="QXG20" s="16"/>
      <c r="QXH20" s="18"/>
      <c r="QXI20" s="16"/>
      <c r="QXJ20" s="18"/>
      <c r="QXK20" s="16"/>
      <c r="QXL20" s="18"/>
      <c r="QXM20" s="16"/>
      <c r="QXN20" s="18"/>
      <c r="QXO20" s="16"/>
      <c r="QXP20" s="18"/>
      <c r="QXQ20" s="16"/>
      <c r="QXR20" s="18"/>
      <c r="QXS20" s="16"/>
      <c r="QXT20" s="18"/>
      <c r="QXU20" s="16"/>
      <c r="QXV20" s="18"/>
      <c r="QXW20" s="16"/>
      <c r="QXX20" s="18"/>
      <c r="QXY20" s="16"/>
      <c r="QXZ20" s="18"/>
      <c r="QYA20" s="16"/>
      <c r="QYB20" s="18"/>
      <c r="QYC20" s="16"/>
      <c r="QYD20" s="18"/>
      <c r="QYE20" s="16"/>
      <c r="QYF20" s="18"/>
      <c r="QYG20" s="16"/>
      <c r="QYH20" s="18"/>
      <c r="QYI20" s="16"/>
      <c r="QYJ20" s="18"/>
      <c r="QYK20" s="16"/>
      <c r="QYL20" s="18"/>
      <c r="QYM20" s="16"/>
      <c r="QYN20" s="18"/>
      <c r="QYO20" s="16"/>
      <c r="QYP20" s="18"/>
      <c r="QYQ20" s="16"/>
      <c r="QYR20" s="18"/>
      <c r="QYS20" s="16"/>
      <c r="QYT20" s="18"/>
      <c r="QYU20" s="16"/>
      <c r="QYV20" s="18"/>
      <c r="QYW20" s="16"/>
      <c r="QYX20" s="18"/>
      <c r="QYY20" s="16"/>
      <c r="QYZ20" s="18"/>
      <c r="QZA20" s="16"/>
      <c r="QZB20" s="18"/>
      <c r="QZC20" s="16"/>
      <c r="QZD20" s="18"/>
      <c r="QZE20" s="16"/>
      <c r="QZF20" s="18"/>
      <c r="QZG20" s="16"/>
      <c r="QZH20" s="18"/>
      <c r="QZI20" s="16"/>
      <c r="QZJ20" s="18"/>
      <c r="QZK20" s="16"/>
      <c r="QZL20" s="18"/>
      <c r="QZM20" s="16"/>
      <c r="QZN20" s="18"/>
      <c r="QZO20" s="16"/>
      <c r="QZP20" s="18"/>
      <c r="QZQ20" s="16"/>
      <c r="QZR20" s="18"/>
      <c r="QZS20" s="16"/>
      <c r="QZT20" s="18"/>
      <c r="QZU20" s="16"/>
      <c r="QZV20" s="18"/>
      <c r="QZW20" s="16"/>
      <c r="QZX20" s="18"/>
      <c r="QZY20" s="16"/>
      <c r="QZZ20" s="18"/>
      <c r="RAA20" s="16"/>
      <c r="RAB20" s="18"/>
      <c r="RAC20" s="16"/>
      <c r="RAD20" s="18"/>
      <c r="RAE20" s="16"/>
      <c r="RAF20" s="18"/>
      <c r="RAG20" s="16"/>
      <c r="RAH20" s="18"/>
      <c r="RAI20" s="16"/>
      <c r="RAJ20" s="18"/>
      <c r="RAK20" s="16"/>
      <c r="RAL20" s="18"/>
      <c r="RAM20" s="16"/>
      <c r="RAN20" s="18"/>
      <c r="RAO20" s="16"/>
      <c r="RAP20" s="18"/>
      <c r="RAQ20" s="16"/>
      <c r="RAR20" s="18"/>
      <c r="RAS20" s="16"/>
      <c r="RAT20" s="18"/>
      <c r="RAU20" s="16"/>
      <c r="RAV20" s="18"/>
      <c r="RAW20" s="16"/>
      <c r="RAX20" s="18"/>
      <c r="RAY20" s="16"/>
      <c r="RAZ20" s="18"/>
      <c r="RBA20" s="16"/>
      <c r="RBB20" s="18"/>
      <c r="RBC20" s="16"/>
      <c r="RBD20" s="18"/>
      <c r="RBE20" s="16"/>
      <c r="RBF20" s="18"/>
      <c r="RBG20" s="16"/>
      <c r="RBH20" s="18"/>
      <c r="RBI20" s="16"/>
      <c r="RBJ20" s="18"/>
      <c r="RBK20" s="16"/>
      <c r="RBL20" s="18"/>
      <c r="RBM20" s="16"/>
      <c r="RBN20" s="18"/>
      <c r="RBO20" s="16"/>
      <c r="RBP20" s="18"/>
      <c r="RBQ20" s="16"/>
      <c r="RBR20" s="18"/>
      <c r="RBS20" s="16"/>
      <c r="RBT20" s="18"/>
      <c r="RBU20" s="16"/>
      <c r="RBV20" s="18"/>
      <c r="RBW20" s="16"/>
      <c r="RBX20" s="18"/>
      <c r="RBY20" s="16"/>
      <c r="RBZ20" s="18"/>
      <c r="RCA20" s="16"/>
      <c r="RCB20" s="18"/>
      <c r="RCC20" s="16"/>
      <c r="RCD20" s="18"/>
      <c r="RCE20" s="16"/>
      <c r="RCF20" s="18"/>
      <c r="RCG20" s="16"/>
      <c r="RCH20" s="18"/>
      <c r="RCI20" s="16"/>
      <c r="RCJ20" s="18"/>
      <c r="RCK20" s="16"/>
      <c r="RCL20" s="18"/>
      <c r="RCM20" s="16"/>
      <c r="RCN20" s="18"/>
      <c r="RCO20" s="16"/>
      <c r="RCP20" s="18"/>
      <c r="RCQ20" s="16"/>
      <c r="RCR20" s="18"/>
      <c r="RCS20" s="16"/>
      <c r="RCT20" s="18"/>
      <c r="RCU20" s="16"/>
      <c r="RCV20" s="18"/>
      <c r="RCW20" s="16"/>
      <c r="RCX20" s="18"/>
      <c r="RCY20" s="16"/>
      <c r="RCZ20" s="18"/>
      <c r="RDA20" s="16"/>
      <c r="RDB20" s="18"/>
      <c r="RDC20" s="16"/>
      <c r="RDD20" s="18"/>
      <c r="RDE20" s="16"/>
      <c r="RDF20" s="18"/>
      <c r="RDG20" s="16"/>
      <c r="RDH20" s="18"/>
      <c r="RDI20" s="16"/>
      <c r="RDJ20" s="18"/>
      <c r="RDK20" s="16"/>
      <c r="RDL20" s="18"/>
      <c r="RDM20" s="16"/>
      <c r="RDN20" s="18"/>
      <c r="RDO20" s="16"/>
      <c r="RDP20" s="18"/>
      <c r="RDQ20" s="16"/>
      <c r="RDR20" s="18"/>
      <c r="RDS20" s="16"/>
      <c r="RDT20" s="18"/>
      <c r="RDU20" s="16"/>
      <c r="RDV20" s="18"/>
      <c r="RDW20" s="16"/>
      <c r="RDX20" s="18"/>
      <c r="RDY20" s="16"/>
      <c r="RDZ20" s="18"/>
      <c r="REA20" s="16"/>
      <c r="REB20" s="18"/>
      <c r="REC20" s="16"/>
      <c r="RED20" s="18"/>
      <c r="REE20" s="16"/>
      <c r="REF20" s="18"/>
      <c r="REG20" s="16"/>
      <c r="REH20" s="18"/>
      <c r="REI20" s="16"/>
      <c r="REJ20" s="18"/>
      <c r="REK20" s="16"/>
      <c r="REL20" s="18"/>
      <c r="REM20" s="16"/>
      <c r="REN20" s="18"/>
      <c r="REO20" s="16"/>
      <c r="REP20" s="18"/>
      <c r="REQ20" s="16"/>
      <c r="RER20" s="18"/>
      <c r="RES20" s="16"/>
      <c r="RET20" s="18"/>
      <c r="REU20" s="16"/>
      <c r="REV20" s="18"/>
      <c r="REW20" s="16"/>
      <c r="REX20" s="18"/>
      <c r="REY20" s="16"/>
      <c r="REZ20" s="18"/>
      <c r="RFA20" s="16"/>
      <c r="RFB20" s="18"/>
      <c r="RFC20" s="16"/>
      <c r="RFD20" s="18"/>
      <c r="RFE20" s="16"/>
      <c r="RFF20" s="18"/>
      <c r="RFG20" s="16"/>
      <c r="RFH20" s="18"/>
      <c r="RFI20" s="16"/>
      <c r="RFJ20" s="18"/>
      <c r="RFK20" s="16"/>
      <c r="RFL20" s="18"/>
      <c r="RFM20" s="16"/>
      <c r="RFN20" s="18"/>
      <c r="RFO20" s="16"/>
      <c r="RFP20" s="18"/>
      <c r="RFQ20" s="16"/>
      <c r="RFR20" s="18"/>
      <c r="RFS20" s="16"/>
      <c r="RFT20" s="18"/>
      <c r="RFU20" s="16"/>
      <c r="RFV20" s="18"/>
      <c r="RFW20" s="16"/>
      <c r="RFX20" s="18"/>
      <c r="RFY20" s="16"/>
      <c r="RFZ20" s="18"/>
      <c r="RGA20" s="16"/>
      <c r="RGB20" s="18"/>
      <c r="RGC20" s="16"/>
      <c r="RGD20" s="18"/>
      <c r="RGE20" s="16"/>
      <c r="RGF20" s="18"/>
      <c r="RGG20" s="16"/>
      <c r="RGH20" s="18"/>
      <c r="RGI20" s="16"/>
      <c r="RGJ20" s="18"/>
      <c r="RGK20" s="16"/>
      <c r="RGL20" s="18"/>
      <c r="RGM20" s="16"/>
      <c r="RGN20" s="18"/>
      <c r="RGO20" s="16"/>
      <c r="RGP20" s="18"/>
      <c r="RGQ20" s="16"/>
      <c r="RGR20" s="18"/>
      <c r="RGS20" s="16"/>
      <c r="RGT20" s="18"/>
      <c r="RGU20" s="16"/>
      <c r="RGV20" s="18"/>
      <c r="RGW20" s="16"/>
      <c r="RGX20" s="18"/>
      <c r="RGY20" s="16"/>
      <c r="RGZ20" s="18"/>
      <c r="RHA20" s="16"/>
      <c r="RHB20" s="18"/>
      <c r="RHC20" s="16"/>
      <c r="RHD20" s="18"/>
      <c r="RHE20" s="16"/>
      <c r="RHF20" s="18"/>
      <c r="RHG20" s="16"/>
      <c r="RHH20" s="18"/>
      <c r="RHI20" s="16"/>
      <c r="RHJ20" s="18"/>
      <c r="RHK20" s="16"/>
      <c r="RHL20" s="18"/>
      <c r="RHM20" s="16"/>
      <c r="RHN20" s="18"/>
      <c r="RHO20" s="16"/>
      <c r="RHP20" s="18"/>
      <c r="RHQ20" s="16"/>
      <c r="RHR20" s="18"/>
      <c r="RHS20" s="16"/>
      <c r="RHT20" s="18"/>
      <c r="RHU20" s="16"/>
      <c r="RHV20" s="18"/>
      <c r="RHW20" s="16"/>
      <c r="RHX20" s="18"/>
      <c r="RHY20" s="16"/>
      <c r="RHZ20" s="18"/>
      <c r="RIA20" s="16"/>
      <c r="RIB20" s="18"/>
      <c r="RIC20" s="16"/>
      <c r="RID20" s="18"/>
      <c r="RIE20" s="16"/>
      <c r="RIF20" s="18"/>
      <c r="RIG20" s="16"/>
      <c r="RIH20" s="18"/>
      <c r="RII20" s="16"/>
      <c r="RIJ20" s="18"/>
      <c r="RIK20" s="16"/>
      <c r="RIL20" s="18"/>
      <c r="RIM20" s="16"/>
      <c r="RIN20" s="18"/>
      <c r="RIO20" s="16"/>
      <c r="RIP20" s="18"/>
      <c r="RIQ20" s="16"/>
      <c r="RIR20" s="18"/>
      <c r="RIS20" s="16"/>
      <c r="RIT20" s="18"/>
      <c r="RIU20" s="16"/>
      <c r="RIV20" s="18"/>
      <c r="RIW20" s="16"/>
      <c r="RIX20" s="18"/>
      <c r="RIY20" s="16"/>
      <c r="RIZ20" s="18"/>
      <c r="RJA20" s="16"/>
      <c r="RJB20" s="18"/>
      <c r="RJC20" s="16"/>
      <c r="RJD20" s="18"/>
      <c r="RJE20" s="16"/>
      <c r="RJF20" s="18"/>
      <c r="RJG20" s="16"/>
      <c r="RJH20" s="18"/>
      <c r="RJI20" s="16"/>
      <c r="RJJ20" s="18"/>
      <c r="RJK20" s="16"/>
      <c r="RJL20" s="18"/>
      <c r="RJM20" s="16"/>
      <c r="RJN20" s="18"/>
      <c r="RJO20" s="16"/>
      <c r="RJP20" s="18"/>
      <c r="RJQ20" s="16"/>
      <c r="RJR20" s="18"/>
      <c r="RJS20" s="16"/>
      <c r="RJT20" s="18"/>
      <c r="RJU20" s="16"/>
      <c r="RJV20" s="18"/>
      <c r="RJW20" s="16"/>
      <c r="RJX20" s="18"/>
      <c r="RJY20" s="16"/>
      <c r="RJZ20" s="18"/>
      <c r="RKA20" s="16"/>
      <c r="RKB20" s="18"/>
      <c r="RKC20" s="16"/>
      <c r="RKD20" s="18"/>
      <c r="RKE20" s="16"/>
      <c r="RKF20" s="18"/>
      <c r="RKG20" s="16"/>
      <c r="RKH20" s="18"/>
      <c r="RKI20" s="16"/>
      <c r="RKJ20" s="18"/>
      <c r="RKK20" s="16"/>
      <c r="RKL20" s="18"/>
      <c r="RKM20" s="16"/>
      <c r="RKN20" s="18"/>
      <c r="RKO20" s="16"/>
      <c r="RKP20" s="18"/>
      <c r="RKQ20" s="16"/>
      <c r="RKR20" s="18"/>
      <c r="RKS20" s="16"/>
      <c r="RKT20" s="18"/>
      <c r="RKU20" s="16"/>
      <c r="RKV20" s="18"/>
      <c r="RKW20" s="16"/>
      <c r="RKX20" s="18"/>
      <c r="RKY20" s="16"/>
      <c r="RKZ20" s="18"/>
      <c r="RLA20" s="16"/>
      <c r="RLB20" s="18"/>
      <c r="RLC20" s="16"/>
      <c r="RLD20" s="18"/>
      <c r="RLE20" s="16"/>
      <c r="RLF20" s="18"/>
      <c r="RLG20" s="16"/>
      <c r="RLH20" s="18"/>
      <c r="RLI20" s="16"/>
      <c r="RLJ20" s="18"/>
      <c r="RLK20" s="16"/>
      <c r="RLL20" s="18"/>
      <c r="RLM20" s="16"/>
      <c r="RLN20" s="18"/>
      <c r="RLO20" s="16"/>
      <c r="RLP20" s="18"/>
      <c r="RLQ20" s="16"/>
      <c r="RLR20" s="18"/>
      <c r="RLS20" s="16"/>
      <c r="RLT20" s="18"/>
      <c r="RLU20" s="16"/>
      <c r="RLV20" s="18"/>
      <c r="RLW20" s="16"/>
      <c r="RLX20" s="18"/>
      <c r="RLY20" s="16"/>
      <c r="RLZ20" s="18"/>
      <c r="RMA20" s="16"/>
      <c r="RMB20" s="18"/>
      <c r="RMC20" s="16"/>
      <c r="RMD20" s="18"/>
      <c r="RME20" s="16"/>
      <c r="RMF20" s="18"/>
      <c r="RMG20" s="16"/>
      <c r="RMH20" s="18"/>
      <c r="RMI20" s="16"/>
      <c r="RMJ20" s="18"/>
      <c r="RMK20" s="16"/>
      <c r="RML20" s="18"/>
      <c r="RMM20" s="16"/>
      <c r="RMN20" s="18"/>
      <c r="RMO20" s="16"/>
      <c r="RMP20" s="18"/>
      <c r="RMQ20" s="16"/>
      <c r="RMR20" s="18"/>
      <c r="RMS20" s="16"/>
      <c r="RMT20" s="18"/>
      <c r="RMU20" s="16"/>
      <c r="RMV20" s="18"/>
      <c r="RMW20" s="16"/>
      <c r="RMX20" s="18"/>
      <c r="RMY20" s="16"/>
      <c r="RMZ20" s="18"/>
      <c r="RNA20" s="16"/>
      <c r="RNB20" s="18"/>
      <c r="RNC20" s="16"/>
      <c r="RND20" s="18"/>
      <c r="RNE20" s="16"/>
      <c r="RNF20" s="18"/>
      <c r="RNG20" s="16"/>
      <c r="RNH20" s="18"/>
      <c r="RNI20" s="16"/>
      <c r="RNJ20" s="18"/>
      <c r="RNK20" s="16"/>
      <c r="RNL20" s="18"/>
      <c r="RNM20" s="16"/>
      <c r="RNN20" s="18"/>
      <c r="RNO20" s="16"/>
      <c r="RNP20" s="18"/>
      <c r="RNQ20" s="16"/>
      <c r="RNR20" s="18"/>
      <c r="RNS20" s="16"/>
      <c r="RNT20" s="18"/>
      <c r="RNU20" s="16"/>
      <c r="RNV20" s="18"/>
      <c r="RNW20" s="16"/>
      <c r="RNX20" s="18"/>
      <c r="RNY20" s="16"/>
      <c r="RNZ20" s="18"/>
      <c r="ROA20" s="16"/>
      <c r="ROB20" s="18"/>
      <c r="ROC20" s="16"/>
      <c r="ROD20" s="18"/>
      <c r="ROE20" s="16"/>
      <c r="ROF20" s="18"/>
      <c r="ROG20" s="16"/>
      <c r="ROH20" s="18"/>
      <c r="ROI20" s="16"/>
      <c r="ROJ20" s="18"/>
      <c r="ROK20" s="16"/>
      <c r="ROL20" s="18"/>
      <c r="ROM20" s="16"/>
      <c r="RON20" s="18"/>
      <c r="ROO20" s="16"/>
      <c r="ROP20" s="18"/>
      <c r="ROQ20" s="16"/>
      <c r="ROR20" s="18"/>
      <c r="ROS20" s="16"/>
      <c r="ROT20" s="18"/>
      <c r="ROU20" s="16"/>
      <c r="ROV20" s="18"/>
      <c r="ROW20" s="16"/>
      <c r="ROX20" s="18"/>
      <c r="ROY20" s="16"/>
      <c r="ROZ20" s="18"/>
      <c r="RPA20" s="16"/>
      <c r="RPB20" s="18"/>
      <c r="RPC20" s="16"/>
      <c r="RPD20" s="18"/>
      <c r="RPE20" s="16"/>
      <c r="RPF20" s="18"/>
      <c r="RPG20" s="16"/>
      <c r="RPH20" s="18"/>
      <c r="RPI20" s="16"/>
      <c r="RPJ20" s="18"/>
      <c r="RPK20" s="16"/>
      <c r="RPL20" s="18"/>
      <c r="RPM20" s="16"/>
      <c r="RPN20" s="18"/>
      <c r="RPO20" s="16"/>
      <c r="RPP20" s="18"/>
      <c r="RPQ20" s="16"/>
      <c r="RPR20" s="18"/>
      <c r="RPS20" s="16"/>
      <c r="RPT20" s="18"/>
      <c r="RPU20" s="16"/>
      <c r="RPV20" s="18"/>
      <c r="RPW20" s="16"/>
      <c r="RPX20" s="18"/>
      <c r="RPY20" s="16"/>
      <c r="RPZ20" s="18"/>
      <c r="RQA20" s="16"/>
      <c r="RQB20" s="18"/>
      <c r="RQC20" s="16"/>
      <c r="RQD20" s="18"/>
      <c r="RQE20" s="16"/>
      <c r="RQF20" s="18"/>
      <c r="RQG20" s="16"/>
      <c r="RQH20" s="18"/>
      <c r="RQI20" s="16"/>
      <c r="RQJ20" s="18"/>
      <c r="RQK20" s="16"/>
      <c r="RQL20" s="18"/>
      <c r="RQM20" s="16"/>
      <c r="RQN20" s="18"/>
      <c r="RQO20" s="16"/>
      <c r="RQP20" s="18"/>
      <c r="RQQ20" s="16"/>
      <c r="RQR20" s="18"/>
      <c r="RQS20" s="16"/>
      <c r="RQT20" s="18"/>
      <c r="RQU20" s="16"/>
      <c r="RQV20" s="18"/>
      <c r="RQW20" s="16"/>
      <c r="RQX20" s="18"/>
      <c r="RQY20" s="16"/>
      <c r="RQZ20" s="18"/>
      <c r="RRA20" s="16"/>
      <c r="RRB20" s="18"/>
      <c r="RRC20" s="16"/>
      <c r="RRD20" s="18"/>
      <c r="RRE20" s="16"/>
      <c r="RRF20" s="18"/>
      <c r="RRG20" s="16"/>
      <c r="RRH20" s="18"/>
      <c r="RRI20" s="16"/>
      <c r="RRJ20" s="18"/>
      <c r="RRK20" s="16"/>
      <c r="RRL20" s="18"/>
      <c r="RRM20" s="16"/>
      <c r="RRN20" s="18"/>
      <c r="RRO20" s="16"/>
      <c r="RRP20" s="18"/>
      <c r="RRQ20" s="16"/>
      <c r="RRR20" s="18"/>
      <c r="RRS20" s="16"/>
      <c r="RRT20" s="18"/>
      <c r="RRU20" s="16"/>
      <c r="RRV20" s="18"/>
      <c r="RRW20" s="16"/>
      <c r="RRX20" s="18"/>
      <c r="RRY20" s="16"/>
      <c r="RRZ20" s="18"/>
      <c r="RSA20" s="16"/>
      <c r="RSB20" s="18"/>
      <c r="RSC20" s="16"/>
      <c r="RSD20" s="18"/>
      <c r="RSE20" s="16"/>
      <c r="RSF20" s="18"/>
      <c r="RSG20" s="16"/>
      <c r="RSH20" s="18"/>
      <c r="RSI20" s="16"/>
      <c r="RSJ20" s="18"/>
      <c r="RSK20" s="16"/>
      <c r="RSL20" s="18"/>
      <c r="RSM20" s="16"/>
      <c r="RSN20" s="18"/>
      <c r="RSO20" s="16"/>
      <c r="RSP20" s="18"/>
      <c r="RSQ20" s="16"/>
      <c r="RSR20" s="18"/>
      <c r="RSS20" s="16"/>
      <c r="RST20" s="18"/>
      <c r="RSU20" s="16"/>
      <c r="RSV20" s="18"/>
      <c r="RSW20" s="16"/>
      <c r="RSX20" s="18"/>
      <c r="RSY20" s="16"/>
      <c r="RSZ20" s="18"/>
      <c r="RTA20" s="16"/>
      <c r="RTB20" s="18"/>
      <c r="RTC20" s="16"/>
      <c r="RTD20" s="18"/>
      <c r="RTE20" s="16"/>
      <c r="RTF20" s="18"/>
      <c r="RTG20" s="16"/>
      <c r="RTH20" s="18"/>
      <c r="RTI20" s="16"/>
      <c r="RTJ20" s="18"/>
      <c r="RTK20" s="16"/>
      <c r="RTL20" s="18"/>
      <c r="RTM20" s="16"/>
      <c r="RTN20" s="18"/>
      <c r="RTO20" s="16"/>
      <c r="RTP20" s="18"/>
      <c r="RTQ20" s="16"/>
      <c r="RTR20" s="18"/>
      <c r="RTS20" s="16"/>
      <c r="RTT20" s="18"/>
      <c r="RTU20" s="16"/>
      <c r="RTV20" s="18"/>
      <c r="RTW20" s="16"/>
      <c r="RTX20" s="18"/>
      <c r="RTY20" s="16"/>
      <c r="RTZ20" s="18"/>
      <c r="RUA20" s="16"/>
      <c r="RUB20" s="18"/>
      <c r="RUC20" s="16"/>
      <c r="RUD20" s="18"/>
      <c r="RUE20" s="16"/>
      <c r="RUF20" s="18"/>
      <c r="RUG20" s="16"/>
      <c r="RUH20" s="18"/>
      <c r="RUI20" s="16"/>
      <c r="RUJ20" s="18"/>
      <c r="RUK20" s="16"/>
      <c r="RUL20" s="18"/>
      <c r="RUM20" s="16"/>
      <c r="RUN20" s="18"/>
      <c r="RUO20" s="16"/>
      <c r="RUP20" s="18"/>
      <c r="RUQ20" s="16"/>
      <c r="RUR20" s="18"/>
      <c r="RUS20" s="16"/>
      <c r="RUT20" s="18"/>
      <c r="RUU20" s="16"/>
      <c r="RUV20" s="18"/>
      <c r="RUW20" s="16"/>
      <c r="RUX20" s="18"/>
      <c r="RUY20" s="16"/>
      <c r="RUZ20" s="18"/>
      <c r="RVA20" s="16"/>
      <c r="RVB20" s="18"/>
      <c r="RVC20" s="16"/>
      <c r="RVD20" s="18"/>
      <c r="RVE20" s="16"/>
      <c r="RVF20" s="18"/>
      <c r="RVG20" s="16"/>
      <c r="RVH20" s="18"/>
      <c r="RVI20" s="16"/>
      <c r="RVJ20" s="18"/>
      <c r="RVK20" s="16"/>
      <c r="RVL20" s="18"/>
      <c r="RVM20" s="16"/>
      <c r="RVN20" s="18"/>
      <c r="RVO20" s="16"/>
      <c r="RVP20" s="18"/>
      <c r="RVQ20" s="16"/>
      <c r="RVR20" s="18"/>
      <c r="RVS20" s="16"/>
      <c r="RVT20" s="18"/>
      <c r="RVU20" s="16"/>
      <c r="RVV20" s="18"/>
      <c r="RVW20" s="16"/>
      <c r="RVX20" s="18"/>
      <c r="RVY20" s="16"/>
      <c r="RVZ20" s="18"/>
      <c r="RWA20" s="16"/>
      <c r="RWB20" s="18"/>
      <c r="RWC20" s="16"/>
      <c r="RWD20" s="18"/>
      <c r="RWE20" s="16"/>
      <c r="RWF20" s="18"/>
      <c r="RWG20" s="16"/>
      <c r="RWH20" s="18"/>
      <c r="RWI20" s="16"/>
      <c r="RWJ20" s="18"/>
      <c r="RWK20" s="16"/>
      <c r="RWL20" s="18"/>
      <c r="RWM20" s="16"/>
      <c r="RWN20" s="18"/>
      <c r="RWO20" s="16"/>
      <c r="RWP20" s="18"/>
      <c r="RWQ20" s="16"/>
      <c r="RWR20" s="18"/>
      <c r="RWS20" s="16"/>
      <c r="RWT20" s="18"/>
      <c r="RWU20" s="16"/>
      <c r="RWV20" s="18"/>
      <c r="RWW20" s="16"/>
      <c r="RWX20" s="18"/>
      <c r="RWY20" s="16"/>
      <c r="RWZ20" s="18"/>
      <c r="RXA20" s="16"/>
      <c r="RXB20" s="18"/>
      <c r="RXC20" s="16"/>
      <c r="RXD20" s="18"/>
      <c r="RXE20" s="16"/>
      <c r="RXF20" s="18"/>
      <c r="RXG20" s="16"/>
      <c r="RXH20" s="18"/>
      <c r="RXI20" s="16"/>
      <c r="RXJ20" s="18"/>
      <c r="RXK20" s="16"/>
      <c r="RXL20" s="18"/>
      <c r="RXM20" s="16"/>
      <c r="RXN20" s="18"/>
      <c r="RXO20" s="16"/>
      <c r="RXP20" s="18"/>
      <c r="RXQ20" s="16"/>
      <c r="RXR20" s="18"/>
      <c r="RXS20" s="16"/>
      <c r="RXT20" s="18"/>
      <c r="RXU20" s="16"/>
      <c r="RXV20" s="18"/>
      <c r="RXW20" s="16"/>
      <c r="RXX20" s="18"/>
      <c r="RXY20" s="16"/>
      <c r="RXZ20" s="18"/>
      <c r="RYA20" s="16"/>
      <c r="RYB20" s="18"/>
      <c r="RYC20" s="16"/>
      <c r="RYD20" s="18"/>
      <c r="RYE20" s="16"/>
      <c r="RYF20" s="18"/>
      <c r="RYG20" s="16"/>
      <c r="RYH20" s="18"/>
      <c r="RYI20" s="16"/>
      <c r="RYJ20" s="18"/>
      <c r="RYK20" s="16"/>
      <c r="RYL20" s="18"/>
      <c r="RYM20" s="16"/>
      <c r="RYN20" s="18"/>
      <c r="RYO20" s="16"/>
      <c r="RYP20" s="18"/>
      <c r="RYQ20" s="16"/>
      <c r="RYR20" s="18"/>
      <c r="RYS20" s="16"/>
      <c r="RYT20" s="18"/>
      <c r="RYU20" s="16"/>
      <c r="RYV20" s="18"/>
      <c r="RYW20" s="16"/>
      <c r="RYX20" s="18"/>
      <c r="RYY20" s="16"/>
      <c r="RYZ20" s="18"/>
      <c r="RZA20" s="16"/>
      <c r="RZB20" s="18"/>
      <c r="RZC20" s="16"/>
      <c r="RZD20" s="18"/>
      <c r="RZE20" s="16"/>
      <c r="RZF20" s="18"/>
      <c r="RZG20" s="16"/>
      <c r="RZH20" s="18"/>
      <c r="RZI20" s="16"/>
      <c r="RZJ20" s="18"/>
      <c r="RZK20" s="16"/>
      <c r="RZL20" s="18"/>
      <c r="RZM20" s="16"/>
      <c r="RZN20" s="18"/>
      <c r="RZO20" s="16"/>
      <c r="RZP20" s="18"/>
      <c r="RZQ20" s="16"/>
      <c r="RZR20" s="18"/>
      <c r="RZS20" s="16"/>
      <c r="RZT20" s="18"/>
      <c r="RZU20" s="16"/>
      <c r="RZV20" s="18"/>
      <c r="RZW20" s="16"/>
      <c r="RZX20" s="18"/>
      <c r="RZY20" s="16"/>
      <c r="RZZ20" s="18"/>
      <c r="SAA20" s="16"/>
      <c r="SAB20" s="18"/>
      <c r="SAC20" s="16"/>
      <c r="SAD20" s="18"/>
      <c r="SAE20" s="16"/>
      <c r="SAF20" s="18"/>
      <c r="SAG20" s="16"/>
      <c r="SAH20" s="18"/>
      <c r="SAI20" s="16"/>
      <c r="SAJ20" s="18"/>
      <c r="SAK20" s="16"/>
      <c r="SAL20" s="18"/>
      <c r="SAM20" s="16"/>
      <c r="SAN20" s="18"/>
      <c r="SAO20" s="16"/>
      <c r="SAP20" s="18"/>
      <c r="SAQ20" s="16"/>
      <c r="SAR20" s="18"/>
      <c r="SAS20" s="16"/>
      <c r="SAT20" s="18"/>
      <c r="SAU20" s="16"/>
      <c r="SAV20" s="18"/>
      <c r="SAW20" s="16"/>
      <c r="SAX20" s="18"/>
      <c r="SAY20" s="16"/>
      <c r="SAZ20" s="18"/>
      <c r="SBA20" s="16"/>
      <c r="SBB20" s="18"/>
      <c r="SBC20" s="16"/>
      <c r="SBD20" s="18"/>
      <c r="SBE20" s="16"/>
      <c r="SBF20" s="18"/>
      <c r="SBG20" s="16"/>
      <c r="SBH20" s="18"/>
      <c r="SBI20" s="16"/>
      <c r="SBJ20" s="18"/>
      <c r="SBK20" s="16"/>
      <c r="SBL20" s="18"/>
      <c r="SBM20" s="16"/>
      <c r="SBN20" s="18"/>
      <c r="SBO20" s="16"/>
      <c r="SBP20" s="18"/>
      <c r="SBQ20" s="16"/>
      <c r="SBR20" s="18"/>
      <c r="SBS20" s="16"/>
      <c r="SBT20" s="18"/>
      <c r="SBU20" s="16"/>
      <c r="SBV20" s="18"/>
      <c r="SBW20" s="16"/>
      <c r="SBX20" s="18"/>
      <c r="SBY20" s="16"/>
      <c r="SBZ20" s="18"/>
      <c r="SCA20" s="16"/>
      <c r="SCB20" s="18"/>
      <c r="SCC20" s="16"/>
      <c r="SCD20" s="18"/>
      <c r="SCE20" s="16"/>
      <c r="SCF20" s="18"/>
      <c r="SCG20" s="16"/>
      <c r="SCH20" s="18"/>
      <c r="SCI20" s="16"/>
      <c r="SCJ20" s="18"/>
      <c r="SCK20" s="16"/>
      <c r="SCL20" s="18"/>
      <c r="SCM20" s="16"/>
      <c r="SCN20" s="18"/>
      <c r="SCO20" s="16"/>
      <c r="SCP20" s="18"/>
      <c r="SCQ20" s="16"/>
      <c r="SCR20" s="18"/>
      <c r="SCS20" s="16"/>
      <c r="SCT20" s="18"/>
      <c r="SCU20" s="16"/>
      <c r="SCV20" s="18"/>
      <c r="SCW20" s="16"/>
      <c r="SCX20" s="18"/>
      <c r="SCY20" s="16"/>
      <c r="SCZ20" s="18"/>
      <c r="SDA20" s="16"/>
      <c r="SDB20" s="18"/>
      <c r="SDC20" s="16"/>
      <c r="SDD20" s="18"/>
      <c r="SDE20" s="16"/>
      <c r="SDF20" s="18"/>
      <c r="SDG20" s="16"/>
      <c r="SDH20" s="18"/>
      <c r="SDI20" s="16"/>
      <c r="SDJ20" s="18"/>
      <c r="SDK20" s="16"/>
      <c r="SDL20" s="18"/>
      <c r="SDM20" s="16"/>
      <c r="SDN20" s="18"/>
      <c r="SDO20" s="16"/>
      <c r="SDP20" s="18"/>
      <c r="SDQ20" s="16"/>
      <c r="SDR20" s="18"/>
      <c r="SDS20" s="16"/>
      <c r="SDT20" s="18"/>
      <c r="SDU20" s="16"/>
      <c r="SDV20" s="18"/>
      <c r="SDW20" s="16"/>
      <c r="SDX20" s="18"/>
      <c r="SDY20" s="16"/>
      <c r="SDZ20" s="18"/>
      <c r="SEA20" s="16"/>
      <c r="SEB20" s="18"/>
      <c r="SEC20" s="16"/>
      <c r="SED20" s="18"/>
      <c r="SEE20" s="16"/>
      <c r="SEF20" s="18"/>
      <c r="SEG20" s="16"/>
      <c r="SEH20" s="18"/>
      <c r="SEI20" s="16"/>
      <c r="SEJ20" s="18"/>
      <c r="SEK20" s="16"/>
      <c r="SEL20" s="18"/>
      <c r="SEM20" s="16"/>
      <c r="SEN20" s="18"/>
      <c r="SEO20" s="16"/>
      <c r="SEP20" s="18"/>
      <c r="SEQ20" s="16"/>
      <c r="SER20" s="18"/>
      <c r="SES20" s="16"/>
      <c r="SET20" s="18"/>
      <c r="SEU20" s="16"/>
      <c r="SEV20" s="18"/>
      <c r="SEW20" s="16"/>
      <c r="SEX20" s="18"/>
      <c r="SEY20" s="16"/>
      <c r="SEZ20" s="18"/>
      <c r="SFA20" s="16"/>
      <c r="SFB20" s="18"/>
      <c r="SFC20" s="16"/>
      <c r="SFD20" s="18"/>
      <c r="SFE20" s="16"/>
      <c r="SFF20" s="18"/>
      <c r="SFG20" s="16"/>
      <c r="SFH20" s="18"/>
      <c r="SFI20" s="16"/>
      <c r="SFJ20" s="18"/>
      <c r="SFK20" s="16"/>
      <c r="SFL20" s="18"/>
      <c r="SFM20" s="16"/>
      <c r="SFN20" s="18"/>
      <c r="SFO20" s="16"/>
      <c r="SFP20" s="18"/>
      <c r="SFQ20" s="16"/>
      <c r="SFR20" s="18"/>
      <c r="SFS20" s="16"/>
      <c r="SFT20" s="18"/>
      <c r="SFU20" s="16"/>
      <c r="SFV20" s="18"/>
      <c r="SFW20" s="16"/>
      <c r="SFX20" s="18"/>
      <c r="SFY20" s="16"/>
      <c r="SFZ20" s="18"/>
      <c r="SGA20" s="16"/>
      <c r="SGB20" s="18"/>
      <c r="SGC20" s="16"/>
      <c r="SGD20" s="18"/>
      <c r="SGE20" s="16"/>
      <c r="SGF20" s="18"/>
      <c r="SGG20" s="16"/>
      <c r="SGH20" s="18"/>
      <c r="SGI20" s="16"/>
      <c r="SGJ20" s="18"/>
      <c r="SGK20" s="16"/>
      <c r="SGL20" s="18"/>
      <c r="SGM20" s="16"/>
      <c r="SGN20" s="18"/>
      <c r="SGO20" s="16"/>
      <c r="SGP20" s="18"/>
      <c r="SGQ20" s="16"/>
      <c r="SGR20" s="18"/>
      <c r="SGS20" s="16"/>
      <c r="SGT20" s="18"/>
      <c r="SGU20" s="16"/>
      <c r="SGV20" s="18"/>
      <c r="SGW20" s="16"/>
      <c r="SGX20" s="18"/>
      <c r="SGY20" s="16"/>
      <c r="SGZ20" s="18"/>
      <c r="SHA20" s="16"/>
      <c r="SHB20" s="18"/>
      <c r="SHC20" s="16"/>
      <c r="SHD20" s="18"/>
      <c r="SHE20" s="16"/>
      <c r="SHF20" s="18"/>
      <c r="SHG20" s="16"/>
      <c r="SHH20" s="18"/>
      <c r="SHI20" s="16"/>
      <c r="SHJ20" s="18"/>
      <c r="SHK20" s="16"/>
      <c r="SHL20" s="18"/>
      <c r="SHM20" s="16"/>
      <c r="SHN20" s="18"/>
      <c r="SHO20" s="16"/>
      <c r="SHP20" s="18"/>
      <c r="SHQ20" s="16"/>
      <c r="SHR20" s="18"/>
      <c r="SHS20" s="16"/>
      <c r="SHT20" s="18"/>
      <c r="SHU20" s="16"/>
      <c r="SHV20" s="18"/>
      <c r="SHW20" s="16"/>
      <c r="SHX20" s="18"/>
      <c r="SHY20" s="16"/>
      <c r="SHZ20" s="18"/>
      <c r="SIA20" s="16"/>
      <c r="SIB20" s="18"/>
      <c r="SIC20" s="16"/>
      <c r="SID20" s="18"/>
      <c r="SIE20" s="16"/>
      <c r="SIF20" s="18"/>
      <c r="SIG20" s="16"/>
      <c r="SIH20" s="18"/>
      <c r="SII20" s="16"/>
      <c r="SIJ20" s="18"/>
      <c r="SIK20" s="16"/>
      <c r="SIL20" s="18"/>
      <c r="SIM20" s="16"/>
      <c r="SIN20" s="18"/>
      <c r="SIO20" s="16"/>
      <c r="SIP20" s="18"/>
      <c r="SIQ20" s="16"/>
      <c r="SIR20" s="18"/>
      <c r="SIS20" s="16"/>
      <c r="SIT20" s="18"/>
      <c r="SIU20" s="16"/>
      <c r="SIV20" s="18"/>
      <c r="SIW20" s="16"/>
      <c r="SIX20" s="18"/>
      <c r="SIY20" s="16"/>
      <c r="SIZ20" s="18"/>
      <c r="SJA20" s="16"/>
      <c r="SJB20" s="18"/>
      <c r="SJC20" s="16"/>
      <c r="SJD20" s="18"/>
      <c r="SJE20" s="16"/>
      <c r="SJF20" s="18"/>
      <c r="SJG20" s="16"/>
      <c r="SJH20" s="18"/>
      <c r="SJI20" s="16"/>
      <c r="SJJ20" s="18"/>
      <c r="SJK20" s="16"/>
      <c r="SJL20" s="18"/>
      <c r="SJM20" s="16"/>
      <c r="SJN20" s="18"/>
      <c r="SJO20" s="16"/>
      <c r="SJP20" s="18"/>
      <c r="SJQ20" s="16"/>
      <c r="SJR20" s="18"/>
      <c r="SJS20" s="16"/>
      <c r="SJT20" s="18"/>
      <c r="SJU20" s="16"/>
      <c r="SJV20" s="18"/>
      <c r="SJW20" s="16"/>
      <c r="SJX20" s="18"/>
      <c r="SJY20" s="16"/>
      <c r="SJZ20" s="18"/>
      <c r="SKA20" s="16"/>
      <c r="SKB20" s="18"/>
      <c r="SKC20" s="16"/>
      <c r="SKD20" s="18"/>
      <c r="SKE20" s="16"/>
      <c r="SKF20" s="18"/>
      <c r="SKG20" s="16"/>
      <c r="SKH20" s="18"/>
      <c r="SKI20" s="16"/>
      <c r="SKJ20" s="18"/>
      <c r="SKK20" s="16"/>
      <c r="SKL20" s="18"/>
      <c r="SKM20" s="16"/>
      <c r="SKN20" s="18"/>
      <c r="SKO20" s="16"/>
      <c r="SKP20" s="18"/>
      <c r="SKQ20" s="16"/>
      <c r="SKR20" s="18"/>
      <c r="SKS20" s="16"/>
      <c r="SKT20" s="18"/>
      <c r="SKU20" s="16"/>
      <c r="SKV20" s="18"/>
      <c r="SKW20" s="16"/>
      <c r="SKX20" s="18"/>
      <c r="SKY20" s="16"/>
      <c r="SKZ20" s="18"/>
      <c r="SLA20" s="16"/>
      <c r="SLB20" s="18"/>
      <c r="SLC20" s="16"/>
      <c r="SLD20" s="18"/>
      <c r="SLE20" s="16"/>
      <c r="SLF20" s="18"/>
      <c r="SLG20" s="16"/>
      <c r="SLH20" s="18"/>
      <c r="SLI20" s="16"/>
      <c r="SLJ20" s="18"/>
      <c r="SLK20" s="16"/>
      <c r="SLL20" s="18"/>
      <c r="SLM20" s="16"/>
      <c r="SLN20" s="18"/>
      <c r="SLO20" s="16"/>
      <c r="SLP20" s="18"/>
      <c r="SLQ20" s="16"/>
      <c r="SLR20" s="18"/>
      <c r="SLS20" s="16"/>
      <c r="SLT20" s="18"/>
      <c r="SLU20" s="16"/>
      <c r="SLV20" s="18"/>
      <c r="SLW20" s="16"/>
      <c r="SLX20" s="18"/>
      <c r="SLY20" s="16"/>
      <c r="SLZ20" s="18"/>
      <c r="SMA20" s="16"/>
      <c r="SMB20" s="18"/>
      <c r="SMC20" s="16"/>
      <c r="SMD20" s="18"/>
      <c r="SME20" s="16"/>
      <c r="SMF20" s="18"/>
      <c r="SMG20" s="16"/>
      <c r="SMH20" s="18"/>
      <c r="SMI20" s="16"/>
      <c r="SMJ20" s="18"/>
      <c r="SMK20" s="16"/>
      <c r="SML20" s="18"/>
      <c r="SMM20" s="16"/>
      <c r="SMN20" s="18"/>
      <c r="SMO20" s="16"/>
      <c r="SMP20" s="18"/>
      <c r="SMQ20" s="16"/>
      <c r="SMR20" s="18"/>
      <c r="SMS20" s="16"/>
      <c r="SMT20" s="18"/>
      <c r="SMU20" s="16"/>
      <c r="SMV20" s="18"/>
      <c r="SMW20" s="16"/>
      <c r="SMX20" s="18"/>
      <c r="SMY20" s="16"/>
      <c r="SMZ20" s="18"/>
      <c r="SNA20" s="16"/>
      <c r="SNB20" s="18"/>
      <c r="SNC20" s="16"/>
      <c r="SND20" s="18"/>
      <c r="SNE20" s="16"/>
      <c r="SNF20" s="18"/>
      <c r="SNG20" s="16"/>
      <c r="SNH20" s="18"/>
      <c r="SNI20" s="16"/>
      <c r="SNJ20" s="18"/>
      <c r="SNK20" s="16"/>
      <c r="SNL20" s="18"/>
      <c r="SNM20" s="16"/>
      <c r="SNN20" s="18"/>
      <c r="SNO20" s="16"/>
      <c r="SNP20" s="18"/>
      <c r="SNQ20" s="16"/>
      <c r="SNR20" s="18"/>
      <c r="SNS20" s="16"/>
      <c r="SNT20" s="18"/>
      <c r="SNU20" s="16"/>
      <c r="SNV20" s="18"/>
      <c r="SNW20" s="16"/>
      <c r="SNX20" s="18"/>
      <c r="SNY20" s="16"/>
      <c r="SNZ20" s="18"/>
      <c r="SOA20" s="16"/>
      <c r="SOB20" s="18"/>
      <c r="SOC20" s="16"/>
      <c r="SOD20" s="18"/>
      <c r="SOE20" s="16"/>
      <c r="SOF20" s="18"/>
      <c r="SOG20" s="16"/>
      <c r="SOH20" s="18"/>
      <c r="SOI20" s="16"/>
      <c r="SOJ20" s="18"/>
      <c r="SOK20" s="16"/>
      <c r="SOL20" s="18"/>
      <c r="SOM20" s="16"/>
      <c r="SON20" s="18"/>
      <c r="SOO20" s="16"/>
      <c r="SOP20" s="18"/>
      <c r="SOQ20" s="16"/>
      <c r="SOR20" s="18"/>
      <c r="SOS20" s="16"/>
      <c r="SOT20" s="18"/>
      <c r="SOU20" s="16"/>
      <c r="SOV20" s="18"/>
      <c r="SOW20" s="16"/>
      <c r="SOX20" s="18"/>
      <c r="SOY20" s="16"/>
      <c r="SOZ20" s="18"/>
      <c r="SPA20" s="16"/>
      <c r="SPB20" s="18"/>
      <c r="SPC20" s="16"/>
      <c r="SPD20" s="18"/>
      <c r="SPE20" s="16"/>
      <c r="SPF20" s="18"/>
      <c r="SPG20" s="16"/>
      <c r="SPH20" s="18"/>
      <c r="SPI20" s="16"/>
      <c r="SPJ20" s="18"/>
      <c r="SPK20" s="16"/>
      <c r="SPL20" s="18"/>
      <c r="SPM20" s="16"/>
      <c r="SPN20" s="18"/>
      <c r="SPO20" s="16"/>
      <c r="SPP20" s="18"/>
      <c r="SPQ20" s="16"/>
      <c r="SPR20" s="18"/>
      <c r="SPS20" s="16"/>
      <c r="SPT20" s="18"/>
      <c r="SPU20" s="16"/>
      <c r="SPV20" s="18"/>
      <c r="SPW20" s="16"/>
      <c r="SPX20" s="18"/>
      <c r="SPY20" s="16"/>
      <c r="SPZ20" s="18"/>
      <c r="SQA20" s="16"/>
      <c r="SQB20" s="18"/>
      <c r="SQC20" s="16"/>
      <c r="SQD20" s="18"/>
      <c r="SQE20" s="16"/>
      <c r="SQF20" s="18"/>
      <c r="SQG20" s="16"/>
      <c r="SQH20" s="18"/>
      <c r="SQI20" s="16"/>
      <c r="SQJ20" s="18"/>
      <c r="SQK20" s="16"/>
      <c r="SQL20" s="18"/>
      <c r="SQM20" s="16"/>
      <c r="SQN20" s="18"/>
      <c r="SQO20" s="16"/>
      <c r="SQP20" s="18"/>
      <c r="SQQ20" s="16"/>
      <c r="SQR20" s="18"/>
      <c r="SQS20" s="16"/>
      <c r="SQT20" s="18"/>
      <c r="SQU20" s="16"/>
      <c r="SQV20" s="18"/>
      <c r="SQW20" s="16"/>
      <c r="SQX20" s="18"/>
      <c r="SQY20" s="16"/>
      <c r="SQZ20" s="18"/>
      <c r="SRA20" s="16"/>
      <c r="SRB20" s="18"/>
      <c r="SRC20" s="16"/>
      <c r="SRD20" s="18"/>
      <c r="SRE20" s="16"/>
      <c r="SRF20" s="18"/>
      <c r="SRG20" s="16"/>
      <c r="SRH20" s="18"/>
      <c r="SRI20" s="16"/>
      <c r="SRJ20" s="18"/>
      <c r="SRK20" s="16"/>
      <c r="SRL20" s="18"/>
      <c r="SRM20" s="16"/>
      <c r="SRN20" s="18"/>
      <c r="SRO20" s="16"/>
      <c r="SRP20" s="18"/>
      <c r="SRQ20" s="16"/>
      <c r="SRR20" s="18"/>
      <c r="SRS20" s="16"/>
      <c r="SRT20" s="18"/>
      <c r="SRU20" s="16"/>
      <c r="SRV20" s="18"/>
      <c r="SRW20" s="16"/>
      <c r="SRX20" s="18"/>
      <c r="SRY20" s="16"/>
      <c r="SRZ20" s="18"/>
      <c r="SSA20" s="16"/>
      <c r="SSB20" s="18"/>
      <c r="SSC20" s="16"/>
      <c r="SSD20" s="18"/>
      <c r="SSE20" s="16"/>
      <c r="SSF20" s="18"/>
      <c r="SSG20" s="16"/>
      <c r="SSH20" s="18"/>
      <c r="SSI20" s="16"/>
      <c r="SSJ20" s="18"/>
      <c r="SSK20" s="16"/>
      <c r="SSL20" s="18"/>
      <c r="SSM20" s="16"/>
      <c r="SSN20" s="18"/>
      <c r="SSO20" s="16"/>
      <c r="SSP20" s="18"/>
      <c r="SSQ20" s="16"/>
      <c r="SSR20" s="18"/>
      <c r="SSS20" s="16"/>
      <c r="SST20" s="18"/>
      <c r="SSU20" s="16"/>
      <c r="SSV20" s="18"/>
      <c r="SSW20" s="16"/>
      <c r="SSX20" s="18"/>
      <c r="SSY20" s="16"/>
      <c r="SSZ20" s="18"/>
      <c r="STA20" s="16"/>
      <c r="STB20" s="18"/>
      <c r="STC20" s="16"/>
      <c r="STD20" s="18"/>
      <c r="STE20" s="16"/>
      <c r="STF20" s="18"/>
      <c r="STG20" s="16"/>
      <c r="STH20" s="18"/>
      <c r="STI20" s="16"/>
      <c r="STJ20" s="18"/>
      <c r="STK20" s="16"/>
      <c r="STL20" s="18"/>
      <c r="STM20" s="16"/>
      <c r="STN20" s="18"/>
      <c r="STO20" s="16"/>
      <c r="STP20" s="18"/>
      <c r="STQ20" s="16"/>
      <c r="STR20" s="18"/>
      <c r="STS20" s="16"/>
      <c r="STT20" s="18"/>
      <c r="STU20" s="16"/>
      <c r="STV20" s="18"/>
      <c r="STW20" s="16"/>
      <c r="STX20" s="18"/>
      <c r="STY20" s="16"/>
      <c r="STZ20" s="18"/>
      <c r="SUA20" s="16"/>
      <c r="SUB20" s="18"/>
      <c r="SUC20" s="16"/>
      <c r="SUD20" s="18"/>
      <c r="SUE20" s="16"/>
      <c r="SUF20" s="18"/>
      <c r="SUG20" s="16"/>
      <c r="SUH20" s="18"/>
      <c r="SUI20" s="16"/>
      <c r="SUJ20" s="18"/>
      <c r="SUK20" s="16"/>
      <c r="SUL20" s="18"/>
      <c r="SUM20" s="16"/>
      <c r="SUN20" s="18"/>
      <c r="SUO20" s="16"/>
      <c r="SUP20" s="18"/>
      <c r="SUQ20" s="16"/>
      <c r="SUR20" s="18"/>
      <c r="SUS20" s="16"/>
      <c r="SUT20" s="18"/>
      <c r="SUU20" s="16"/>
      <c r="SUV20" s="18"/>
      <c r="SUW20" s="16"/>
      <c r="SUX20" s="18"/>
      <c r="SUY20" s="16"/>
      <c r="SUZ20" s="18"/>
      <c r="SVA20" s="16"/>
      <c r="SVB20" s="18"/>
      <c r="SVC20" s="16"/>
      <c r="SVD20" s="18"/>
      <c r="SVE20" s="16"/>
      <c r="SVF20" s="18"/>
      <c r="SVG20" s="16"/>
      <c r="SVH20" s="18"/>
      <c r="SVI20" s="16"/>
      <c r="SVJ20" s="18"/>
      <c r="SVK20" s="16"/>
      <c r="SVL20" s="18"/>
      <c r="SVM20" s="16"/>
      <c r="SVN20" s="18"/>
      <c r="SVO20" s="16"/>
      <c r="SVP20" s="18"/>
      <c r="SVQ20" s="16"/>
      <c r="SVR20" s="18"/>
      <c r="SVS20" s="16"/>
      <c r="SVT20" s="18"/>
      <c r="SVU20" s="16"/>
      <c r="SVV20" s="18"/>
      <c r="SVW20" s="16"/>
      <c r="SVX20" s="18"/>
      <c r="SVY20" s="16"/>
      <c r="SVZ20" s="18"/>
      <c r="SWA20" s="16"/>
      <c r="SWB20" s="18"/>
      <c r="SWC20" s="16"/>
      <c r="SWD20" s="18"/>
      <c r="SWE20" s="16"/>
      <c r="SWF20" s="18"/>
      <c r="SWG20" s="16"/>
      <c r="SWH20" s="18"/>
      <c r="SWI20" s="16"/>
      <c r="SWJ20" s="18"/>
      <c r="SWK20" s="16"/>
      <c r="SWL20" s="18"/>
      <c r="SWM20" s="16"/>
      <c r="SWN20" s="18"/>
      <c r="SWO20" s="16"/>
      <c r="SWP20" s="18"/>
      <c r="SWQ20" s="16"/>
      <c r="SWR20" s="18"/>
      <c r="SWS20" s="16"/>
      <c r="SWT20" s="18"/>
      <c r="SWU20" s="16"/>
      <c r="SWV20" s="18"/>
      <c r="SWW20" s="16"/>
      <c r="SWX20" s="18"/>
      <c r="SWY20" s="16"/>
      <c r="SWZ20" s="18"/>
      <c r="SXA20" s="16"/>
      <c r="SXB20" s="18"/>
      <c r="SXC20" s="16"/>
      <c r="SXD20" s="18"/>
      <c r="SXE20" s="16"/>
      <c r="SXF20" s="18"/>
      <c r="SXG20" s="16"/>
      <c r="SXH20" s="18"/>
      <c r="SXI20" s="16"/>
      <c r="SXJ20" s="18"/>
      <c r="SXK20" s="16"/>
      <c r="SXL20" s="18"/>
      <c r="SXM20" s="16"/>
      <c r="SXN20" s="18"/>
      <c r="SXO20" s="16"/>
      <c r="SXP20" s="18"/>
      <c r="SXQ20" s="16"/>
      <c r="SXR20" s="18"/>
      <c r="SXS20" s="16"/>
      <c r="SXT20" s="18"/>
      <c r="SXU20" s="16"/>
      <c r="SXV20" s="18"/>
      <c r="SXW20" s="16"/>
      <c r="SXX20" s="18"/>
      <c r="SXY20" s="16"/>
      <c r="SXZ20" s="18"/>
      <c r="SYA20" s="16"/>
      <c r="SYB20" s="18"/>
      <c r="SYC20" s="16"/>
      <c r="SYD20" s="18"/>
      <c r="SYE20" s="16"/>
      <c r="SYF20" s="18"/>
      <c r="SYG20" s="16"/>
      <c r="SYH20" s="18"/>
      <c r="SYI20" s="16"/>
      <c r="SYJ20" s="18"/>
      <c r="SYK20" s="16"/>
      <c r="SYL20" s="18"/>
      <c r="SYM20" s="16"/>
      <c r="SYN20" s="18"/>
      <c r="SYO20" s="16"/>
      <c r="SYP20" s="18"/>
      <c r="SYQ20" s="16"/>
      <c r="SYR20" s="18"/>
      <c r="SYS20" s="16"/>
      <c r="SYT20" s="18"/>
      <c r="SYU20" s="16"/>
      <c r="SYV20" s="18"/>
      <c r="SYW20" s="16"/>
      <c r="SYX20" s="18"/>
      <c r="SYY20" s="16"/>
      <c r="SYZ20" s="18"/>
      <c r="SZA20" s="16"/>
      <c r="SZB20" s="18"/>
      <c r="SZC20" s="16"/>
      <c r="SZD20" s="18"/>
      <c r="SZE20" s="16"/>
      <c r="SZF20" s="18"/>
      <c r="SZG20" s="16"/>
      <c r="SZH20" s="18"/>
      <c r="SZI20" s="16"/>
      <c r="SZJ20" s="18"/>
      <c r="SZK20" s="16"/>
      <c r="SZL20" s="18"/>
      <c r="SZM20" s="16"/>
      <c r="SZN20" s="18"/>
      <c r="SZO20" s="16"/>
      <c r="SZP20" s="18"/>
      <c r="SZQ20" s="16"/>
      <c r="SZR20" s="18"/>
      <c r="SZS20" s="16"/>
      <c r="SZT20" s="18"/>
      <c r="SZU20" s="16"/>
      <c r="SZV20" s="18"/>
      <c r="SZW20" s="16"/>
      <c r="SZX20" s="18"/>
      <c r="SZY20" s="16"/>
      <c r="SZZ20" s="18"/>
      <c r="TAA20" s="16"/>
      <c r="TAB20" s="18"/>
      <c r="TAC20" s="16"/>
      <c r="TAD20" s="18"/>
      <c r="TAE20" s="16"/>
      <c r="TAF20" s="18"/>
      <c r="TAG20" s="16"/>
      <c r="TAH20" s="18"/>
      <c r="TAI20" s="16"/>
      <c r="TAJ20" s="18"/>
      <c r="TAK20" s="16"/>
      <c r="TAL20" s="18"/>
      <c r="TAM20" s="16"/>
      <c r="TAN20" s="18"/>
      <c r="TAO20" s="16"/>
      <c r="TAP20" s="18"/>
      <c r="TAQ20" s="16"/>
      <c r="TAR20" s="18"/>
      <c r="TAS20" s="16"/>
      <c r="TAT20" s="18"/>
      <c r="TAU20" s="16"/>
      <c r="TAV20" s="18"/>
      <c r="TAW20" s="16"/>
      <c r="TAX20" s="18"/>
      <c r="TAY20" s="16"/>
      <c r="TAZ20" s="18"/>
      <c r="TBA20" s="16"/>
      <c r="TBB20" s="18"/>
      <c r="TBC20" s="16"/>
      <c r="TBD20" s="18"/>
      <c r="TBE20" s="16"/>
      <c r="TBF20" s="18"/>
      <c r="TBG20" s="16"/>
      <c r="TBH20" s="18"/>
      <c r="TBI20" s="16"/>
      <c r="TBJ20" s="18"/>
      <c r="TBK20" s="16"/>
      <c r="TBL20" s="18"/>
      <c r="TBM20" s="16"/>
      <c r="TBN20" s="18"/>
      <c r="TBO20" s="16"/>
      <c r="TBP20" s="18"/>
      <c r="TBQ20" s="16"/>
      <c r="TBR20" s="18"/>
      <c r="TBS20" s="16"/>
      <c r="TBT20" s="18"/>
      <c r="TBU20" s="16"/>
      <c r="TBV20" s="18"/>
      <c r="TBW20" s="16"/>
      <c r="TBX20" s="18"/>
      <c r="TBY20" s="16"/>
      <c r="TBZ20" s="18"/>
      <c r="TCA20" s="16"/>
      <c r="TCB20" s="18"/>
      <c r="TCC20" s="16"/>
      <c r="TCD20" s="18"/>
      <c r="TCE20" s="16"/>
      <c r="TCF20" s="18"/>
      <c r="TCG20" s="16"/>
      <c r="TCH20" s="18"/>
      <c r="TCI20" s="16"/>
      <c r="TCJ20" s="18"/>
      <c r="TCK20" s="16"/>
      <c r="TCL20" s="18"/>
      <c r="TCM20" s="16"/>
      <c r="TCN20" s="18"/>
      <c r="TCO20" s="16"/>
      <c r="TCP20" s="18"/>
      <c r="TCQ20" s="16"/>
      <c r="TCR20" s="18"/>
      <c r="TCS20" s="16"/>
      <c r="TCT20" s="18"/>
      <c r="TCU20" s="16"/>
      <c r="TCV20" s="18"/>
      <c r="TCW20" s="16"/>
      <c r="TCX20" s="18"/>
      <c r="TCY20" s="16"/>
      <c r="TCZ20" s="18"/>
      <c r="TDA20" s="16"/>
      <c r="TDB20" s="18"/>
      <c r="TDC20" s="16"/>
      <c r="TDD20" s="18"/>
      <c r="TDE20" s="16"/>
      <c r="TDF20" s="18"/>
      <c r="TDG20" s="16"/>
      <c r="TDH20" s="18"/>
      <c r="TDI20" s="16"/>
      <c r="TDJ20" s="18"/>
      <c r="TDK20" s="16"/>
      <c r="TDL20" s="18"/>
      <c r="TDM20" s="16"/>
      <c r="TDN20" s="18"/>
      <c r="TDO20" s="16"/>
      <c r="TDP20" s="18"/>
      <c r="TDQ20" s="16"/>
      <c r="TDR20" s="18"/>
      <c r="TDS20" s="16"/>
      <c r="TDT20" s="18"/>
      <c r="TDU20" s="16"/>
      <c r="TDV20" s="18"/>
      <c r="TDW20" s="16"/>
      <c r="TDX20" s="18"/>
      <c r="TDY20" s="16"/>
      <c r="TDZ20" s="18"/>
      <c r="TEA20" s="16"/>
      <c r="TEB20" s="18"/>
      <c r="TEC20" s="16"/>
      <c r="TED20" s="18"/>
      <c r="TEE20" s="16"/>
      <c r="TEF20" s="18"/>
      <c r="TEG20" s="16"/>
      <c r="TEH20" s="18"/>
      <c r="TEI20" s="16"/>
      <c r="TEJ20" s="18"/>
      <c r="TEK20" s="16"/>
      <c r="TEL20" s="18"/>
      <c r="TEM20" s="16"/>
      <c r="TEN20" s="18"/>
      <c r="TEO20" s="16"/>
      <c r="TEP20" s="18"/>
      <c r="TEQ20" s="16"/>
      <c r="TER20" s="18"/>
      <c r="TES20" s="16"/>
      <c r="TET20" s="18"/>
      <c r="TEU20" s="16"/>
      <c r="TEV20" s="18"/>
      <c r="TEW20" s="16"/>
      <c r="TEX20" s="18"/>
      <c r="TEY20" s="16"/>
      <c r="TEZ20" s="18"/>
      <c r="TFA20" s="16"/>
      <c r="TFB20" s="18"/>
      <c r="TFC20" s="16"/>
      <c r="TFD20" s="18"/>
      <c r="TFE20" s="16"/>
      <c r="TFF20" s="18"/>
      <c r="TFG20" s="16"/>
      <c r="TFH20" s="18"/>
      <c r="TFI20" s="16"/>
      <c r="TFJ20" s="18"/>
      <c r="TFK20" s="16"/>
      <c r="TFL20" s="18"/>
      <c r="TFM20" s="16"/>
      <c r="TFN20" s="18"/>
      <c r="TFO20" s="16"/>
      <c r="TFP20" s="18"/>
      <c r="TFQ20" s="16"/>
      <c r="TFR20" s="18"/>
      <c r="TFS20" s="16"/>
      <c r="TFT20" s="18"/>
      <c r="TFU20" s="16"/>
      <c r="TFV20" s="18"/>
      <c r="TFW20" s="16"/>
      <c r="TFX20" s="18"/>
      <c r="TFY20" s="16"/>
      <c r="TFZ20" s="18"/>
      <c r="TGA20" s="16"/>
      <c r="TGB20" s="18"/>
      <c r="TGC20" s="16"/>
      <c r="TGD20" s="18"/>
      <c r="TGE20" s="16"/>
      <c r="TGF20" s="18"/>
      <c r="TGG20" s="16"/>
      <c r="TGH20" s="18"/>
      <c r="TGI20" s="16"/>
      <c r="TGJ20" s="18"/>
      <c r="TGK20" s="16"/>
      <c r="TGL20" s="18"/>
      <c r="TGM20" s="16"/>
      <c r="TGN20" s="18"/>
      <c r="TGO20" s="16"/>
      <c r="TGP20" s="18"/>
      <c r="TGQ20" s="16"/>
      <c r="TGR20" s="18"/>
      <c r="TGS20" s="16"/>
      <c r="TGT20" s="18"/>
      <c r="TGU20" s="16"/>
      <c r="TGV20" s="18"/>
      <c r="TGW20" s="16"/>
      <c r="TGX20" s="18"/>
      <c r="TGY20" s="16"/>
      <c r="TGZ20" s="18"/>
      <c r="THA20" s="16"/>
      <c r="THB20" s="18"/>
      <c r="THC20" s="16"/>
      <c r="THD20" s="18"/>
      <c r="THE20" s="16"/>
      <c r="THF20" s="18"/>
      <c r="THG20" s="16"/>
      <c r="THH20" s="18"/>
      <c r="THI20" s="16"/>
      <c r="THJ20" s="18"/>
      <c r="THK20" s="16"/>
      <c r="THL20" s="18"/>
      <c r="THM20" s="16"/>
      <c r="THN20" s="18"/>
      <c r="THO20" s="16"/>
      <c r="THP20" s="18"/>
      <c r="THQ20" s="16"/>
      <c r="THR20" s="18"/>
      <c r="THS20" s="16"/>
      <c r="THT20" s="18"/>
      <c r="THU20" s="16"/>
      <c r="THV20" s="18"/>
      <c r="THW20" s="16"/>
      <c r="THX20" s="18"/>
      <c r="THY20" s="16"/>
      <c r="THZ20" s="18"/>
      <c r="TIA20" s="16"/>
      <c r="TIB20" s="18"/>
      <c r="TIC20" s="16"/>
      <c r="TID20" s="18"/>
      <c r="TIE20" s="16"/>
      <c r="TIF20" s="18"/>
      <c r="TIG20" s="16"/>
      <c r="TIH20" s="18"/>
      <c r="TII20" s="16"/>
      <c r="TIJ20" s="18"/>
      <c r="TIK20" s="16"/>
      <c r="TIL20" s="18"/>
      <c r="TIM20" s="16"/>
      <c r="TIN20" s="18"/>
      <c r="TIO20" s="16"/>
      <c r="TIP20" s="18"/>
      <c r="TIQ20" s="16"/>
      <c r="TIR20" s="18"/>
      <c r="TIS20" s="16"/>
      <c r="TIT20" s="18"/>
      <c r="TIU20" s="16"/>
      <c r="TIV20" s="18"/>
      <c r="TIW20" s="16"/>
      <c r="TIX20" s="18"/>
      <c r="TIY20" s="16"/>
      <c r="TIZ20" s="18"/>
      <c r="TJA20" s="16"/>
      <c r="TJB20" s="18"/>
      <c r="TJC20" s="16"/>
      <c r="TJD20" s="18"/>
      <c r="TJE20" s="16"/>
      <c r="TJF20" s="18"/>
      <c r="TJG20" s="16"/>
      <c r="TJH20" s="18"/>
      <c r="TJI20" s="16"/>
      <c r="TJJ20" s="18"/>
      <c r="TJK20" s="16"/>
      <c r="TJL20" s="18"/>
      <c r="TJM20" s="16"/>
      <c r="TJN20" s="18"/>
      <c r="TJO20" s="16"/>
      <c r="TJP20" s="18"/>
      <c r="TJQ20" s="16"/>
      <c r="TJR20" s="18"/>
      <c r="TJS20" s="16"/>
      <c r="TJT20" s="18"/>
      <c r="TJU20" s="16"/>
      <c r="TJV20" s="18"/>
      <c r="TJW20" s="16"/>
      <c r="TJX20" s="18"/>
      <c r="TJY20" s="16"/>
      <c r="TJZ20" s="18"/>
      <c r="TKA20" s="16"/>
      <c r="TKB20" s="18"/>
      <c r="TKC20" s="16"/>
      <c r="TKD20" s="18"/>
      <c r="TKE20" s="16"/>
      <c r="TKF20" s="18"/>
      <c r="TKG20" s="16"/>
      <c r="TKH20" s="18"/>
      <c r="TKI20" s="16"/>
      <c r="TKJ20" s="18"/>
      <c r="TKK20" s="16"/>
      <c r="TKL20" s="18"/>
      <c r="TKM20" s="16"/>
      <c r="TKN20" s="18"/>
      <c r="TKO20" s="16"/>
      <c r="TKP20" s="18"/>
      <c r="TKQ20" s="16"/>
      <c r="TKR20" s="18"/>
      <c r="TKS20" s="16"/>
      <c r="TKT20" s="18"/>
      <c r="TKU20" s="16"/>
      <c r="TKV20" s="18"/>
      <c r="TKW20" s="16"/>
      <c r="TKX20" s="18"/>
      <c r="TKY20" s="16"/>
      <c r="TKZ20" s="18"/>
      <c r="TLA20" s="16"/>
      <c r="TLB20" s="18"/>
      <c r="TLC20" s="16"/>
      <c r="TLD20" s="18"/>
      <c r="TLE20" s="16"/>
      <c r="TLF20" s="18"/>
      <c r="TLG20" s="16"/>
      <c r="TLH20" s="18"/>
      <c r="TLI20" s="16"/>
      <c r="TLJ20" s="18"/>
      <c r="TLK20" s="16"/>
      <c r="TLL20" s="18"/>
      <c r="TLM20" s="16"/>
      <c r="TLN20" s="18"/>
      <c r="TLO20" s="16"/>
      <c r="TLP20" s="18"/>
      <c r="TLQ20" s="16"/>
      <c r="TLR20" s="18"/>
      <c r="TLS20" s="16"/>
      <c r="TLT20" s="18"/>
      <c r="TLU20" s="16"/>
      <c r="TLV20" s="18"/>
      <c r="TLW20" s="16"/>
      <c r="TLX20" s="18"/>
      <c r="TLY20" s="16"/>
      <c r="TLZ20" s="18"/>
      <c r="TMA20" s="16"/>
      <c r="TMB20" s="18"/>
      <c r="TMC20" s="16"/>
      <c r="TMD20" s="18"/>
      <c r="TME20" s="16"/>
      <c r="TMF20" s="18"/>
      <c r="TMG20" s="16"/>
      <c r="TMH20" s="18"/>
      <c r="TMI20" s="16"/>
      <c r="TMJ20" s="18"/>
      <c r="TMK20" s="16"/>
      <c r="TML20" s="18"/>
      <c r="TMM20" s="16"/>
      <c r="TMN20" s="18"/>
      <c r="TMO20" s="16"/>
      <c r="TMP20" s="18"/>
      <c r="TMQ20" s="16"/>
      <c r="TMR20" s="18"/>
      <c r="TMS20" s="16"/>
      <c r="TMT20" s="18"/>
      <c r="TMU20" s="16"/>
      <c r="TMV20" s="18"/>
      <c r="TMW20" s="16"/>
      <c r="TMX20" s="18"/>
      <c r="TMY20" s="16"/>
      <c r="TMZ20" s="18"/>
      <c r="TNA20" s="16"/>
      <c r="TNB20" s="18"/>
      <c r="TNC20" s="16"/>
      <c r="TND20" s="18"/>
      <c r="TNE20" s="16"/>
      <c r="TNF20" s="18"/>
      <c r="TNG20" s="16"/>
      <c r="TNH20" s="18"/>
      <c r="TNI20" s="16"/>
      <c r="TNJ20" s="18"/>
      <c r="TNK20" s="16"/>
      <c r="TNL20" s="18"/>
      <c r="TNM20" s="16"/>
      <c r="TNN20" s="18"/>
      <c r="TNO20" s="16"/>
      <c r="TNP20" s="18"/>
      <c r="TNQ20" s="16"/>
      <c r="TNR20" s="18"/>
      <c r="TNS20" s="16"/>
      <c r="TNT20" s="18"/>
      <c r="TNU20" s="16"/>
      <c r="TNV20" s="18"/>
      <c r="TNW20" s="16"/>
      <c r="TNX20" s="18"/>
      <c r="TNY20" s="16"/>
      <c r="TNZ20" s="18"/>
      <c r="TOA20" s="16"/>
      <c r="TOB20" s="18"/>
      <c r="TOC20" s="16"/>
      <c r="TOD20" s="18"/>
      <c r="TOE20" s="16"/>
      <c r="TOF20" s="18"/>
      <c r="TOG20" s="16"/>
      <c r="TOH20" s="18"/>
      <c r="TOI20" s="16"/>
      <c r="TOJ20" s="18"/>
      <c r="TOK20" s="16"/>
      <c r="TOL20" s="18"/>
      <c r="TOM20" s="16"/>
      <c r="TON20" s="18"/>
      <c r="TOO20" s="16"/>
      <c r="TOP20" s="18"/>
      <c r="TOQ20" s="16"/>
      <c r="TOR20" s="18"/>
      <c r="TOS20" s="16"/>
      <c r="TOT20" s="18"/>
      <c r="TOU20" s="16"/>
      <c r="TOV20" s="18"/>
      <c r="TOW20" s="16"/>
      <c r="TOX20" s="18"/>
      <c r="TOY20" s="16"/>
      <c r="TOZ20" s="18"/>
      <c r="TPA20" s="16"/>
      <c r="TPB20" s="18"/>
      <c r="TPC20" s="16"/>
      <c r="TPD20" s="18"/>
      <c r="TPE20" s="16"/>
      <c r="TPF20" s="18"/>
      <c r="TPG20" s="16"/>
      <c r="TPH20" s="18"/>
      <c r="TPI20" s="16"/>
      <c r="TPJ20" s="18"/>
      <c r="TPK20" s="16"/>
      <c r="TPL20" s="18"/>
      <c r="TPM20" s="16"/>
      <c r="TPN20" s="18"/>
      <c r="TPO20" s="16"/>
      <c r="TPP20" s="18"/>
      <c r="TPQ20" s="16"/>
      <c r="TPR20" s="18"/>
      <c r="TPS20" s="16"/>
      <c r="TPT20" s="18"/>
      <c r="TPU20" s="16"/>
      <c r="TPV20" s="18"/>
      <c r="TPW20" s="16"/>
      <c r="TPX20" s="18"/>
      <c r="TPY20" s="16"/>
      <c r="TPZ20" s="18"/>
      <c r="TQA20" s="16"/>
      <c r="TQB20" s="18"/>
      <c r="TQC20" s="16"/>
      <c r="TQD20" s="18"/>
      <c r="TQE20" s="16"/>
      <c r="TQF20" s="18"/>
      <c r="TQG20" s="16"/>
      <c r="TQH20" s="18"/>
      <c r="TQI20" s="16"/>
      <c r="TQJ20" s="18"/>
      <c r="TQK20" s="16"/>
      <c r="TQL20" s="18"/>
      <c r="TQM20" s="16"/>
      <c r="TQN20" s="18"/>
      <c r="TQO20" s="16"/>
      <c r="TQP20" s="18"/>
      <c r="TQQ20" s="16"/>
      <c r="TQR20" s="18"/>
      <c r="TQS20" s="16"/>
      <c r="TQT20" s="18"/>
      <c r="TQU20" s="16"/>
      <c r="TQV20" s="18"/>
      <c r="TQW20" s="16"/>
      <c r="TQX20" s="18"/>
      <c r="TQY20" s="16"/>
      <c r="TQZ20" s="18"/>
      <c r="TRA20" s="16"/>
      <c r="TRB20" s="18"/>
      <c r="TRC20" s="16"/>
      <c r="TRD20" s="18"/>
      <c r="TRE20" s="16"/>
      <c r="TRF20" s="18"/>
      <c r="TRG20" s="16"/>
      <c r="TRH20" s="18"/>
      <c r="TRI20" s="16"/>
      <c r="TRJ20" s="18"/>
      <c r="TRK20" s="16"/>
      <c r="TRL20" s="18"/>
      <c r="TRM20" s="16"/>
      <c r="TRN20" s="18"/>
      <c r="TRO20" s="16"/>
      <c r="TRP20" s="18"/>
      <c r="TRQ20" s="16"/>
      <c r="TRR20" s="18"/>
      <c r="TRS20" s="16"/>
      <c r="TRT20" s="18"/>
      <c r="TRU20" s="16"/>
      <c r="TRV20" s="18"/>
      <c r="TRW20" s="16"/>
      <c r="TRX20" s="18"/>
      <c r="TRY20" s="16"/>
      <c r="TRZ20" s="18"/>
      <c r="TSA20" s="16"/>
      <c r="TSB20" s="18"/>
      <c r="TSC20" s="16"/>
      <c r="TSD20" s="18"/>
      <c r="TSE20" s="16"/>
      <c r="TSF20" s="18"/>
      <c r="TSG20" s="16"/>
      <c r="TSH20" s="18"/>
      <c r="TSI20" s="16"/>
      <c r="TSJ20" s="18"/>
      <c r="TSK20" s="16"/>
      <c r="TSL20" s="18"/>
      <c r="TSM20" s="16"/>
      <c r="TSN20" s="18"/>
      <c r="TSO20" s="16"/>
      <c r="TSP20" s="18"/>
      <c r="TSQ20" s="16"/>
      <c r="TSR20" s="18"/>
      <c r="TSS20" s="16"/>
      <c r="TST20" s="18"/>
      <c r="TSU20" s="16"/>
      <c r="TSV20" s="18"/>
      <c r="TSW20" s="16"/>
      <c r="TSX20" s="18"/>
      <c r="TSY20" s="16"/>
      <c r="TSZ20" s="18"/>
      <c r="TTA20" s="16"/>
      <c r="TTB20" s="18"/>
      <c r="TTC20" s="16"/>
      <c r="TTD20" s="18"/>
      <c r="TTE20" s="16"/>
      <c r="TTF20" s="18"/>
      <c r="TTG20" s="16"/>
      <c r="TTH20" s="18"/>
      <c r="TTI20" s="16"/>
      <c r="TTJ20" s="18"/>
      <c r="TTK20" s="16"/>
      <c r="TTL20" s="18"/>
      <c r="TTM20" s="16"/>
      <c r="TTN20" s="18"/>
      <c r="TTO20" s="16"/>
      <c r="TTP20" s="18"/>
      <c r="TTQ20" s="16"/>
      <c r="TTR20" s="18"/>
      <c r="TTS20" s="16"/>
      <c r="TTT20" s="18"/>
      <c r="TTU20" s="16"/>
      <c r="TTV20" s="18"/>
      <c r="TTW20" s="16"/>
      <c r="TTX20" s="18"/>
      <c r="TTY20" s="16"/>
      <c r="TTZ20" s="18"/>
      <c r="TUA20" s="16"/>
      <c r="TUB20" s="18"/>
      <c r="TUC20" s="16"/>
      <c r="TUD20" s="18"/>
      <c r="TUE20" s="16"/>
      <c r="TUF20" s="18"/>
      <c r="TUG20" s="16"/>
      <c r="TUH20" s="18"/>
      <c r="TUI20" s="16"/>
      <c r="TUJ20" s="18"/>
      <c r="TUK20" s="16"/>
      <c r="TUL20" s="18"/>
      <c r="TUM20" s="16"/>
      <c r="TUN20" s="18"/>
      <c r="TUO20" s="16"/>
      <c r="TUP20" s="18"/>
      <c r="TUQ20" s="16"/>
      <c r="TUR20" s="18"/>
      <c r="TUS20" s="16"/>
      <c r="TUT20" s="18"/>
      <c r="TUU20" s="16"/>
      <c r="TUV20" s="18"/>
      <c r="TUW20" s="16"/>
      <c r="TUX20" s="18"/>
      <c r="TUY20" s="16"/>
      <c r="TUZ20" s="18"/>
      <c r="TVA20" s="16"/>
      <c r="TVB20" s="18"/>
      <c r="TVC20" s="16"/>
      <c r="TVD20" s="18"/>
      <c r="TVE20" s="16"/>
      <c r="TVF20" s="18"/>
      <c r="TVG20" s="16"/>
      <c r="TVH20" s="18"/>
      <c r="TVI20" s="16"/>
      <c r="TVJ20" s="18"/>
      <c r="TVK20" s="16"/>
      <c r="TVL20" s="18"/>
      <c r="TVM20" s="16"/>
      <c r="TVN20" s="18"/>
      <c r="TVO20" s="16"/>
      <c r="TVP20" s="18"/>
      <c r="TVQ20" s="16"/>
      <c r="TVR20" s="18"/>
      <c r="TVS20" s="16"/>
      <c r="TVT20" s="18"/>
      <c r="TVU20" s="16"/>
      <c r="TVV20" s="18"/>
      <c r="TVW20" s="16"/>
      <c r="TVX20" s="18"/>
      <c r="TVY20" s="16"/>
      <c r="TVZ20" s="18"/>
      <c r="TWA20" s="16"/>
      <c r="TWB20" s="18"/>
      <c r="TWC20" s="16"/>
      <c r="TWD20" s="18"/>
      <c r="TWE20" s="16"/>
      <c r="TWF20" s="18"/>
      <c r="TWG20" s="16"/>
      <c r="TWH20" s="18"/>
      <c r="TWI20" s="16"/>
      <c r="TWJ20" s="18"/>
      <c r="TWK20" s="16"/>
      <c r="TWL20" s="18"/>
      <c r="TWM20" s="16"/>
      <c r="TWN20" s="18"/>
      <c r="TWO20" s="16"/>
      <c r="TWP20" s="18"/>
      <c r="TWQ20" s="16"/>
      <c r="TWR20" s="18"/>
      <c r="TWS20" s="16"/>
      <c r="TWT20" s="18"/>
      <c r="TWU20" s="16"/>
      <c r="TWV20" s="18"/>
      <c r="TWW20" s="16"/>
      <c r="TWX20" s="18"/>
      <c r="TWY20" s="16"/>
      <c r="TWZ20" s="18"/>
      <c r="TXA20" s="16"/>
      <c r="TXB20" s="18"/>
      <c r="TXC20" s="16"/>
      <c r="TXD20" s="18"/>
      <c r="TXE20" s="16"/>
      <c r="TXF20" s="18"/>
      <c r="TXG20" s="16"/>
      <c r="TXH20" s="18"/>
      <c r="TXI20" s="16"/>
      <c r="TXJ20" s="18"/>
      <c r="TXK20" s="16"/>
      <c r="TXL20" s="18"/>
      <c r="TXM20" s="16"/>
      <c r="TXN20" s="18"/>
      <c r="TXO20" s="16"/>
      <c r="TXP20" s="18"/>
      <c r="TXQ20" s="16"/>
      <c r="TXR20" s="18"/>
      <c r="TXS20" s="16"/>
      <c r="TXT20" s="18"/>
      <c r="TXU20" s="16"/>
      <c r="TXV20" s="18"/>
      <c r="TXW20" s="16"/>
      <c r="TXX20" s="18"/>
      <c r="TXY20" s="16"/>
      <c r="TXZ20" s="18"/>
      <c r="TYA20" s="16"/>
      <c r="TYB20" s="18"/>
      <c r="TYC20" s="16"/>
      <c r="TYD20" s="18"/>
      <c r="TYE20" s="16"/>
      <c r="TYF20" s="18"/>
      <c r="TYG20" s="16"/>
      <c r="TYH20" s="18"/>
      <c r="TYI20" s="16"/>
      <c r="TYJ20" s="18"/>
      <c r="TYK20" s="16"/>
      <c r="TYL20" s="18"/>
      <c r="TYM20" s="16"/>
      <c r="TYN20" s="18"/>
      <c r="TYO20" s="16"/>
      <c r="TYP20" s="18"/>
      <c r="TYQ20" s="16"/>
      <c r="TYR20" s="18"/>
      <c r="TYS20" s="16"/>
      <c r="TYT20" s="18"/>
      <c r="TYU20" s="16"/>
      <c r="TYV20" s="18"/>
      <c r="TYW20" s="16"/>
      <c r="TYX20" s="18"/>
      <c r="TYY20" s="16"/>
      <c r="TYZ20" s="18"/>
      <c r="TZA20" s="16"/>
      <c r="TZB20" s="18"/>
      <c r="TZC20" s="16"/>
      <c r="TZD20" s="18"/>
      <c r="TZE20" s="16"/>
      <c r="TZF20" s="18"/>
      <c r="TZG20" s="16"/>
      <c r="TZH20" s="18"/>
      <c r="TZI20" s="16"/>
      <c r="TZJ20" s="18"/>
      <c r="TZK20" s="16"/>
      <c r="TZL20" s="18"/>
      <c r="TZM20" s="16"/>
      <c r="TZN20" s="18"/>
      <c r="TZO20" s="16"/>
      <c r="TZP20" s="18"/>
      <c r="TZQ20" s="16"/>
      <c r="TZR20" s="18"/>
      <c r="TZS20" s="16"/>
      <c r="TZT20" s="18"/>
      <c r="TZU20" s="16"/>
      <c r="TZV20" s="18"/>
      <c r="TZW20" s="16"/>
      <c r="TZX20" s="18"/>
      <c r="TZY20" s="16"/>
      <c r="TZZ20" s="18"/>
      <c r="UAA20" s="16"/>
      <c r="UAB20" s="18"/>
      <c r="UAC20" s="16"/>
      <c r="UAD20" s="18"/>
      <c r="UAE20" s="16"/>
      <c r="UAF20" s="18"/>
      <c r="UAG20" s="16"/>
      <c r="UAH20" s="18"/>
      <c r="UAI20" s="16"/>
      <c r="UAJ20" s="18"/>
      <c r="UAK20" s="16"/>
      <c r="UAL20" s="18"/>
      <c r="UAM20" s="16"/>
      <c r="UAN20" s="18"/>
      <c r="UAO20" s="16"/>
      <c r="UAP20" s="18"/>
      <c r="UAQ20" s="16"/>
      <c r="UAR20" s="18"/>
      <c r="UAS20" s="16"/>
      <c r="UAT20" s="18"/>
      <c r="UAU20" s="16"/>
      <c r="UAV20" s="18"/>
      <c r="UAW20" s="16"/>
      <c r="UAX20" s="18"/>
      <c r="UAY20" s="16"/>
      <c r="UAZ20" s="18"/>
      <c r="UBA20" s="16"/>
      <c r="UBB20" s="18"/>
      <c r="UBC20" s="16"/>
      <c r="UBD20" s="18"/>
      <c r="UBE20" s="16"/>
      <c r="UBF20" s="18"/>
      <c r="UBG20" s="16"/>
      <c r="UBH20" s="18"/>
      <c r="UBI20" s="16"/>
      <c r="UBJ20" s="18"/>
      <c r="UBK20" s="16"/>
      <c r="UBL20" s="18"/>
      <c r="UBM20" s="16"/>
      <c r="UBN20" s="18"/>
      <c r="UBO20" s="16"/>
      <c r="UBP20" s="18"/>
      <c r="UBQ20" s="16"/>
      <c r="UBR20" s="18"/>
      <c r="UBS20" s="16"/>
      <c r="UBT20" s="18"/>
      <c r="UBU20" s="16"/>
      <c r="UBV20" s="18"/>
      <c r="UBW20" s="16"/>
      <c r="UBX20" s="18"/>
      <c r="UBY20" s="16"/>
      <c r="UBZ20" s="18"/>
      <c r="UCA20" s="16"/>
      <c r="UCB20" s="18"/>
      <c r="UCC20" s="16"/>
      <c r="UCD20" s="18"/>
      <c r="UCE20" s="16"/>
      <c r="UCF20" s="18"/>
      <c r="UCG20" s="16"/>
      <c r="UCH20" s="18"/>
      <c r="UCI20" s="16"/>
      <c r="UCJ20" s="18"/>
      <c r="UCK20" s="16"/>
      <c r="UCL20" s="18"/>
      <c r="UCM20" s="16"/>
      <c r="UCN20" s="18"/>
      <c r="UCO20" s="16"/>
      <c r="UCP20" s="18"/>
      <c r="UCQ20" s="16"/>
      <c r="UCR20" s="18"/>
      <c r="UCS20" s="16"/>
      <c r="UCT20" s="18"/>
      <c r="UCU20" s="16"/>
      <c r="UCV20" s="18"/>
      <c r="UCW20" s="16"/>
      <c r="UCX20" s="18"/>
      <c r="UCY20" s="16"/>
      <c r="UCZ20" s="18"/>
      <c r="UDA20" s="16"/>
      <c r="UDB20" s="18"/>
      <c r="UDC20" s="16"/>
      <c r="UDD20" s="18"/>
      <c r="UDE20" s="16"/>
      <c r="UDF20" s="18"/>
      <c r="UDG20" s="16"/>
      <c r="UDH20" s="18"/>
      <c r="UDI20" s="16"/>
      <c r="UDJ20" s="18"/>
      <c r="UDK20" s="16"/>
      <c r="UDL20" s="18"/>
      <c r="UDM20" s="16"/>
      <c r="UDN20" s="18"/>
      <c r="UDO20" s="16"/>
      <c r="UDP20" s="18"/>
      <c r="UDQ20" s="16"/>
      <c r="UDR20" s="18"/>
      <c r="UDS20" s="16"/>
      <c r="UDT20" s="18"/>
      <c r="UDU20" s="16"/>
      <c r="UDV20" s="18"/>
      <c r="UDW20" s="16"/>
      <c r="UDX20" s="18"/>
      <c r="UDY20" s="16"/>
      <c r="UDZ20" s="18"/>
      <c r="UEA20" s="16"/>
      <c r="UEB20" s="18"/>
      <c r="UEC20" s="16"/>
      <c r="UED20" s="18"/>
      <c r="UEE20" s="16"/>
      <c r="UEF20" s="18"/>
      <c r="UEG20" s="16"/>
      <c r="UEH20" s="18"/>
      <c r="UEI20" s="16"/>
      <c r="UEJ20" s="18"/>
      <c r="UEK20" s="16"/>
      <c r="UEL20" s="18"/>
      <c r="UEM20" s="16"/>
      <c r="UEN20" s="18"/>
      <c r="UEO20" s="16"/>
      <c r="UEP20" s="18"/>
      <c r="UEQ20" s="16"/>
      <c r="UER20" s="18"/>
      <c r="UES20" s="16"/>
      <c r="UET20" s="18"/>
      <c r="UEU20" s="16"/>
      <c r="UEV20" s="18"/>
      <c r="UEW20" s="16"/>
      <c r="UEX20" s="18"/>
      <c r="UEY20" s="16"/>
      <c r="UEZ20" s="18"/>
      <c r="UFA20" s="16"/>
      <c r="UFB20" s="18"/>
      <c r="UFC20" s="16"/>
      <c r="UFD20" s="18"/>
      <c r="UFE20" s="16"/>
      <c r="UFF20" s="18"/>
      <c r="UFG20" s="16"/>
      <c r="UFH20" s="18"/>
      <c r="UFI20" s="16"/>
      <c r="UFJ20" s="18"/>
      <c r="UFK20" s="16"/>
      <c r="UFL20" s="18"/>
      <c r="UFM20" s="16"/>
      <c r="UFN20" s="18"/>
      <c r="UFO20" s="16"/>
      <c r="UFP20" s="18"/>
      <c r="UFQ20" s="16"/>
      <c r="UFR20" s="18"/>
      <c r="UFS20" s="16"/>
      <c r="UFT20" s="18"/>
      <c r="UFU20" s="16"/>
      <c r="UFV20" s="18"/>
      <c r="UFW20" s="16"/>
      <c r="UFX20" s="18"/>
      <c r="UFY20" s="16"/>
      <c r="UFZ20" s="18"/>
      <c r="UGA20" s="16"/>
      <c r="UGB20" s="18"/>
      <c r="UGC20" s="16"/>
      <c r="UGD20" s="18"/>
      <c r="UGE20" s="16"/>
      <c r="UGF20" s="18"/>
      <c r="UGG20" s="16"/>
      <c r="UGH20" s="18"/>
      <c r="UGI20" s="16"/>
      <c r="UGJ20" s="18"/>
      <c r="UGK20" s="16"/>
      <c r="UGL20" s="18"/>
      <c r="UGM20" s="16"/>
      <c r="UGN20" s="18"/>
      <c r="UGO20" s="16"/>
      <c r="UGP20" s="18"/>
      <c r="UGQ20" s="16"/>
      <c r="UGR20" s="18"/>
      <c r="UGS20" s="16"/>
      <c r="UGT20" s="18"/>
      <c r="UGU20" s="16"/>
      <c r="UGV20" s="18"/>
      <c r="UGW20" s="16"/>
      <c r="UGX20" s="18"/>
      <c r="UGY20" s="16"/>
      <c r="UGZ20" s="18"/>
      <c r="UHA20" s="16"/>
      <c r="UHB20" s="18"/>
      <c r="UHC20" s="16"/>
      <c r="UHD20" s="18"/>
      <c r="UHE20" s="16"/>
      <c r="UHF20" s="18"/>
      <c r="UHG20" s="16"/>
      <c r="UHH20" s="18"/>
      <c r="UHI20" s="16"/>
      <c r="UHJ20" s="18"/>
      <c r="UHK20" s="16"/>
      <c r="UHL20" s="18"/>
      <c r="UHM20" s="16"/>
      <c r="UHN20" s="18"/>
      <c r="UHO20" s="16"/>
      <c r="UHP20" s="18"/>
      <c r="UHQ20" s="16"/>
      <c r="UHR20" s="18"/>
      <c r="UHS20" s="16"/>
      <c r="UHT20" s="18"/>
      <c r="UHU20" s="16"/>
      <c r="UHV20" s="18"/>
      <c r="UHW20" s="16"/>
      <c r="UHX20" s="18"/>
      <c r="UHY20" s="16"/>
      <c r="UHZ20" s="18"/>
      <c r="UIA20" s="16"/>
      <c r="UIB20" s="18"/>
      <c r="UIC20" s="16"/>
      <c r="UID20" s="18"/>
      <c r="UIE20" s="16"/>
      <c r="UIF20" s="18"/>
      <c r="UIG20" s="16"/>
      <c r="UIH20" s="18"/>
      <c r="UII20" s="16"/>
      <c r="UIJ20" s="18"/>
      <c r="UIK20" s="16"/>
      <c r="UIL20" s="18"/>
      <c r="UIM20" s="16"/>
      <c r="UIN20" s="18"/>
      <c r="UIO20" s="16"/>
      <c r="UIP20" s="18"/>
      <c r="UIQ20" s="16"/>
      <c r="UIR20" s="18"/>
      <c r="UIS20" s="16"/>
      <c r="UIT20" s="18"/>
      <c r="UIU20" s="16"/>
      <c r="UIV20" s="18"/>
      <c r="UIW20" s="16"/>
      <c r="UIX20" s="18"/>
      <c r="UIY20" s="16"/>
      <c r="UIZ20" s="18"/>
      <c r="UJA20" s="16"/>
      <c r="UJB20" s="18"/>
      <c r="UJC20" s="16"/>
      <c r="UJD20" s="18"/>
      <c r="UJE20" s="16"/>
      <c r="UJF20" s="18"/>
      <c r="UJG20" s="16"/>
      <c r="UJH20" s="18"/>
      <c r="UJI20" s="16"/>
      <c r="UJJ20" s="18"/>
      <c r="UJK20" s="16"/>
      <c r="UJL20" s="18"/>
      <c r="UJM20" s="16"/>
      <c r="UJN20" s="18"/>
      <c r="UJO20" s="16"/>
      <c r="UJP20" s="18"/>
      <c r="UJQ20" s="16"/>
      <c r="UJR20" s="18"/>
      <c r="UJS20" s="16"/>
      <c r="UJT20" s="18"/>
      <c r="UJU20" s="16"/>
      <c r="UJV20" s="18"/>
      <c r="UJW20" s="16"/>
      <c r="UJX20" s="18"/>
      <c r="UJY20" s="16"/>
      <c r="UJZ20" s="18"/>
      <c r="UKA20" s="16"/>
      <c r="UKB20" s="18"/>
      <c r="UKC20" s="16"/>
      <c r="UKD20" s="18"/>
      <c r="UKE20" s="16"/>
      <c r="UKF20" s="18"/>
      <c r="UKG20" s="16"/>
      <c r="UKH20" s="18"/>
      <c r="UKI20" s="16"/>
      <c r="UKJ20" s="18"/>
      <c r="UKK20" s="16"/>
      <c r="UKL20" s="18"/>
      <c r="UKM20" s="16"/>
      <c r="UKN20" s="18"/>
      <c r="UKO20" s="16"/>
      <c r="UKP20" s="18"/>
      <c r="UKQ20" s="16"/>
      <c r="UKR20" s="18"/>
      <c r="UKS20" s="16"/>
      <c r="UKT20" s="18"/>
      <c r="UKU20" s="16"/>
      <c r="UKV20" s="18"/>
      <c r="UKW20" s="16"/>
      <c r="UKX20" s="18"/>
      <c r="UKY20" s="16"/>
      <c r="UKZ20" s="18"/>
      <c r="ULA20" s="16"/>
      <c r="ULB20" s="18"/>
      <c r="ULC20" s="16"/>
      <c r="ULD20" s="18"/>
      <c r="ULE20" s="16"/>
      <c r="ULF20" s="18"/>
      <c r="ULG20" s="16"/>
      <c r="ULH20" s="18"/>
      <c r="ULI20" s="16"/>
      <c r="ULJ20" s="18"/>
      <c r="ULK20" s="16"/>
      <c r="ULL20" s="18"/>
      <c r="ULM20" s="16"/>
      <c r="ULN20" s="18"/>
      <c r="ULO20" s="16"/>
      <c r="ULP20" s="18"/>
      <c r="ULQ20" s="16"/>
      <c r="ULR20" s="18"/>
      <c r="ULS20" s="16"/>
      <c r="ULT20" s="18"/>
      <c r="ULU20" s="16"/>
      <c r="ULV20" s="18"/>
      <c r="ULW20" s="16"/>
      <c r="ULX20" s="18"/>
      <c r="ULY20" s="16"/>
      <c r="ULZ20" s="18"/>
      <c r="UMA20" s="16"/>
      <c r="UMB20" s="18"/>
      <c r="UMC20" s="16"/>
      <c r="UMD20" s="18"/>
      <c r="UME20" s="16"/>
      <c r="UMF20" s="18"/>
      <c r="UMG20" s="16"/>
      <c r="UMH20" s="18"/>
      <c r="UMI20" s="16"/>
      <c r="UMJ20" s="18"/>
      <c r="UMK20" s="16"/>
      <c r="UML20" s="18"/>
      <c r="UMM20" s="16"/>
      <c r="UMN20" s="18"/>
      <c r="UMO20" s="16"/>
      <c r="UMP20" s="18"/>
      <c r="UMQ20" s="16"/>
      <c r="UMR20" s="18"/>
      <c r="UMS20" s="16"/>
      <c r="UMT20" s="18"/>
      <c r="UMU20" s="16"/>
      <c r="UMV20" s="18"/>
      <c r="UMW20" s="16"/>
      <c r="UMX20" s="18"/>
      <c r="UMY20" s="16"/>
      <c r="UMZ20" s="18"/>
      <c r="UNA20" s="16"/>
      <c r="UNB20" s="18"/>
      <c r="UNC20" s="16"/>
      <c r="UND20" s="18"/>
      <c r="UNE20" s="16"/>
      <c r="UNF20" s="18"/>
      <c r="UNG20" s="16"/>
      <c r="UNH20" s="18"/>
      <c r="UNI20" s="16"/>
      <c r="UNJ20" s="18"/>
      <c r="UNK20" s="16"/>
      <c r="UNL20" s="18"/>
      <c r="UNM20" s="16"/>
      <c r="UNN20" s="18"/>
      <c r="UNO20" s="16"/>
      <c r="UNP20" s="18"/>
      <c r="UNQ20" s="16"/>
      <c r="UNR20" s="18"/>
      <c r="UNS20" s="16"/>
      <c r="UNT20" s="18"/>
      <c r="UNU20" s="16"/>
      <c r="UNV20" s="18"/>
      <c r="UNW20" s="16"/>
      <c r="UNX20" s="18"/>
      <c r="UNY20" s="16"/>
      <c r="UNZ20" s="18"/>
      <c r="UOA20" s="16"/>
      <c r="UOB20" s="18"/>
      <c r="UOC20" s="16"/>
      <c r="UOD20" s="18"/>
      <c r="UOE20" s="16"/>
      <c r="UOF20" s="18"/>
      <c r="UOG20" s="16"/>
      <c r="UOH20" s="18"/>
      <c r="UOI20" s="16"/>
      <c r="UOJ20" s="18"/>
      <c r="UOK20" s="16"/>
      <c r="UOL20" s="18"/>
      <c r="UOM20" s="16"/>
      <c r="UON20" s="18"/>
      <c r="UOO20" s="16"/>
      <c r="UOP20" s="18"/>
      <c r="UOQ20" s="16"/>
      <c r="UOR20" s="18"/>
      <c r="UOS20" s="16"/>
      <c r="UOT20" s="18"/>
      <c r="UOU20" s="16"/>
      <c r="UOV20" s="18"/>
      <c r="UOW20" s="16"/>
      <c r="UOX20" s="18"/>
      <c r="UOY20" s="16"/>
      <c r="UOZ20" s="18"/>
      <c r="UPA20" s="16"/>
      <c r="UPB20" s="18"/>
      <c r="UPC20" s="16"/>
      <c r="UPD20" s="18"/>
      <c r="UPE20" s="16"/>
      <c r="UPF20" s="18"/>
      <c r="UPG20" s="16"/>
      <c r="UPH20" s="18"/>
      <c r="UPI20" s="16"/>
      <c r="UPJ20" s="18"/>
      <c r="UPK20" s="16"/>
      <c r="UPL20" s="18"/>
      <c r="UPM20" s="16"/>
      <c r="UPN20" s="18"/>
      <c r="UPO20" s="16"/>
      <c r="UPP20" s="18"/>
      <c r="UPQ20" s="16"/>
      <c r="UPR20" s="18"/>
      <c r="UPS20" s="16"/>
      <c r="UPT20" s="18"/>
      <c r="UPU20" s="16"/>
      <c r="UPV20" s="18"/>
      <c r="UPW20" s="16"/>
      <c r="UPX20" s="18"/>
      <c r="UPY20" s="16"/>
      <c r="UPZ20" s="18"/>
      <c r="UQA20" s="16"/>
      <c r="UQB20" s="18"/>
      <c r="UQC20" s="16"/>
      <c r="UQD20" s="18"/>
      <c r="UQE20" s="16"/>
      <c r="UQF20" s="18"/>
      <c r="UQG20" s="16"/>
      <c r="UQH20" s="18"/>
      <c r="UQI20" s="16"/>
      <c r="UQJ20" s="18"/>
      <c r="UQK20" s="16"/>
      <c r="UQL20" s="18"/>
      <c r="UQM20" s="16"/>
      <c r="UQN20" s="18"/>
      <c r="UQO20" s="16"/>
      <c r="UQP20" s="18"/>
      <c r="UQQ20" s="16"/>
      <c r="UQR20" s="18"/>
      <c r="UQS20" s="16"/>
      <c r="UQT20" s="18"/>
      <c r="UQU20" s="16"/>
      <c r="UQV20" s="18"/>
      <c r="UQW20" s="16"/>
      <c r="UQX20" s="18"/>
      <c r="UQY20" s="16"/>
      <c r="UQZ20" s="18"/>
      <c r="URA20" s="16"/>
      <c r="URB20" s="18"/>
      <c r="URC20" s="16"/>
      <c r="URD20" s="18"/>
      <c r="URE20" s="16"/>
      <c r="URF20" s="18"/>
      <c r="URG20" s="16"/>
      <c r="URH20" s="18"/>
      <c r="URI20" s="16"/>
      <c r="URJ20" s="18"/>
      <c r="URK20" s="16"/>
      <c r="URL20" s="18"/>
      <c r="URM20" s="16"/>
      <c r="URN20" s="18"/>
      <c r="URO20" s="16"/>
      <c r="URP20" s="18"/>
      <c r="URQ20" s="16"/>
      <c r="URR20" s="18"/>
      <c r="URS20" s="16"/>
      <c r="URT20" s="18"/>
      <c r="URU20" s="16"/>
      <c r="URV20" s="18"/>
      <c r="URW20" s="16"/>
      <c r="URX20" s="18"/>
      <c r="URY20" s="16"/>
      <c r="URZ20" s="18"/>
      <c r="USA20" s="16"/>
      <c r="USB20" s="18"/>
      <c r="USC20" s="16"/>
      <c r="USD20" s="18"/>
      <c r="USE20" s="16"/>
      <c r="USF20" s="18"/>
      <c r="USG20" s="16"/>
      <c r="USH20" s="18"/>
      <c r="USI20" s="16"/>
      <c r="USJ20" s="18"/>
      <c r="USK20" s="16"/>
      <c r="USL20" s="18"/>
      <c r="USM20" s="16"/>
      <c r="USN20" s="18"/>
      <c r="USO20" s="16"/>
      <c r="USP20" s="18"/>
      <c r="USQ20" s="16"/>
      <c r="USR20" s="18"/>
      <c r="USS20" s="16"/>
      <c r="UST20" s="18"/>
      <c r="USU20" s="16"/>
      <c r="USV20" s="18"/>
      <c r="USW20" s="16"/>
      <c r="USX20" s="18"/>
      <c r="USY20" s="16"/>
      <c r="USZ20" s="18"/>
      <c r="UTA20" s="16"/>
      <c r="UTB20" s="18"/>
      <c r="UTC20" s="16"/>
      <c r="UTD20" s="18"/>
      <c r="UTE20" s="16"/>
      <c r="UTF20" s="18"/>
      <c r="UTG20" s="16"/>
      <c r="UTH20" s="18"/>
      <c r="UTI20" s="16"/>
      <c r="UTJ20" s="18"/>
      <c r="UTK20" s="16"/>
      <c r="UTL20" s="18"/>
      <c r="UTM20" s="16"/>
      <c r="UTN20" s="18"/>
      <c r="UTO20" s="16"/>
      <c r="UTP20" s="18"/>
      <c r="UTQ20" s="16"/>
      <c r="UTR20" s="18"/>
      <c r="UTS20" s="16"/>
      <c r="UTT20" s="18"/>
      <c r="UTU20" s="16"/>
      <c r="UTV20" s="18"/>
      <c r="UTW20" s="16"/>
      <c r="UTX20" s="18"/>
      <c r="UTY20" s="16"/>
      <c r="UTZ20" s="18"/>
      <c r="UUA20" s="16"/>
      <c r="UUB20" s="18"/>
      <c r="UUC20" s="16"/>
      <c r="UUD20" s="18"/>
      <c r="UUE20" s="16"/>
      <c r="UUF20" s="18"/>
      <c r="UUG20" s="16"/>
      <c r="UUH20" s="18"/>
      <c r="UUI20" s="16"/>
      <c r="UUJ20" s="18"/>
      <c r="UUK20" s="16"/>
      <c r="UUL20" s="18"/>
      <c r="UUM20" s="16"/>
      <c r="UUN20" s="18"/>
      <c r="UUO20" s="16"/>
      <c r="UUP20" s="18"/>
      <c r="UUQ20" s="16"/>
      <c r="UUR20" s="18"/>
      <c r="UUS20" s="16"/>
      <c r="UUT20" s="18"/>
      <c r="UUU20" s="16"/>
      <c r="UUV20" s="18"/>
      <c r="UUW20" s="16"/>
      <c r="UUX20" s="18"/>
      <c r="UUY20" s="16"/>
      <c r="UUZ20" s="18"/>
      <c r="UVA20" s="16"/>
      <c r="UVB20" s="18"/>
      <c r="UVC20" s="16"/>
      <c r="UVD20" s="18"/>
      <c r="UVE20" s="16"/>
      <c r="UVF20" s="18"/>
      <c r="UVG20" s="16"/>
      <c r="UVH20" s="18"/>
      <c r="UVI20" s="16"/>
      <c r="UVJ20" s="18"/>
      <c r="UVK20" s="16"/>
      <c r="UVL20" s="18"/>
      <c r="UVM20" s="16"/>
      <c r="UVN20" s="18"/>
      <c r="UVO20" s="16"/>
      <c r="UVP20" s="18"/>
      <c r="UVQ20" s="16"/>
      <c r="UVR20" s="18"/>
      <c r="UVS20" s="16"/>
      <c r="UVT20" s="18"/>
      <c r="UVU20" s="16"/>
      <c r="UVV20" s="18"/>
      <c r="UVW20" s="16"/>
      <c r="UVX20" s="18"/>
      <c r="UVY20" s="16"/>
      <c r="UVZ20" s="18"/>
      <c r="UWA20" s="16"/>
      <c r="UWB20" s="18"/>
      <c r="UWC20" s="16"/>
      <c r="UWD20" s="18"/>
      <c r="UWE20" s="16"/>
      <c r="UWF20" s="18"/>
      <c r="UWG20" s="16"/>
      <c r="UWH20" s="18"/>
      <c r="UWI20" s="16"/>
      <c r="UWJ20" s="18"/>
      <c r="UWK20" s="16"/>
      <c r="UWL20" s="18"/>
      <c r="UWM20" s="16"/>
      <c r="UWN20" s="18"/>
      <c r="UWO20" s="16"/>
      <c r="UWP20" s="18"/>
      <c r="UWQ20" s="16"/>
      <c r="UWR20" s="18"/>
      <c r="UWS20" s="16"/>
      <c r="UWT20" s="18"/>
      <c r="UWU20" s="16"/>
      <c r="UWV20" s="18"/>
      <c r="UWW20" s="16"/>
      <c r="UWX20" s="18"/>
      <c r="UWY20" s="16"/>
      <c r="UWZ20" s="18"/>
      <c r="UXA20" s="16"/>
      <c r="UXB20" s="18"/>
      <c r="UXC20" s="16"/>
      <c r="UXD20" s="18"/>
      <c r="UXE20" s="16"/>
      <c r="UXF20" s="18"/>
      <c r="UXG20" s="16"/>
      <c r="UXH20" s="18"/>
      <c r="UXI20" s="16"/>
      <c r="UXJ20" s="18"/>
      <c r="UXK20" s="16"/>
      <c r="UXL20" s="18"/>
      <c r="UXM20" s="16"/>
      <c r="UXN20" s="18"/>
      <c r="UXO20" s="16"/>
      <c r="UXP20" s="18"/>
      <c r="UXQ20" s="16"/>
      <c r="UXR20" s="18"/>
      <c r="UXS20" s="16"/>
      <c r="UXT20" s="18"/>
      <c r="UXU20" s="16"/>
      <c r="UXV20" s="18"/>
      <c r="UXW20" s="16"/>
      <c r="UXX20" s="18"/>
      <c r="UXY20" s="16"/>
      <c r="UXZ20" s="18"/>
      <c r="UYA20" s="16"/>
      <c r="UYB20" s="18"/>
      <c r="UYC20" s="16"/>
      <c r="UYD20" s="18"/>
      <c r="UYE20" s="16"/>
      <c r="UYF20" s="18"/>
      <c r="UYG20" s="16"/>
      <c r="UYH20" s="18"/>
      <c r="UYI20" s="16"/>
      <c r="UYJ20" s="18"/>
      <c r="UYK20" s="16"/>
      <c r="UYL20" s="18"/>
      <c r="UYM20" s="16"/>
      <c r="UYN20" s="18"/>
      <c r="UYO20" s="16"/>
      <c r="UYP20" s="18"/>
      <c r="UYQ20" s="16"/>
      <c r="UYR20" s="18"/>
      <c r="UYS20" s="16"/>
      <c r="UYT20" s="18"/>
      <c r="UYU20" s="16"/>
      <c r="UYV20" s="18"/>
      <c r="UYW20" s="16"/>
      <c r="UYX20" s="18"/>
      <c r="UYY20" s="16"/>
      <c r="UYZ20" s="18"/>
      <c r="UZA20" s="16"/>
      <c r="UZB20" s="18"/>
      <c r="UZC20" s="16"/>
      <c r="UZD20" s="18"/>
      <c r="UZE20" s="16"/>
      <c r="UZF20" s="18"/>
      <c r="UZG20" s="16"/>
      <c r="UZH20" s="18"/>
      <c r="UZI20" s="16"/>
      <c r="UZJ20" s="18"/>
      <c r="UZK20" s="16"/>
      <c r="UZL20" s="18"/>
      <c r="UZM20" s="16"/>
      <c r="UZN20" s="18"/>
      <c r="UZO20" s="16"/>
      <c r="UZP20" s="18"/>
      <c r="UZQ20" s="16"/>
      <c r="UZR20" s="18"/>
      <c r="UZS20" s="16"/>
      <c r="UZT20" s="18"/>
      <c r="UZU20" s="16"/>
      <c r="UZV20" s="18"/>
      <c r="UZW20" s="16"/>
      <c r="UZX20" s="18"/>
      <c r="UZY20" s="16"/>
      <c r="UZZ20" s="18"/>
      <c r="VAA20" s="16"/>
      <c r="VAB20" s="18"/>
      <c r="VAC20" s="16"/>
      <c r="VAD20" s="18"/>
      <c r="VAE20" s="16"/>
      <c r="VAF20" s="18"/>
      <c r="VAG20" s="16"/>
      <c r="VAH20" s="18"/>
      <c r="VAI20" s="16"/>
      <c r="VAJ20" s="18"/>
      <c r="VAK20" s="16"/>
      <c r="VAL20" s="18"/>
      <c r="VAM20" s="16"/>
      <c r="VAN20" s="18"/>
      <c r="VAO20" s="16"/>
      <c r="VAP20" s="18"/>
      <c r="VAQ20" s="16"/>
      <c r="VAR20" s="18"/>
      <c r="VAS20" s="16"/>
      <c r="VAT20" s="18"/>
      <c r="VAU20" s="16"/>
      <c r="VAV20" s="18"/>
      <c r="VAW20" s="16"/>
      <c r="VAX20" s="18"/>
      <c r="VAY20" s="16"/>
      <c r="VAZ20" s="18"/>
      <c r="VBA20" s="16"/>
      <c r="VBB20" s="18"/>
      <c r="VBC20" s="16"/>
      <c r="VBD20" s="18"/>
      <c r="VBE20" s="16"/>
      <c r="VBF20" s="18"/>
      <c r="VBG20" s="16"/>
      <c r="VBH20" s="18"/>
      <c r="VBI20" s="16"/>
      <c r="VBJ20" s="18"/>
      <c r="VBK20" s="16"/>
      <c r="VBL20" s="18"/>
      <c r="VBM20" s="16"/>
      <c r="VBN20" s="18"/>
      <c r="VBO20" s="16"/>
      <c r="VBP20" s="18"/>
      <c r="VBQ20" s="16"/>
      <c r="VBR20" s="18"/>
      <c r="VBS20" s="16"/>
      <c r="VBT20" s="18"/>
      <c r="VBU20" s="16"/>
      <c r="VBV20" s="18"/>
      <c r="VBW20" s="16"/>
      <c r="VBX20" s="18"/>
      <c r="VBY20" s="16"/>
      <c r="VBZ20" s="18"/>
      <c r="VCA20" s="16"/>
      <c r="VCB20" s="18"/>
      <c r="VCC20" s="16"/>
      <c r="VCD20" s="18"/>
      <c r="VCE20" s="16"/>
      <c r="VCF20" s="18"/>
      <c r="VCG20" s="16"/>
      <c r="VCH20" s="18"/>
      <c r="VCI20" s="16"/>
      <c r="VCJ20" s="18"/>
      <c r="VCK20" s="16"/>
      <c r="VCL20" s="18"/>
      <c r="VCM20" s="16"/>
      <c r="VCN20" s="18"/>
      <c r="VCO20" s="16"/>
      <c r="VCP20" s="18"/>
      <c r="VCQ20" s="16"/>
      <c r="VCR20" s="18"/>
      <c r="VCS20" s="16"/>
      <c r="VCT20" s="18"/>
      <c r="VCU20" s="16"/>
      <c r="VCV20" s="18"/>
      <c r="VCW20" s="16"/>
      <c r="VCX20" s="18"/>
      <c r="VCY20" s="16"/>
      <c r="VCZ20" s="18"/>
      <c r="VDA20" s="16"/>
      <c r="VDB20" s="18"/>
      <c r="VDC20" s="16"/>
      <c r="VDD20" s="18"/>
      <c r="VDE20" s="16"/>
      <c r="VDF20" s="18"/>
      <c r="VDG20" s="16"/>
      <c r="VDH20" s="18"/>
      <c r="VDI20" s="16"/>
      <c r="VDJ20" s="18"/>
      <c r="VDK20" s="16"/>
      <c r="VDL20" s="18"/>
      <c r="VDM20" s="16"/>
      <c r="VDN20" s="18"/>
      <c r="VDO20" s="16"/>
      <c r="VDP20" s="18"/>
      <c r="VDQ20" s="16"/>
      <c r="VDR20" s="18"/>
      <c r="VDS20" s="16"/>
      <c r="VDT20" s="18"/>
      <c r="VDU20" s="16"/>
      <c r="VDV20" s="18"/>
      <c r="VDW20" s="16"/>
      <c r="VDX20" s="18"/>
      <c r="VDY20" s="16"/>
      <c r="VDZ20" s="18"/>
      <c r="VEA20" s="16"/>
      <c r="VEB20" s="18"/>
      <c r="VEC20" s="16"/>
      <c r="VED20" s="18"/>
      <c r="VEE20" s="16"/>
      <c r="VEF20" s="18"/>
      <c r="VEG20" s="16"/>
      <c r="VEH20" s="18"/>
      <c r="VEI20" s="16"/>
      <c r="VEJ20" s="18"/>
      <c r="VEK20" s="16"/>
      <c r="VEL20" s="18"/>
      <c r="VEM20" s="16"/>
      <c r="VEN20" s="18"/>
      <c r="VEO20" s="16"/>
      <c r="VEP20" s="18"/>
      <c r="VEQ20" s="16"/>
      <c r="VER20" s="18"/>
      <c r="VES20" s="16"/>
      <c r="VET20" s="18"/>
      <c r="VEU20" s="16"/>
      <c r="VEV20" s="18"/>
      <c r="VEW20" s="16"/>
      <c r="VEX20" s="18"/>
      <c r="VEY20" s="16"/>
      <c r="VEZ20" s="18"/>
      <c r="VFA20" s="16"/>
      <c r="VFB20" s="18"/>
      <c r="VFC20" s="16"/>
      <c r="VFD20" s="18"/>
      <c r="VFE20" s="16"/>
      <c r="VFF20" s="18"/>
      <c r="VFG20" s="16"/>
      <c r="VFH20" s="18"/>
      <c r="VFI20" s="16"/>
      <c r="VFJ20" s="18"/>
      <c r="VFK20" s="16"/>
      <c r="VFL20" s="18"/>
      <c r="VFM20" s="16"/>
      <c r="VFN20" s="18"/>
      <c r="VFO20" s="16"/>
      <c r="VFP20" s="18"/>
      <c r="VFQ20" s="16"/>
      <c r="VFR20" s="18"/>
      <c r="VFS20" s="16"/>
      <c r="VFT20" s="18"/>
      <c r="VFU20" s="16"/>
      <c r="VFV20" s="18"/>
      <c r="VFW20" s="16"/>
      <c r="VFX20" s="18"/>
      <c r="VFY20" s="16"/>
      <c r="VFZ20" s="18"/>
      <c r="VGA20" s="16"/>
      <c r="VGB20" s="18"/>
      <c r="VGC20" s="16"/>
      <c r="VGD20" s="18"/>
      <c r="VGE20" s="16"/>
      <c r="VGF20" s="18"/>
      <c r="VGG20" s="16"/>
      <c r="VGH20" s="18"/>
      <c r="VGI20" s="16"/>
      <c r="VGJ20" s="18"/>
      <c r="VGK20" s="16"/>
      <c r="VGL20" s="18"/>
      <c r="VGM20" s="16"/>
      <c r="VGN20" s="18"/>
      <c r="VGO20" s="16"/>
      <c r="VGP20" s="18"/>
      <c r="VGQ20" s="16"/>
      <c r="VGR20" s="18"/>
      <c r="VGS20" s="16"/>
      <c r="VGT20" s="18"/>
      <c r="VGU20" s="16"/>
      <c r="VGV20" s="18"/>
      <c r="VGW20" s="16"/>
      <c r="VGX20" s="18"/>
      <c r="VGY20" s="16"/>
      <c r="VGZ20" s="18"/>
      <c r="VHA20" s="16"/>
      <c r="VHB20" s="18"/>
      <c r="VHC20" s="16"/>
      <c r="VHD20" s="18"/>
      <c r="VHE20" s="16"/>
      <c r="VHF20" s="18"/>
      <c r="VHG20" s="16"/>
      <c r="VHH20" s="18"/>
      <c r="VHI20" s="16"/>
      <c r="VHJ20" s="18"/>
      <c r="VHK20" s="16"/>
      <c r="VHL20" s="18"/>
      <c r="VHM20" s="16"/>
      <c r="VHN20" s="18"/>
      <c r="VHO20" s="16"/>
      <c r="VHP20" s="18"/>
      <c r="VHQ20" s="16"/>
      <c r="VHR20" s="18"/>
      <c r="VHS20" s="16"/>
      <c r="VHT20" s="18"/>
      <c r="VHU20" s="16"/>
      <c r="VHV20" s="18"/>
      <c r="VHW20" s="16"/>
      <c r="VHX20" s="18"/>
      <c r="VHY20" s="16"/>
      <c r="VHZ20" s="18"/>
      <c r="VIA20" s="16"/>
      <c r="VIB20" s="18"/>
      <c r="VIC20" s="16"/>
      <c r="VID20" s="18"/>
      <c r="VIE20" s="16"/>
      <c r="VIF20" s="18"/>
      <c r="VIG20" s="16"/>
      <c r="VIH20" s="18"/>
      <c r="VII20" s="16"/>
      <c r="VIJ20" s="18"/>
      <c r="VIK20" s="16"/>
      <c r="VIL20" s="18"/>
      <c r="VIM20" s="16"/>
      <c r="VIN20" s="18"/>
      <c r="VIO20" s="16"/>
      <c r="VIP20" s="18"/>
      <c r="VIQ20" s="16"/>
      <c r="VIR20" s="18"/>
      <c r="VIS20" s="16"/>
      <c r="VIT20" s="18"/>
      <c r="VIU20" s="16"/>
      <c r="VIV20" s="18"/>
      <c r="VIW20" s="16"/>
      <c r="VIX20" s="18"/>
      <c r="VIY20" s="16"/>
      <c r="VIZ20" s="18"/>
      <c r="VJA20" s="16"/>
      <c r="VJB20" s="18"/>
      <c r="VJC20" s="16"/>
      <c r="VJD20" s="18"/>
      <c r="VJE20" s="16"/>
      <c r="VJF20" s="18"/>
      <c r="VJG20" s="16"/>
      <c r="VJH20" s="18"/>
      <c r="VJI20" s="16"/>
      <c r="VJJ20" s="18"/>
      <c r="VJK20" s="16"/>
      <c r="VJL20" s="18"/>
      <c r="VJM20" s="16"/>
      <c r="VJN20" s="18"/>
      <c r="VJO20" s="16"/>
      <c r="VJP20" s="18"/>
      <c r="VJQ20" s="16"/>
      <c r="VJR20" s="18"/>
      <c r="VJS20" s="16"/>
      <c r="VJT20" s="18"/>
      <c r="VJU20" s="16"/>
      <c r="VJV20" s="18"/>
      <c r="VJW20" s="16"/>
      <c r="VJX20" s="18"/>
      <c r="VJY20" s="16"/>
      <c r="VJZ20" s="18"/>
      <c r="VKA20" s="16"/>
      <c r="VKB20" s="18"/>
      <c r="VKC20" s="16"/>
      <c r="VKD20" s="18"/>
      <c r="VKE20" s="16"/>
      <c r="VKF20" s="18"/>
      <c r="VKG20" s="16"/>
      <c r="VKH20" s="18"/>
      <c r="VKI20" s="16"/>
      <c r="VKJ20" s="18"/>
      <c r="VKK20" s="16"/>
      <c r="VKL20" s="18"/>
      <c r="VKM20" s="16"/>
      <c r="VKN20" s="18"/>
      <c r="VKO20" s="16"/>
      <c r="VKP20" s="18"/>
      <c r="VKQ20" s="16"/>
      <c r="VKR20" s="18"/>
      <c r="VKS20" s="16"/>
      <c r="VKT20" s="18"/>
      <c r="VKU20" s="16"/>
      <c r="VKV20" s="18"/>
      <c r="VKW20" s="16"/>
      <c r="VKX20" s="18"/>
      <c r="VKY20" s="16"/>
      <c r="VKZ20" s="18"/>
      <c r="VLA20" s="16"/>
      <c r="VLB20" s="18"/>
      <c r="VLC20" s="16"/>
      <c r="VLD20" s="18"/>
      <c r="VLE20" s="16"/>
      <c r="VLF20" s="18"/>
      <c r="VLG20" s="16"/>
      <c r="VLH20" s="18"/>
      <c r="VLI20" s="16"/>
      <c r="VLJ20" s="18"/>
      <c r="VLK20" s="16"/>
      <c r="VLL20" s="18"/>
      <c r="VLM20" s="16"/>
      <c r="VLN20" s="18"/>
      <c r="VLO20" s="16"/>
      <c r="VLP20" s="18"/>
      <c r="VLQ20" s="16"/>
      <c r="VLR20" s="18"/>
      <c r="VLS20" s="16"/>
      <c r="VLT20" s="18"/>
      <c r="VLU20" s="16"/>
      <c r="VLV20" s="18"/>
      <c r="VLW20" s="16"/>
      <c r="VLX20" s="18"/>
      <c r="VLY20" s="16"/>
      <c r="VLZ20" s="18"/>
      <c r="VMA20" s="16"/>
      <c r="VMB20" s="18"/>
      <c r="VMC20" s="16"/>
      <c r="VMD20" s="18"/>
      <c r="VME20" s="16"/>
      <c r="VMF20" s="18"/>
      <c r="VMG20" s="16"/>
      <c r="VMH20" s="18"/>
      <c r="VMI20" s="16"/>
      <c r="VMJ20" s="18"/>
      <c r="VMK20" s="16"/>
      <c r="VML20" s="18"/>
      <c r="VMM20" s="16"/>
      <c r="VMN20" s="18"/>
      <c r="VMO20" s="16"/>
      <c r="VMP20" s="18"/>
      <c r="VMQ20" s="16"/>
      <c r="VMR20" s="18"/>
      <c r="VMS20" s="16"/>
      <c r="VMT20" s="18"/>
      <c r="VMU20" s="16"/>
      <c r="VMV20" s="18"/>
      <c r="VMW20" s="16"/>
      <c r="VMX20" s="18"/>
      <c r="VMY20" s="16"/>
      <c r="VMZ20" s="18"/>
      <c r="VNA20" s="16"/>
      <c r="VNB20" s="18"/>
      <c r="VNC20" s="16"/>
      <c r="VND20" s="18"/>
      <c r="VNE20" s="16"/>
      <c r="VNF20" s="18"/>
      <c r="VNG20" s="16"/>
      <c r="VNH20" s="18"/>
      <c r="VNI20" s="16"/>
      <c r="VNJ20" s="18"/>
      <c r="VNK20" s="16"/>
      <c r="VNL20" s="18"/>
      <c r="VNM20" s="16"/>
      <c r="VNN20" s="18"/>
      <c r="VNO20" s="16"/>
      <c r="VNP20" s="18"/>
      <c r="VNQ20" s="16"/>
      <c r="VNR20" s="18"/>
      <c r="VNS20" s="16"/>
      <c r="VNT20" s="18"/>
      <c r="VNU20" s="16"/>
      <c r="VNV20" s="18"/>
      <c r="VNW20" s="16"/>
      <c r="VNX20" s="18"/>
      <c r="VNY20" s="16"/>
      <c r="VNZ20" s="18"/>
      <c r="VOA20" s="16"/>
      <c r="VOB20" s="18"/>
      <c r="VOC20" s="16"/>
      <c r="VOD20" s="18"/>
      <c r="VOE20" s="16"/>
      <c r="VOF20" s="18"/>
      <c r="VOG20" s="16"/>
      <c r="VOH20" s="18"/>
      <c r="VOI20" s="16"/>
      <c r="VOJ20" s="18"/>
      <c r="VOK20" s="16"/>
      <c r="VOL20" s="18"/>
      <c r="VOM20" s="16"/>
      <c r="VON20" s="18"/>
      <c r="VOO20" s="16"/>
      <c r="VOP20" s="18"/>
      <c r="VOQ20" s="16"/>
      <c r="VOR20" s="18"/>
      <c r="VOS20" s="16"/>
      <c r="VOT20" s="18"/>
      <c r="VOU20" s="16"/>
      <c r="VOV20" s="18"/>
      <c r="VOW20" s="16"/>
      <c r="VOX20" s="18"/>
      <c r="VOY20" s="16"/>
      <c r="VOZ20" s="18"/>
      <c r="VPA20" s="16"/>
      <c r="VPB20" s="18"/>
      <c r="VPC20" s="16"/>
      <c r="VPD20" s="18"/>
      <c r="VPE20" s="16"/>
      <c r="VPF20" s="18"/>
      <c r="VPG20" s="16"/>
      <c r="VPH20" s="18"/>
      <c r="VPI20" s="16"/>
      <c r="VPJ20" s="18"/>
      <c r="VPK20" s="16"/>
      <c r="VPL20" s="18"/>
      <c r="VPM20" s="16"/>
      <c r="VPN20" s="18"/>
      <c r="VPO20" s="16"/>
      <c r="VPP20" s="18"/>
      <c r="VPQ20" s="16"/>
      <c r="VPR20" s="18"/>
      <c r="VPS20" s="16"/>
      <c r="VPT20" s="18"/>
      <c r="VPU20" s="16"/>
      <c r="VPV20" s="18"/>
      <c r="VPW20" s="16"/>
      <c r="VPX20" s="18"/>
      <c r="VPY20" s="16"/>
      <c r="VPZ20" s="18"/>
      <c r="VQA20" s="16"/>
      <c r="VQB20" s="18"/>
      <c r="VQC20" s="16"/>
      <c r="VQD20" s="18"/>
      <c r="VQE20" s="16"/>
      <c r="VQF20" s="18"/>
      <c r="VQG20" s="16"/>
      <c r="VQH20" s="18"/>
      <c r="VQI20" s="16"/>
      <c r="VQJ20" s="18"/>
      <c r="VQK20" s="16"/>
      <c r="VQL20" s="18"/>
      <c r="VQM20" s="16"/>
      <c r="VQN20" s="18"/>
      <c r="VQO20" s="16"/>
      <c r="VQP20" s="18"/>
      <c r="VQQ20" s="16"/>
      <c r="VQR20" s="18"/>
      <c r="VQS20" s="16"/>
      <c r="VQT20" s="18"/>
      <c r="VQU20" s="16"/>
      <c r="VQV20" s="18"/>
      <c r="VQW20" s="16"/>
      <c r="VQX20" s="18"/>
      <c r="VQY20" s="16"/>
      <c r="VQZ20" s="18"/>
      <c r="VRA20" s="16"/>
      <c r="VRB20" s="18"/>
      <c r="VRC20" s="16"/>
      <c r="VRD20" s="18"/>
      <c r="VRE20" s="16"/>
      <c r="VRF20" s="18"/>
      <c r="VRG20" s="16"/>
      <c r="VRH20" s="18"/>
      <c r="VRI20" s="16"/>
      <c r="VRJ20" s="18"/>
      <c r="VRK20" s="16"/>
      <c r="VRL20" s="18"/>
      <c r="VRM20" s="16"/>
      <c r="VRN20" s="18"/>
      <c r="VRO20" s="16"/>
      <c r="VRP20" s="18"/>
      <c r="VRQ20" s="16"/>
      <c r="VRR20" s="18"/>
      <c r="VRS20" s="16"/>
      <c r="VRT20" s="18"/>
      <c r="VRU20" s="16"/>
      <c r="VRV20" s="18"/>
      <c r="VRW20" s="16"/>
      <c r="VRX20" s="18"/>
      <c r="VRY20" s="16"/>
      <c r="VRZ20" s="18"/>
      <c r="VSA20" s="16"/>
      <c r="VSB20" s="18"/>
      <c r="VSC20" s="16"/>
      <c r="VSD20" s="18"/>
      <c r="VSE20" s="16"/>
      <c r="VSF20" s="18"/>
      <c r="VSG20" s="16"/>
      <c r="VSH20" s="18"/>
      <c r="VSI20" s="16"/>
      <c r="VSJ20" s="18"/>
      <c r="VSK20" s="16"/>
      <c r="VSL20" s="18"/>
      <c r="VSM20" s="16"/>
      <c r="VSN20" s="18"/>
      <c r="VSO20" s="16"/>
      <c r="VSP20" s="18"/>
      <c r="VSQ20" s="16"/>
      <c r="VSR20" s="18"/>
      <c r="VSS20" s="16"/>
      <c r="VST20" s="18"/>
      <c r="VSU20" s="16"/>
      <c r="VSV20" s="18"/>
      <c r="VSW20" s="16"/>
      <c r="VSX20" s="18"/>
      <c r="VSY20" s="16"/>
      <c r="VSZ20" s="18"/>
      <c r="VTA20" s="16"/>
      <c r="VTB20" s="18"/>
      <c r="VTC20" s="16"/>
      <c r="VTD20" s="18"/>
      <c r="VTE20" s="16"/>
      <c r="VTF20" s="18"/>
      <c r="VTG20" s="16"/>
      <c r="VTH20" s="18"/>
      <c r="VTI20" s="16"/>
      <c r="VTJ20" s="18"/>
      <c r="VTK20" s="16"/>
      <c r="VTL20" s="18"/>
      <c r="VTM20" s="16"/>
      <c r="VTN20" s="18"/>
      <c r="VTO20" s="16"/>
      <c r="VTP20" s="18"/>
      <c r="VTQ20" s="16"/>
      <c r="VTR20" s="18"/>
      <c r="VTS20" s="16"/>
      <c r="VTT20" s="18"/>
      <c r="VTU20" s="16"/>
      <c r="VTV20" s="18"/>
      <c r="VTW20" s="16"/>
      <c r="VTX20" s="18"/>
      <c r="VTY20" s="16"/>
      <c r="VTZ20" s="18"/>
      <c r="VUA20" s="16"/>
      <c r="VUB20" s="18"/>
      <c r="VUC20" s="16"/>
      <c r="VUD20" s="18"/>
      <c r="VUE20" s="16"/>
      <c r="VUF20" s="18"/>
      <c r="VUG20" s="16"/>
      <c r="VUH20" s="18"/>
      <c r="VUI20" s="16"/>
      <c r="VUJ20" s="18"/>
      <c r="VUK20" s="16"/>
      <c r="VUL20" s="18"/>
      <c r="VUM20" s="16"/>
      <c r="VUN20" s="18"/>
      <c r="VUO20" s="16"/>
      <c r="VUP20" s="18"/>
      <c r="VUQ20" s="16"/>
      <c r="VUR20" s="18"/>
      <c r="VUS20" s="16"/>
      <c r="VUT20" s="18"/>
      <c r="VUU20" s="16"/>
      <c r="VUV20" s="18"/>
      <c r="VUW20" s="16"/>
      <c r="VUX20" s="18"/>
      <c r="VUY20" s="16"/>
      <c r="VUZ20" s="18"/>
      <c r="VVA20" s="16"/>
      <c r="VVB20" s="18"/>
      <c r="VVC20" s="16"/>
      <c r="VVD20" s="18"/>
      <c r="VVE20" s="16"/>
      <c r="VVF20" s="18"/>
      <c r="VVG20" s="16"/>
      <c r="VVH20" s="18"/>
      <c r="VVI20" s="16"/>
      <c r="VVJ20" s="18"/>
      <c r="VVK20" s="16"/>
      <c r="VVL20" s="18"/>
      <c r="VVM20" s="16"/>
      <c r="VVN20" s="18"/>
      <c r="VVO20" s="16"/>
      <c r="VVP20" s="18"/>
      <c r="VVQ20" s="16"/>
      <c r="VVR20" s="18"/>
      <c r="VVS20" s="16"/>
      <c r="VVT20" s="18"/>
      <c r="VVU20" s="16"/>
      <c r="VVV20" s="18"/>
      <c r="VVW20" s="16"/>
      <c r="VVX20" s="18"/>
      <c r="VVY20" s="16"/>
      <c r="VVZ20" s="18"/>
      <c r="VWA20" s="16"/>
      <c r="VWB20" s="18"/>
      <c r="VWC20" s="16"/>
      <c r="VWD20" s="18"/>
      <c r="VWE20" s="16"/>
      <c r="VWF20" s="18"/>
      <c r="VWG20" s="16"/>
      <c r="VWH20" s="18"/>
      <c r="VWI20" s="16"/>
      <c r="VWJ20" s="18"/>
      <c r="VWK20" s="16"/>
      <c r="VWL20" s="18"/>
      <c r="VWM20" s="16"/>
      <c r="VWN20" s="18"/>
      <c r="VWO20" s="16"/>
      <c r="VWP20" s="18"/>
      <c r="VWQ20" s="16"/>
      <c r="VWR20" s="18"/>
      <c r="VWS20" s="16"/>
      <c r="VWT20" s="18"/>
      <c r="VWU20" s="16"/>
      <c r="VWV20" s="18"/>
      <c r="VWW20" s="16"/>
      <c r="VWX20" s="18"/>
      <c r="VWY20" s="16"/>
      <c r="VWZ20" s="18"/>
      <c r="VXA20" s="16"/>
      <c r="VXB20" s="18"/>
      <c r="VXC20" s="16"/>
      <c r="VXD20" s="18"/>
      <c r="VXE20" s="16"/>
      <c r="VXF20" s="18"/>
      <c r="VXG20" s="16"/>
      <c r="VXH20" s="18"/>
      <c r="VXI20" s="16"/>
      <c r="VXJ20" s="18"/>
      <c r="VXK20" s="16"/>
      <c r="VXL20" s="18"/>
      <c r="VXM20" s="16"/>
      <c r="VXN20" s="18"/>
      <c r="VXO20" s="16"/>
      <c r="VXP20" s="18"/>
      <c r="VXQ20" s="16"/>
      <c r="VXR20" s="18"/>
      <c r="VXS20" s="16"/>
      <c r="VXT20" s="18"/>
      <c r="VXU20" s="16"/>
      <c r="VXV20" s="18"/>
      <c r="VXW20" s="16"/>
      <c r="VXX20" s="18"/>
      <c r="VXY20" s="16"/>
      <c r="VXZ20" s="18"/>
      <c r="VYA20" s="16"/>
      <c r="VYB20" s="18"/>
      <c r="VYC20" s="16"/>
      <c r="VYD20" s="18"/>
      <c r="VYE20" s="16"/>
      <c r="VYF20" s="18"/>
      <c r="VYG20" s="16"/>
      <c r="VYH20" s="18"/>
      <c r="VYI20" s="16"/>
      <c r="VYJ20" s="18"/>
      <c r="VYK20" s="16"/>
      <c r="VYL20" s="18"/>
      <c r="VYM20" s="16"/>
      <c r="VYN20" s="18"/>
      <c r="VYO20" s="16"/>
      <c r="VYP20" s="18"/>
      <c r="VYQ20" s="16"/>
      <c r="VYR20" s="18"/>
      <c r="VYS20" s="16"/>
      <c r="VYT20" s="18"/>
      <c r="VYU20" s="16"/>
      <c r="VYV20" s="18"/>
      <c r="VYW20" s="16"/>
      <c r="VYX20" s="18"/>
      <c r="VYY20" s="16"/>
      <c r="VYZ20" s="18"/>
      <c r="VZA20" s="16"/>
      <c r="VZB20" s="18"/>
      <c r="VZC20" s="16"/>
      <c r="VZD20" s="18"/>
      <c r="VZE20" s="16"/>
      <c r="VZF20" s="18"/>
      <c r="VZG20" s="16"/>
      <c r="VZH20" s="18"/>
      <c r="VZI20" s="16"/>
      <c r="VZJ20" s="18"/>
      <c r="VZK20" s="16"/>
      <c r="VZL20" s="18"/>
      <c r="VZM20" s="16"/>
      <c r="VZN20" s="18"/>
      <c r="VZO20" s="16"/>
      <c r="VZP20" s="18"/>
      <c r="VZQ20" s="16"/>
      <c r="VZR20" s="18"/>
      <c r="VZS20" s="16"/>
      <c r="VZT20" s="18"/>
      <c r="VZU20" s="16"/>
      <c r="VZV20" s="18"/>
      <c r="VZW20" s="16"/>
      <c r="VZX20" s="18"/>
      <c r="VZY20" s="16"/>
      <c r="VZZ20" s="18"/>
      <c r="WAA20" s="16"/>
      <c r="WAB20" s="18"/>
      <c r="WAC20" s="16"/>
      <c r="WAD20" s="18"/>
      <c r="WAE20" s="16"/>
      <c r="WAF20" s="18"/>
      <c r="WAG20" s="16"/>
      <c r="WAH20" s="18"/>
      <c r="WAI20" s="16"/>
      <c r="WAJ20" s="18"/>
      <c r="WAK20" s="16"/>
      <c r="WAL20" s="18"/>
      <c r="WAM20" s="16"/>
      <c r="WAN20" s="18"/>
      <c r="WAO20" s="16"/>
      <c r="WAP20" s="18"/>
      <c r="WAQ20" s="16"/>
      <c r="WAR20" s="18"/>
      <c r="WAS20" s="16"/>
      <c r="WAT20" s="18"/>
      <c r="WAU20" s="16"/>
      <c r="WAV20" s="18"/>
      <c r="WAW20" s="16"/>
      <c r="WAX20" s="18"/>
      <c r="WAY20" s="16"/>
      <c r="WAZ20" s="18"/>
      <c r="WBA20" s="16"/>
      <c r="WBB20" s="18"/>
      <c r="WBC20" s="16"/>
      <c r="WBD20" s="18"/>
      <c r="WBE20" s="16"/>
      <c r="WBF20" s="18"/>
      <c r="WBG20" s="16"/>
      <c r="WBH20" s="18"/>
      <c r="WBI20" s="16"/>
      <c r="WBJ20" s="18"/>
      <c r="WBK20" s="16"/>
      <c r="WBL20" s="18"/>
      <c r="WBM20" s="16"/>
      <c r="WBN20" s="18"/>
      <c r="WBO20" s="16"/>
      <c r="WBP20" s="18"/>
      <c r="WBQ20" s="16"/>
      <c r="WBR20" s="18"/>
      <c r="WBS20" s="16"/>
      <c r="WBT20" s="18"/>
      <c r="WBU20" s="16"/>
      <c r="WBV20" s="18"/>
      <c r="WBW20" s="16"/>
      <c r="WBX20" s="18"/>
      <c r="WBY20" s="16"/>
      <c r="WBZ20" s="18"/>
      <c r="WCA20" s="16"/>
      <c r="WCB20" s="18"/>
      <c r="WCC20" s="16"/>
      <c r="WCD20" s="18"/>
      <c r="WCE20" s="16"/>
      <c r="WCF20" s="18"/>
      <c r="WCG20" s="16"/>
      <c r="WCH20" s="18"/>
      <c r="WCI20" s="16"/>
      <c r="WCJ20" s="18"/>
      <c r="WCK20" s="16"/>
      <c r="WCL20" s="18"/>
      <c r="WCM20" s="16"/>
      <c r="WCN20" s="18"/>
      <c r="WCO20" s="16"/>
      <c r="WCP20" s="18"/>
      <c r="WCQ20" s="16"/>
      <c r="WCR20" s="18"/>
      <c r="WCS20" s="16"/>
      <c r="WCT20" s="18"/>
      <c r="WCU20" s="16"/>
      <c r="WCV20" s="18"/>
      <c r="WCW20" s="16"/>
      <c r="WCX20" s="18"/>
      <c r="WCY20" s="16"/>
      <c r="WCZ20" s="18"/>
      <c r="WDA20" s="16"/>
      <c r="WDB20" s="18"/>
      <c r="WDC20" s="16"/>
      <c r="WDD20" s="18"/>
      <c r="WDE20" s="16"/>
      <c r="WDF20" s="18"/>
      <c r="WDG20" s="16"/>
      <c r="WDH20" s="18"/>
      <c r="WDI20" s="16"/>
      <c r="WDJ20" s="18"/>
      <c r="WDK20" s="16"/>
      <c r="WDL20" s="18"/>
      <c r="WDM20" s="16"/>
      <c r="WDN20" s="18"/>
      <c r="WDO20" s="16"/>
      <c r="WDP20" s="18"/>
      <c r="WDQ20" s="16"/>
      <c r="WDR20" s="18"/>
      <c r="WDS20" s="16"/>
      <c r="WDT20" s="18"/>
      <c r="WDU20" s="16"/>
      <c r="WDV20" s="18"/>
      <c r="WDW20" s="16"/>
      <c r="WDX20" s="18"/>
      <c r="WDY20" s="16"/>
      <c r="WDZ20" s="18"/>
      <c r="WEA20" s="16"/>
      <c r="WEB20" s="18"/>
      <c r="WEC20" s="16"/>
      <c r="WED20" s="18"/>
      <c r="WEE20" s="16"/>
      <c r="WEF20" s="18"/>
      <c r="WEG20" s="16"/>
      <c r="WEH20" s="18"/>
      <c r="WEI20" s="16"/>
      <c r="WEJ20" s="18"/>
      <c r="WEK20" s="16"/>
      <c r="WEL20" s="18"/>
      <c r="WEM20" s="16"/>
      <c r="WEN20" s="18"/>
      <c r="WEO20" s="16"/>
      <c r="WEP20" s="18"/>
      <c r="WEQ20" s="16"/>
      <c r="WER20" s="18"/>
      <c r="WES20" s="16"/>
      <c r="WET20" s="18"/>
      <c r="WEU20" s="16"/>
      <c r="WEV20" s="18"/>
      <c r="WEW20" s="16"/>
      <c r="WEX20" s="18"/>
      <c r="WEY20" s="16"/>
      <c r="WEZ20" s="18"/>
      <c r="WFA20" s="16"/>
      <c r="WFB20" s="18"/>
      <c r="WFC20" s="16"/>
      <c r="WFD20" s="18"/>
      <c r="WFE20" s="16"/>
      <c r="WFF20" s="18"/>
      <c r="WFG20" s="16"/>
      <c r="WFH20" s="18"/>
      <c r="WFI20" s="16"/>
      <c r="WFJ20" s="18"/>
      <c r="WFK20" s="16"/>
      <c r="WFL20" s="18"/>
      <c r="WFM20" s="16"/>
      <c r="WFN20" s="18"/>
      <c r="WFO20" s="16"/>
      <c r="WFP20" s="18"/>
      <c r="WFQ20" s="16"/>
      <c r="WFR20" s="18"/>
      <c r="WFS20" s="16"/>
      <c r="WFT20" s="18"/>
      <c r="WFU20" s="16"/>
      <c r="WFV20" s="18"/>
      <c r="WFW20" s="16"/>
      <c r="WFX20" s="18"/>
      <c r="WFY20" s="16"/>
      <c r="WFZ20" s="18"/>
      <c r="WGA20" s="16"/>
      <c r="WGB20" s="18"/>
      <c r="WGC20" s="16"/>
      <c r="WGD20" s="18"/>
      <c r="WGE20" s="16"/>
      <c r="WGF20" s="18"/>
      <c r="WGG20" s="16"/>
      <c r="WGH20" s="18"/>
      <c r="WGI20" s="16"/>
      <c r="WGJ20" s="18"/>
      <c r="WGK20" s="16"/>
      <c r="WGL20" s="18"/>
      <c r="WGM20" s="16"/>
      <c r="WGN20" s="18"/>
      <c r="WGO20" s="16"/>
      <c r="WGP20" s="18"/>
      <c r="WGQ20" s="16"/>
      <c r="WGR20" s="18"/>
      <c r="WGS20" s="16"/>
      <c r="WGT20" s="18"/>
      <c r="WGU20" s="16"/>
      <c r="WGV20" s="18"/>
      <c r="WGW20" s="16"/>
      <c r="WGX20" s="18"/>
      <c r="WGY20" s="16"/>
      <c r="WGZ20" s="18"/>
      <c r="WHA20" s="16"/>
      <c r="WHB20" s="18"/>
      <c r="WHC20" s="16"/>
      <c r="WHD20" s="18"/>
      <c r="WHE20" s="16"/>
      <c r="WHF20" s="18"/>
      <c r="WHG20" s="16"/>
      <c r="WHH20" s="18"/>
      <c r="WHI20" s="16"/>
      <c r="WHJ20" s="18"/>
      <c r="WHK20" s="16"/>
      <c r="WHL20" s="18"/>
      <c r="WHM20" s="16"/>
      <c r="WHN20" s="18"/>
      <c r="WHO20" s="16"/>
      <c r="WHP20" s="18"/>
      <c r="WHQ20" s="16"/>
      <c r="WHR20" s="18"/>
      <c r="WHS20" s="16"/>
      <c r="WHT20" s="18"/>
      <c r="WHU20" s="16"/>
      <c r="WHV20" s="18"/>
      <c r="WHW20" s="16"/>
      <c r="WHX20" s="18"/>
      <c r="WHY20" s="16"/>
      <c r="WHZ20" s="18"/>
      <c r="WIA20" s="16"/>
      <c r="WIB20" s="18"/>
      <c r="WIC20" s="16"/>
      <c r="WID20" s="18"/>
      <c r="WIE20" s="16"/>
      <c r="WIF20" s="18"/>
      <c r="WIG20" s="16"/>
      <c r="WIH20" s="18"/>
      <c r="WII20" s="16"/>
      <c r="WIJ20" s="18"/>
      <c r="WIK20" s="16"/>
      <c r="WIL20" s="18"/>
      <c r="WIM20" s="16"/>
      <c r="WIN20" s="18"/>
      <c r="WIO20" s="16"/>
      <c r="WIP20" s="18"/>
      <c r="WIQ20" s="16"/>
      <c r="WIR20" s="18"/>
      <c r="WIS20" s="16"/>
      <c r="WIT20" s="18"/>
      <c r="WIU20" s="16"/>
      <c r="WIV20" s="18"/>
      <c r="WIW20" s="16"/>
      <c r="WIX20" s="18"/>
      <c r="WIY20" s="16"/>
      <c r="WIZ20" s="18"/>
      <c r="WJA20" s="16"/>
      <c r="WJB20" s="18"/>
      <c r="WJC20" s="16"/>
      <c r="WJD20" s="18"/>
      <c r="WJE20" s="16"/>
      <c r="WJF20" s="18"/>
      <c r="WJG20" s="16"/>
      <c r="WJH20" s="18"/>
      <c r="WJI20" s="16"/>
      <c r="WJJ20" s="18"/>
      <c r="WJK20" s="16"/>
      <c r="WJL20" s="18"/>
      <c r="WJM20" s="16"/>
      <c r="WJN20" s="18"/>
      <c r="WJO20" s="16"/>
      <c r="WJP20" s="18"/>
      <c r="WJQ20" s="16"/>
      <c r="WJR20" s="18"/>
      <c r="WJS20" s="16"/>
      <c r="WJT20" s="18"/>
      <c r="WJU20" s="16"/>
      <c r="WJV20" s="18"/>
      <c r="WJW20" s="16"/>
      <c r="WJX20" s="18"/>
      <c r="WJY20" s="16"/>
      <c r="WJZ20" s="18"/>
      <c r="WKA20" s="16"/>
      <c r="WKB20" s="18"/>
      <c r="WKC20" s="16"/>
      <c r="WKD20" s="18"/>
      <c r="WKE20" s="16"/>
      <c r="WKF20" s="18"/>
      <c r="WKG20" s="16"/>
      <c r="WKH20" s="18"/>
      <c r="WKI20" s="16"/>
      <c r="WKJ20" s="18"/>
      <c r="WKK20" s="16"/>
      <c r="WKL20" s="18"/>
      <c r="WKM20" s="16"/>
      <c r="WKN20" s="18"/>
      <c r="WKO20" s="16"/>
      <c r="WKP20" s="18"/>
      <c r="WKQ20" s="16"/>
      <c r="WKR20" s="18"/>
      <c r="WKS20" s="16"/>
      <c r="WKT20" s="18"/>
      <c r="WKU20" s="16"/>
      <c r="WKV20" s="18"/>
      <c r="WKW20" s="16"/>
      <c r="WKX20" s="18"/>
      <c r="WKY20" s="16"/>
      <c r="WKZ20" s="18"/>
      <c r="WLA20" s="16"/>
      <c r="WLB20" s="18"/>
      <c r="WLC20" s="16"/>
      <c r="WLD20" s="18"/>
      <c r="WLE20" s="16"/>
      <c r="WLF20" s="18"/>
      <c r="WLG20" s="16"/>
      <c r="WLH20" s="18"/>
      <c r="WLI20" s="16"/>
      <c r="WLJ20" s="18"/>
      <c r="WLK20" s="16"/>
      <c r="WLL20" s="18"/>
      <c r="WLM20" s="16"/>
      <c r="WLN20" s="18"/>
      <c r="WLO20" s="16"/>
      <c r="WLP20" s="18"/>
      <c r="WLQ20" s="16"/>
      <c r="WLR20" s="18"/>
      <c r="WLS20" s="16"/>
      <c r="WLT20" s="18"/>
      <c r="WLU20" s="16"/>
      <c r="WLV20" s="18"/>
      <c r="WLW20" s="16"/>
      <c r="WLX20" s="18"/>
      <c r="WLY20" s="16"/>
      <c r="WLZ20" s="18"/>
      <c r="WMA20" s="16"/>
      <c r="WMB20" s="18"/>
      <c r="WMC20" s="16"/>
      <c r="WMD20" s="18"/>
      <c r="WME20" s="16"/>
      <c r="WMF20" s="18"/>
      <c r="WMG20" s="16"/>
      <c r="WMH20" s="18"/>
      <c r="WMI20" s="16"/>
      <c r="WMJ20" s="18"/>
      <c r="WMK20" s="16"/>
      <c r="WML20" s="18"/>
      <c r="WMM20" s="16"/>
      <c r="WMN20" s="18"/>
      <c r="WMO20" s="16"/>
      <c r="WMP20" s="18"/>
      <c r="WMQ20" s="16"/>
      <c r="WMR20" s="18"/>
      <c r="WMS20" s="16"/>
      <c r="WMT20" s="18"/>
      <c r="WMU20" s="16"/>
      <c r="WMV20" s="18"/>
      <c r="WMW20" s="16"/>
      <c r="WMX20" s="18"/>
      <c r="WMY20" s="16"/>
      <c r="WMZ20" s="18"/>
      <c r="WNA20" s="16"/>
      <c r="WNB20" s="18"/>
      <c r="WNC20" s="16"/>
      <c r="WND20" s="18"/>
      <c r="WNE20" s="16"/>
      <c r="WNF20" s="18"/>
      <c r="WNG20" s="16"/>
      <c r="WNH20" s="18"/>
      <c r="WNI20" s="16"/>
      <c r="WNJ20" s="18"/>
      <c r="WNK20" s="16"/>
      <c r="WNL20" s="18"/>
      <c r="WNM20" s="16"/>
      <c r="WNN20" s="18"/>
      <c r="WNO20" s="16"/>
      <c r="WNP20" s="18"/>
      <c r="WNQ20" s="16"/>
      <c r="WNR20" s="18"/>
      <c r="WNS20" s="16"/>
      <c r="WNT20" s="18"/>
      <c r="WNU20" s="16"/>
      <c r="WNV20" s="18"/>
      <c r="WNW20" s="16"/>
      <c r="WNX20" s="18"/>
      <c r="WNY20" s="16"/>
      <c r="WNZ20" s="18"/>
      <c r="WOA20" s="16"/>
      <c r="WOB20" s="18"/>
      <c r="WOC20" s="16"/>
      <c r="WOD20" s="18"/>
      <c r="WOE20" s="16"/>
      <c r="WOF20" s="18"/>
      <c r="WOG20" s="16"/>
      <c r="WOH20" s="18"/>
      <c r="WOI20" s="16"/>
      <c r="WOJ20" s="18"/>
      <c r="WOK20" s="16"/>
      <c r="WOL20" s="18"/>
      <c r="WOM20" s="16"/>
      <c r="WON20" s="18"/>
      <c r="WOO20" s="16"/>
      <c r="WOP20" s="18"/>
      <c r="WOQ20" s="16"/>
      <c r="WOR20" s="18"/>
      <c r="WOS20" s="16"/>
      <c r="WOT20" s="18"/>
      <c r="WOU20" s="16"/>
      <c r="WOV20" s="18"/>
      <c r="WOW20" s="16"/>
      <c r="WOX20" s="18"/>
      <c r="WOY20" s="16"/>
      <c r="WOZ20" s="18"/>
      <c r="WPA20" s="16"/>
      <c r="WPB20" s="18"/>
      <c r="WPC20" s="16"/>
      <c r="WPD20" s="18"/>
      <c r="WPE20" s="16"/>
      <c r="WPF20" s="18"/>
      <c r="WPG20" s="16"/>
      <c r="WPH20" s="18"/>
      <c r="WPI20" s="16"/>
      <c r="WPJ20" s="18"/>
      <c r="WPK20" s="16"/>
      <c r="WPL20" s="18"/>
      <c r="WPM20" s="16"/>
      <c r="WPN20" s="18"/>
      <c r="WPO20" s="16"/>
      <c r="WPP20" s="18"/>
      <c r="WPQ20" s="16"/>
      <c r="WPR20" s="18"/>
      <c r="WPS20" s="16"/>
      <c r="WPT20" s="18"/>
      <c r="WPU20" s="16"/>
      <c r="WPV20" s="18"/>
      <c r="WPW20" s="16"/>
      <c r="WPX20" s="18"/>
      <c r="WPY20" s="16"/>
      <c r="WPZ20" s="18"/>
      <c r="WQA20" s="16"/>
      <c r="WQB20" s="18"/>
      <c r="WQC20" s="16"/>
      <c r="WQD20" s="18"/>
      <c r="WQE20" s="16"/>
      <c r="WQF20" s="18"/>
      <c r="WQG20" s="16"/>
      <c r="WQH20" s="18"/>
      <c r="WQI20" s="16"/>
      <c r="WQJ20" s="18"/>
      <c r="WQK20" s="16"/>
      <c r="WQL20" s="18"/>
      <c r="WQM20" s="16"/>
      <c r="WQN20" s="18"/>
      <c r="WQO20" s="16"/>
      <c r="WQP20" s="18"/>
      <c r="WQQ20" s="16"/>
      <c r="WQR20" s="18"/>
      <c r="WQS20" s="16"/>
      <c r="WQT20" s="18"/>
      <c r="WQU20" s="16"/>
      <c r="WQV20" s="18"/>
      <c r="WQW20" s="16"/>
      <c r="WQX20" s="18"/>
      <c r="WQY20" s="16"/>
      <c r="WQZ20" s="18"/>
      <c r="WRA20" s="16"/>
      <c r="WRB20" s="18"/>
      <c r="WRC20" s="16"/>
      <c r="WRD20" s="18"/>
      <c r="WRE20" s="16"/>
      <c r="WRF20" s="18"/>
      <c r="WRG20" s="16"/>
      <c r="WRH20" s="18"/>
      <c r="WRI20" s="16"/>
      <c r="WRJ20" s="18"/>
      <c r="WRK20" s="16"/>
      <c r="WRL20" s="18"/>
      <c r="WRM20" s="16"/>
      <c r="WRN20" s="18"/>
      <c r="WRO20" s="16"/>
      <c r="WRP20" s="18"/>
      <c r="WRQ20" s="16"/>
      <c r="WRR20" s="18"/>
      <c r="WRS20" s="16"/>
      <c r="WRT20" s="18"/>
      <c r="WRU20" s="16"/>
      <c r="WRV20" s="18"/>
      <c r="WRW20" s="16"/>
      <c r="WRX20" s="18"/>
      <c r="WRY20" s="16"/>
      <c r="WRZ20" s="18"/>
      <c r="WSA20" s="16"/>
      <c r="WSB20" s="18"/>
      <c r="WSC20" s="16"/>
      <c r="WSD20" s="18"/>
      <c r="WSE20" s="16"/>
      <c r="WSF20" s="18"/>
      <c r="WSG20" s="16"/>
      <c r="WSH20" s="18"/>
      <c r="WSI20" s="16"/>
      <c r="WSJ20" s="18"/>
      <c r="WSK20" s="16"/>
      <c r="WSL20" s="18"/>
      <c r="WSM20" s="16"/>
      <c r="WSN20" s="18"/>
      <c r="WSO20" s="16"/>
      <c r="WSP20" s="18"/>
      <c r="WSQ20" s="16"/>
      <c r="WSR20" s="18"/>
      <c r="WSS20" s="16"/>
      <c r="WST20" s="18"/>
      <c r="WSU20" s="16"/>
      <c r="WSV20" s="18"/>
      <c r="WSW20" s="16"/>
      <c r="WSX20" s="18"/>
      <c r="WSY20" s="16"/>
      <c r="WSZ20" s="18"/>
      <c r="WTA20" s="16"/>
      <c r="WTB20" s="18"/>
      <c r="WTC20" s="16"/>
      <c r="WTD20" s="18"/>
      <c r="WTE20" s="16"/>
      <c r="WTF20" s="18"/>
      <c r="WTG20" s="16"/>
      <c r="WTH20" s="18"/>
      <c r="WTI20" s="16"/>
      <c r="WTJ20" s="18"/>
      <c r="WTK20" s="16"/>
      <c r="WTL20" s="18"/>
      <c r="WTM20" s="16"/>
      <c r="WTN20" s="18"/>
      <c r="WTO20" s="16"/>
      <c r="WTP20" s="18"/>
      <c r="WTQ20" s="16"/>
      <c r="WTR20" s="18"/>
      <c r="WTS20" s="16"/>
      <c r="WTT20" s="18"/>
      <c r="WTU20" s="16"/>
      <c r="WTV20" s="18"/>
      <c r="WTW20" s="16"/>
      <c r="WTX20" s="18"/>
      <c r="WTY20" s="16"/>
      <c r="WTZ20" s="18"/>
      <c r="WUA20" s="16"/>
      <c r="WUB20" s="18"/>
      <c r="WUC20" s="16"/>
      <c r="WUD20" s="18"/>
      <c r="WUE20" s="16"/>
      <c r="WUF20" s="18"/>
      <c r="WUG20" s="16"/>
      <c r="WUH20" s="18"/>
      <c r="WUI20" s="16"/>
      <c r="WUJ20" s="18"/>
      <c r="WUK20" s="16"/>
      <c r="WUL20" s="18"/>
      <c r="WUM20" s="16"/>
      <c r="WUN20" s="18"/>
      <c r="WUO20" s="16"/>
      <c r="WUP20" s="18"/>
      <c r="WUQ20" s="16"/>
      <c r="WUR20" s="18"/>
      <c r="WUS20" s="16"/>
      <c r="WUT20" s="18"/>
      <c r="WUU20" s="16"/>
      <c r="WUV20" s="18"/>
      <c r="WUW20" s="16"/>
      <c r="WUX20" s="18"/>
      <c r="WUY20" s="16"/>
      <c r="WUZ20" s="18"/>
      <c r="WVA20" s="16"/>
      <c r="WVB20" s="18"/>
      <c r="WVC20" s="16"/>
      <c r="WVD20" s="18"/>
      <c r="WVE20" s="16"/>
      <c r="WVF20" s="18"/>
      <c r="WVG20" s="16"/>
      <c r="WVH20" s="18"/>
      <c r="WVI20" s="16"/>
      <c r="WVJ20" s="18"/>
      <c r="WVK20" s="16"/>
      <c r="WVL20" s="18"/>
      <c r="WVM20" s="16"/>
      <c r="WVN20" s="18"/>
      <c r="WVO20" s="16"/>
      <c r="WVP20" s="18"/>
      <c r="WVQ20" s="16"/>
      <c r="WVR20" s="18"/>
      <c r="WVS20" s="16"/>
      <c r="WVT20" s="18"/>
      <c r="WVU20" s="16"/>
      <c r="WVV20" s="18"/>
      <c r="WVW20" s="16"/>
      <c r="WVX20" s="18"/>
      <c r="WVY20" s="16"/>
      <c r="WVZ20" s="18"/>
      <c r="WWA20" s="16"/>
      <c r="WWB20" s="18"/>
      <c r="WWC20" s="16"/>
      <c r="WWD20" s="18"/>
      <c r="WWE20" s="16"/>
      <c r="WWF20" s="18"/>
      <c r="WWG20" s="16"/>
      <c r="WWH20" s="18"/>
      <c r="WWI20" s="16"/>
      <c r="WWJ20" s="18"/>
      <c r="WWK20" s="16"/>
      <c r="WWL20" s="18"/>
      <c r="WWM20" s="16"/>
      <c r="WWN20" s="18"/>
      <c r="WWO20" s="16"/>
      <c r="WWP20" s="18"/>
      <c r="WWQ20" s="16"/>
      <c r="WWR20" s="18"/>
      <c r="WWS20" s="16"/>
      <c r="WWT20" s="18"/>
      <c r="WWU20" s="16"/>
      <c r="WWV20" s="18"/>
      <c r="WWW20" s="16"/>
      <c r="WWX20" s="18"/>
      <c r="WWY20" s="16"/>
      <c r="WWZ20" s="18"/>
      <c r="WXA20" s="16"/>
      <c r="WXB20" s="18"/>
      <c r="WXC20" s="16"/>
      <c r="WXD20" s="18"/>
      <c r="WXE20" s="16"/>
      <c r="WXF20" s="18"/>
      <c r="WXG20" s="16"/>
      <c r="WXH20" s="18"/>
      <c r="WXI20" s="16"/>
      <c r="WXJ20" s="18"/>
      <c r="WXK20" s="16"/>
      <c r="WXL20" s="18"/>
      <c r="WXM20" s="16"/>
      <c r="WXN20" s="18"/>
      <c r="WXO20" s="16"/>
      <c r="WXP20" s="18"/>
      <c r="WXQ20" s="16"/>
      <c r="WXR20" s="18"/>
      <c r="WXS20" s="16"/>
      <c r="WXT20" s="18"/>
      <c r="WXU20" s="16"/>
      <c r="WXV20" s="18"/>
      <c r="WXW20" s="16"/>
      <c r="WXX20" s="18"/>
      <c r="WXY20" s="16"/>
      <c r="WXZ20" s="18"/>
      <c r="WYA20" s="16"/>
      <c r="WYB20" s="18"/>
      <c r="WYC20" s="16"/>
      <c r="WYD20" s="18"/>
      <c r="WYE20" s="16"/>
      <c r="WYF20" s="18"/>
      <c r="WYG20" s="16"/>
      <c r="WYH20" s="18"/>
      <c r="WYI20" s="16"/>
      <c r="WYJ20" s="18"/>
      <c r="WYK20" s="16"/>
      <c r="WYL20" s="18"/>
      <c r="WYM20" s="16"/>
      <c r="WYN20" s="18"/>
      <c r="WYO20" s="16"/>
      <c r="WYP20" s="18"/>
      <c r="WYQ20" s="16"/>
      <c r="WYR20" s="18"/>
      <c r="WYS20" s="16"/>
      <c r="WYT20" s="18"/>
      <c r="WYU20" s="16"/>
      <c r="WYV20" s="18"/>
      <c r="WYW20" s="16"/>
      <c r="WYX20" s="18"/>
      <c r="WYY20" s="16"/>
      <c r="WYZ20" s="18"/>
      <c r="WZA20" s="16"/>
      <c r="WZB20" s="18"/>
      <c r="WZC20" s="16"/>
      <c r="WZD20" s="18"/>
      <c r="WZE20" s="16"/>
      <c r="WZF20" s="18"/>
      <c r="WZG20" s="16"/>
      <c r="WZH20" s="18"/>
      <c r="WZI20" s="16"/>
      <c r="WZJ20" s="18"/>
      <c r="WZK20" s="16"/>
      <c r="WZL20" s="18"/>
      <c r="WZM20" s="16"/>
      <c r="WZN20" s="18"/>
      <c r="WZO20" s="16"/>
      <c r="WZP20" s="18"/>
      <c r="WZQ20" s="16"/>
      <c r="WZR20" s="18"/>
      <c r="WZS20" s="16"/>
      <c r="WZT20" s="18"/>
      <c r="WZU20" s="16"/>
      <c r="WZV20" s="18"/>
      <c r="WZW20" s="16"/>
      <c r="WZX20" s="18"/>
      <c r="WZY20" s="16"/>
      <c r="WZZ20" s="18"/>
      <c r="XAA20" s="16"/>
      <c r="XAB20" s="18"/>
      <c r="XAC20" s="16"/>
      <c r="XAD20" s="18"/>
      <c r="XAE20" s="16"/>
      <c r="XAF20" s="18"/>
      <c r="XAG20" s="16"/>
      <c r="XAH20" s="18"/>
      <c r="XAI20" s="16"/>
      <c r="XAJ20" s="18"/>
      <c r="XAK20" s="16"/>
      <c r="XAL20" s="18"/>
      <c r="XAM20" s="16"/>
      <c r="XAN20" s="18"/>
      <c r="XAO20" s="16"/>
      <c r="XAP20" s="18"/>
      <c r="XAQ20" s="16"/>
      <c r="XAR20" s="18"/>
      <c r="XAS20" s="16"/>
      <c r="XAT20" s="18"/>
      <c r="XAU20" s="16"/>
      <c r="XAV20" s="18"/>
      <c r="XAW20" s="16"/>
      <c r="XAX20" s="18"/>
      <c r="XAY20" s="16"/>
      <c r="XAZ20" s="18"/>
      <c r="XBA20" s="16"/>
      <c r="XBB20" s="18"/>
      <c r="XBC20" s="16"/>
      <c r="XBD20" s="18"/>
      <c r="XBE20" s="16"/>
      <c r="XBF20" s="18"/>
      <c r="XBG20" s="16"/>
      <c r="XBH20" s="18"/>
      <c r="XBI20" s="16"/>
      <c r="XBJ20" s="18"/>
      <c r="XBK20" s="16"/>
      <c r="XBL20" s="18"/>
      <c r="XBM20" s="16"/>
      <c r="XBN20" s="18"/>
      <c r="XBO20" s="16"/>
      <c r="XBP20" s="18"/>
      <c r="XBQ20" s="16"/>
      <c r="XBR20" s="18"/>
      <c r="XBS20" s="16"/>
      <c r="XBT20" s="18"/>
      <c r="XBU20" s="16"/>
      <c r="XBV20" s="18"/>
      <c r="XBW20" s="16"/>
      <c r="XBX20" s="18"/>
      <c r="XBY20" s="16"/>
      <c r="XBZ20" s="18"/>
      <c r="XCA20" s="16"/>
      <c r="XCB20" s="18"/>
      <c r="XCC20" s="16"/>
      <c r="XCD20" s="18"/>
      <c r="XCE20" s="16"/>
      <c r="XCF20" s="18"/>
      <c r="XCG20" s="16"/>
      <c r="XCH20" s="18"/>
      <c r="XCI20" s="16"/>
      <c r="XCJ20" s="18"/>
      <c r="XCK20" s="16"/>
      <c r="XCL20" s="18"/>
      <c r="XCM20" s="16"/>
      <c r="XCN20" s="18"/>
      <c r="XCO20" s="16"/>
      <c r="XCP20" s="18"/>
      <c r="XCQ20" s="16"/>
      <c r="XCR20" s="18"/>
      <c r="XCS20" s="16"/>
      <c r="XCT20" s="18"/>
      <c r="XCU20" s="16"/>
      <c r="XCV20" s="18"/>
      <c r="XCW20" s="16"/>
      <c r="XCX20" s="18"/>
      <c r="XCY20" s="16"/>
      <c r="XCZ20" s="18"/>
      <c r="XDA20" s="16"/>
      <c r="XDB20" s="18"/>
      <c r="XDC20" s="16"/>
      <c r="XDD20" s="18"/>
      <c r="XDE20" s="16"/>
      <c r="XDF20" s="18"/>
      <c r="XDG20" s="16"/>
      <c r="XDH20" s="18"/>
      <c r="XDI20" s="16"/>
      <c r="XDJ20" s="18"/>
      <c r="XDK20" s="16"/>
      <c r="XDL20" s="18"/>
      <c r="XDM20" s="16"/>
      <c r="XDN20" s="18"/>
      <c r="XDO20" s="16"/>
      <c r="XDP20" s="18"/>
      <c r="XDQ20" s="16"/>
      <c r="XDR20" s="18"/>
      <c r="XDS20" s="16"/>
      <c r="XDT20" s="18"/>
      <c r="XDU20" s="16"/>
      <c r="XDV20" s="18"/>
      <c r="XDW20" s="16"/>
      <c r="XDX20" s="18"/>
      <c r="XDY20" s="16"/>
      <c r="XDZ20" s="18"/>
      <c r="XEA20" s="16"/>
      <c r="XEB20" s="18"/>
      <c r="XEC20" s="16"/>
      <c r="XED20" s="18"/>
      <c r="XEE20" s="16"/>
      <c r="XEF20" s="18"/>
      <c r="XEG20" s="16"/>
      <c r="XEH20" s="18"/>
      <c r="XEI20" s="16"/>
      <c r="XEJ20" s="18"/>
      <c r="XEK20" s="16"/>
      <c r="XEL20" s="18"/>
      <c r="XEM20" s="16"/>
      <c r="XEN20" s="18"/>
      <c r="XEO20" s="16"/>
      <c r="XEP20" s="18"/>
      <c r="XEQ20" s="16"/>
      <c r="XER20" s="18"/>
      <c r="XES20" s="16"/>
      <c r="XET20" s="18"/>
      <c r="XEU20" s="16"/>
      <c r="XEV20" s="18"/>
      <c r="XEW20" s="16"/>
      <c r="XEX20" s="18"/>
      <c r="XEY20" s="16"/>
      <c r="XEZ20" s="18"/>
      <c r="XFA20" s="16"/>
      <c r="XFB20" s="18"/>
      <c r="XFC20" s="16"/>
      <c r="XFD20" s="18"/>
    </row>
    <row r="21" spans="1:16384" ht="15" customHeight="1">
      <c r="A21" s="2148"/>
      <c r="B21" s="2148"/>
      <c r="C21" s="171" t="s">
        <v>55</v>
      </c>
      <c r="D21" s="170" t="s">
        <v>240</v>
      </c>
      <c r="E21" s="2155"/>
      <c r="F21" s="2097"/>
      <c r="G21" s="2098"/>
      <c r="H21" s="9">
        <v>1</v>
      </c>
      <c r="I21" s="1003">
        <v>1</v>
      </c>
      <c r="J21" s="1003"/>
      <c r="K21" s="1003">
        <v>1</v>
      </c>
      <c r="L21" s="1004">
        <v>310</v>
      </c>
      <c r="M21" s="1003"/>
      <c r="N21" s="1003"/>
      <c r="O21" s="1003"/>
      <c r="P21" s="1003"/>
      <c r="Q21" s="1003">
        <v>1</v>
      </c>
      <c r="R21" s="1000"/>
      <c r="S21" s="1007">
        <v>1</v>
      </c>
      <c r="T21" s="1008">
        <v>310</v>
      </c>
    </row>
    <row r="22" spans="1:16384" ht="15" customHeight="1" thickBot="1">
      <c r="A22" s="2148"/>
      <c r="B22" s="2148"/>
      <c r="C22" s="161" t="s">
        <v>48</v>
      </c>
      <c r="D22" s="172" t="s">
        <v>241</v>
      </c>
      <c r="E22" s="2156"/>
      <c r="F22" s="2097"/>
      <c r="G22" s="2098"/>
      <c r="H22" s="9">
        <v>1</v>
      </c>
      <c r="I22" s="1001"/>
      <c r="J22" s="1001"/>
      <c r="K22" s="1001"/>
      <c r="L22" s="1001"/>
      <c r="M22" s="1001"/>
      <c r="N22" s="1001"/>
      <c r="O22" s="1001"/>
      <c r="P22" s="1001"/>
      <c r="Q22" s="1001">
        <v>1</v>
      </c>
      <c r="R22" s="1006"/>
      <c r="S22" s="1005" t="s">
        <v>1143</v>
      </c>
      <c r="T22" s="1002">
        <v>800</v>
      </c>
    </row>
    <row r="25" spans="1:16384">
      <c r="L25">
        <f>SUM(L16:L22)</f>
        <v>324260</v>
      </c>
    </row>
    <row r="26" spans="1:16384">
      <c r="A26" s="2198" t="s">
        <v>1270</v>
      </c>
      <c r="B26" s="2199"/>
      <c r="C26" s="2199"/>
      <c r="D26" s="2199"/>
      <c r="E26" s="2199"/>
      <c r="F26" s="2199"/>
    </row>
    <row r="27" spans="1:16384" ht="75">
      <c r="A27" s="1524" t="s">
        <v>1271</v>
      </c>
      <c r="B27" s="1524" t="s">
        <v>1272</v>
      </c>
      <c r="C27" s="1524" t="s">
        <v>1273</v>
      </c>
      <c r="D27" s="1524" t="s">
        <v>1274</v>
      </c>
      <c r="E27" s="1524" t="s">
        <v>1275</v>
      </c>
      <c r="F27" s="1524" t="s">
        <v>1276</v>
      </c>
    </row>
    <row r="28" spans="1:16384">
      <c r="A28" s="2392" t="s">
        <v>1277</v>
      </c>
      <c r="B28" s="1885" t="s">
        <v>1278</v>
      </c>
      <c r="C28" s="1886" t="s">
        <v>1279</v>
      </c>
      <c r="D28" s="1886" t="s">
        <v>954</v>
      </c>
      <c r="E28" s="1525" t="s">
        <v>237</v>
      </c>
      <c r="F28" s="1523"/>
    </row>
    <row r="29" spans="1:16384">
      <c r="A29" s="1885"/>
      <c r="B29" s="1885"/>
      <c r="C29" s="1886"/>
      <c r="D29" s="1886"/>
      <c r="E29" s="1525" t="s">
        <v>1280</v>
      </c>
      <c r="F29" s="1523">
        <v>1</v>
      </c>
    </row>
    <row r="30" spans="1:16384">
      <c r="A30" s="1890" t="s">
        <v>1386</v>
      </c>
      <c r="B30" s="1885" t="s">
        <v>1282</v>
      </c>
      <c r="C30" s="1886" t="s">
        <v>1283</v>
      </c>
      <c r="D30" s="1886" t="s">
        <v>954</v>
      </c>
      <c r="E30" s="1526" t="s">
        <v>1514</v>
      </c>
      <c r="F30" s="1523">
        <v>1</v>
      </c>
    </row>
    <row r="31" spans="1:16384">
      <c r="A31" s="1896"/>
      <c r="B31" s="1885"/>
      <c r="C31" s="1886"/>
      <c r="D31" s="1886"/>
      <c r="E31" s="1525" t="s">
        <v>1387</v>
      </c>
      <c r="F31" s="1523"/>
    </row>
    <row r="32" spans="1:16384">
      <c r="A32" s="1891"/>
      <c r="B32" s="1885"/>
      <c r="C32" s="1886"/>
      <c r="D32" s="1886"/>
      <c r="E32" s="1525" t="s">
        <v>1388</v>
      </c>
      <c r="F32" s="1523"/>
    </row>
    <row r="33" spans="1:6">
      <c r="A33" s="1887" t="s">
        <v>1389</v>
      </c>
      <c r="B33" s="1885" t="s">
        <v>1545</v>
      </c>
      <c r="C33" s="1886" t="s">
        <v>1307</v>
      </c>
      <c r="D33" s="1886" t="s">
        <v>954</v>
      </c>
      <c r="E33" s="1525" t="s">
        <v>237</v>
      </c>
      <c r="F33" s="1523"/>
    </row>
    <row r="34" spans="1:6">
      <c r="A34" s="1887"/>
      <c r="B34" s="1885"/>
      <c r="C34" s="1886"/>
      <c r="D34" s="1886"/>
      <c r="E34" s="1525" t="s">
        <v>1280</v>
      </c>
      <c r="F34" s="1523"/>
    </row>
    <row r="35" spans="1:6">
      <c r="A35" s="1887"/>
      <c r="B35" s="1885"/>
      <c r="C35" s="1886"/>
      <c r="D35" s="1886"/>
      <c r="E35" s="1525" t="s">
        <v>1390</v>
      </c>
      <c r="F35" s="1523">
        <v>3</v>
      </c>
    </row>
    <row r="36" spans="1:6" ht="60">
      <c r="A36" s="1529" t="s">
        <v>1391</v>
      </c>
      <c r="B36" s="1528" t="s">
        <v>1282</v>
      </c>
      <c r="C36" s="1525" t="s">
        <v>1283</v>
      </c>
      <c r="D36" s="1525" t="s">
        <v>954</v>
      </c>
      <c r="E36" s="1525" t="s">
        <v>1280</v>
      </c>
      <c r="F36" s="1523">
        <v>2</v>
      </c>
    </row>
    <row r="37" spans="1:6">
      <c r="A37" s="1887" t="s">
        <v>1286</v>
      </c>
      <c r="B37" s="1885" t="s">
        <v>1545</v>
      </c>
      <c r="C37" s="1886" t="s">
        <v>1283</v>
      </c>
      <c r="D37" s="1886" t="s">
        <v>954</v>
      </c>
      <c r="E37" s="1525" t="s">
        <v>1390</v>
      </c>
      <c r="F37" s="1523">
        <v>3</v>
      </c>
    </row>
    <row r="38" spans="1:6">
      <c r="A38" s="1887"/>
      <c r="B38" s="1885"/>
      <c r="C38" s="1886"/>
      <c r="D38" s="1886"/>
      <c r="E38" s="1525" t="s">
        <v>237</v>
      </c>
      <c r="F38" s="1531">
        <v>2</v>
      </c>
    </row>
    <row r="39" spans="1:6">
      <c r="A39" s="1887"/>
      <c r="B39" s="1885"/>
      <c r="C39" s="1886"/>
      <c r="D39" s="1886"/>
      <c r="E39" s="1525" t="s">
        <v>1280</v>
      </c>
      <c r="F39" s="1532"/>
    </row>
    <row r="40" spans="1:6">
      <c r="A40" s="1890" t="s">
        <v>1288</v>
      </c>
      <c r="B40" s="1892" t="s">
        <v>1545</v>
      </c>
      <c r="C40" s="1894" t="s">
        <v>1289</v>
      </c>
      <c r="D40" s="1894" t="s">
        <v>954</v>
      </c>
      <c r="E40" s="1525" t="s">
        <v>237</v>
      </c>
      <c r="F40" s="1532"/>
    </row>
    <row r="41" spans="1:6">
      <c r="A41" s="1896"/>
      <c r="B41" s="2394"/>
      <c r="C41" s="2393"/>
      <c r="D41" s="2393"/>
      <c r="E41" s="1525" t="s">
        <v>1280</v>
      </c>
      <c r="F41" s="1532"/>
    </row>
    <row r="42" spans="1:6">
      <c r="A42" s="1891"/>
      <c r="B42" s="1893"/>
      <c r="C42" s="1895"/>
      <c r="D42" s="1895"/>
      <c r="E42" s="1525" t="s">
        <v>1390</v>
      </c>
      <c r="F42" s="1532"/>
    </row>
    <row r="43" spans="1:6">
      <c r="A43" s="2395" t="s">
        <v>1393</v>
      </c>
      <c r="B43" s="1892" t="s">
        <v>1282</v>
      </c>
      <c r="C43" s="1894" t="s">
        <v>1283</v>
      </c>
      <c r="D43" s="1894" t="s">
        <v>954</v>
      </c>
      <c r="E43" s="1525" t="s">
        <v>237</v>
      </c>
      <c r="F43" s="1532"/>
    </row>
    <row r="44" spans="1:6">
      <c r="A44" s="2396"/>
      <c r="B44" s="2394"/>
      <c r="C44" s="2393"/>
      <c r="D44" s="2393"/>
      <c r="E44" s="1525" t="s">
        <v>1280</v>
      </c>
      <c r="F44" s="1532"/>
    </row>
    <row r="45" spans="1:6">
      <c r="A45" s="2397"/>
      <c r="B45" s="1893"/>
      <c r="C45" s="1895"/>
      <c r="D45" s="1895"/>
      <c r="E45" s="1525" t="s">
        <v>1390</v>
      </c>
      <c r="F45" s="1532"/>
    </row>
    <row r="46" spans="1:6" ht="60">
      <c r="A46" s="1527" t="s">
        <v>1290</v>
      </c>
      <c r="B46" s="1528" t="s">
        <v>1291</v>
      </c>
      <c r="C46" s="1525" t="s">
        <v>1292</v>
      </c>
      <c r="D46" s="1525" t="s">
        <v>954</v>
      </c>
      <c r="E46" s="1525" t="s">
        <v>1280</v>
      </c>
      <c r="F46" s="1532"/>
    </row>
    <row r="47" spans="1:6" ht="45">
      <c r="A47" s="1530" t="s">
        <v>1394</v>
      </c>
      <c r="B47" s="1528" t="s">
        <v>1282</v>
      </c>
      <c r="C47" s="1525" t="s">
        <v>1395</v>
      </c>
      <c r="D47" s="1525" t="s">
        <v>954</v>
      </c>
      <c r="E47" s="1525" t="s">
        <v>1280</v>
      </c>
      <c r="F47" s="1532"/>
    </row>
    <row r="48" spans="1:6">
      <c r="A48" s="1890" t="s">
        <v>1397</v>
      </c>
      <c r="B48" s="2398" t="s">
        <v>1282</v>
      </c>
      <c r="C48" s="2400" t="s">
        <v>1546</v>
      </c>
      <c r="D48" s="2400" t="s">
        <v>954</v>
      </c>
      <c r="E48" s="1525" t="s">
        <v>1280</v>
      </c>
      <c r="F48" s="1532"/>
    </row>
    <row r="49" spans="1:6">
      <c r="A49" s="1891"/>
      <c r="B49" s="2399"/>
      <c r="C49" s="2401"/>
      <c r="D49" s="2401"/>
      <c r="E49" s="1526" t="s">
        <v>1487</v>
      </c>
      <c r="F49" s="1532">
        <v>1</v>
      </c>
    </row>
    <row r="50" spans="1:6">
      <c r="A50" s="1892" t="s">
        <v>1398</v>
      </c>
      <c r="B50" s="1892" t="s">
        <v>1545</v>
      </c>
      <c r="C50" s="1894" t="s">
        <v>1307</v>
      </c>
      <c r="D50" s="1886" t="s">
        <v>954</v>
      </c>
      <c r="E50" s="1525" t="s">
        <v>1280</v>
      </c>
      <c r="F50" s="1532"/>
    </row>
    <row r="51" spans="1:6">
      <c r="A51" s="2394"/>
      <c r="B51" s="2394"/>
      <c r="C51" s="2393"/>
      <c r="D51" s="1886"/>
      <c r="E51" s="1525" t="s">
        <v>1387</v>
      </c>
      <c r="F51" s="1532">
        <v>1</v>
      </c>
    </row>
    <row r="52" spans="1:6">
      <c r="A52" s="1893"/>
      <c r="B52" s="1893"/>
      <c r="C52" s="1895"/>
      <c r="D52" s="1886"/>
      <c r="E52" s="1525" t="s">
        <v>237</v>
      </c>
      <c r="F52" s="1532">
        <v>1</v>
      </c>
    </row>
  </sheetData>
  <mergeCells count="56">
    <mergeCell ref="A43:A45"/>
    <mergeCell ref="B43:B45"/>
    <mergeCell ref="C43:C45"/>
    <mergeCell ref="D43:D45"/>
    <mergeCell ref="A50:A52"/>
    <mergeCell ref="B50:B52"/>
    <mergeCell ref="C50:C52"/>
    <mergeCell ref="D50:D52"/>
    <mergeCell ref="A48:A49"/>
    <mergeCell ref="B48:B49"/>
    <mergeCell ref="C48:C49"/>
    <mergeCell ref="D48:D49"/>
    <mergeCell ref="D40:D42"/>
    <mergeCell ref="C40:C42"/>
    <mergeCell ref="B40:B42"/>
    <mergeCell ref="A40:A42"/>
    <mergeCell ref="A37:A39"/>
    <mergeCell ref="B37:B39"/>
    <mergeCell ref="C37:C39"/>
    <mergeCell ref="D37:D39"/>
    <mergeCell ref="A30:A32"/>
    <mergeCell ref="B30:B32"/>
    <mergeCell ref="C30:C32"/>
    <mergeCell ref="D30:D32"/>
    <mergeCell ref="A33:A35"/>
    <mergeCell ref="B33:B35"/>
    <mergeCell ref="C33:C35"/>
    <mergeCell ref="D33:D35"/>
    <mergeCell ref="A26:F26"/>
    <mergeCell ref="A28:A29"/>
    <mergeCell ref="B28:B29"/>
    <mergeCell ref="C28:C29"/>
    <mergeCell ref="D28:D29"/>
    <mergeCell ref="Q13:T13"/>
    <mergeCell ref="I13:L13"/>
    <mergeCell ref="B2:D2"/>
    <mergeCell ref="B3:D3"/>
    <mergeCell ref="A10:B10"/>
    <mergeCell ref="C10:G10"/>
    <mergeCell ref="B4:D4"/>
    <mergeCell ref="B6:D6"/>
    <mergeCell ref="B8:D8"/>
    <mergeCell ref="E12:G13"/>
    <mergeCell ref="E18:G18"/>
    <mergeCell ref="A18:B18"/>
    <mergeCell ref="A19:C19"/>
    <mergeCell ref="M13:P13"/>
    <mergeCell ref="A14:B14"/>
    <mergeCell ref="E14:G14"/>
    <mergeCell ref="A15:B17"/>
    <mergeCell ref="E15:G17"/>
    <mergeCell ref="A20:B22"/>
    <mergeCell ref="E21:G21"/>
    <mergeCell ref="E22:G22"/>
    <mergeCell ref="E20:G20"/>
    <mergeCell ref="E19:G19"/>
  </mergeCells>
  <dataValidations count="3">
    <dataValidation type="list" allowBlank="1" showErrorMessage="1" sqref="G8">
      <formula1>"Enjeu EAU AESN,Enjeu EAU AEAP,Enjeu ZH et prairies AEAP,Enjeu Erosion AEAP,Enjeu Biodiversité MASA"</formula1>
    </dataValidation>
    <dataValidation type="list" allowBlank="1" showErrorMessage="1" sqref="G2">
      <formula1>$M$2:$M$3</formula1>
    </dataValidation>
    <dataValidation type="list" allowBlank="1" showErrorMessage="1" sqref="G3">
      <formula1>$M$4:$M$5</formula1>
    </dataValidation>
  </dataValidations>
  <hyperlinks>
    <hyperlink ref="J2" location="SOMMAIRE!A1" display="Retour sommaire"/>
    <hyperlink ref="G3" r:id="rId1" display="m.sturma@parc-oise-paysdefrance.fr"/>
    <hyperlink ref="J4" location="SYNTHESE!A1" display="Retour synthèse"/>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K54"/>
  <sheetViews>
    <sheetView topLeftCell="A37" workbookViewId="0">
      <selection activeCell="C41" sqref="C41"/>
    </sheetView>
  </sheetViews>
  <sheetFormatPr baseColWidth="10" defaultRowHeight="15"/>
  <cols>
    <col min="2" max="2" width="32.42578125" customWidth="1"/>
    <col min="3" max="3" width="52.28515625" customWidth="1"/>
    <col min="7" max="7" width="14.140625" customWidth="1"/>
    <col min="8" max="8" width="22.5703125" customWidth="1"/>
  </cols>
  <sheetData>
    <row r="1" spans="1:11" ht="15.75" thickBot="1">
      <c r="A1" s="1135"/>
      <c r="B1" s="1135"/>
      <c r="C1" s="1135"/>
      <c r="D1" s="1135"/>
      <c r="E1" s="1135"/>
      <c r="F1" s="1135"/>
      <c r="G1" s="1135"/>
      <c r="H1" s="1135"/>
    </row>
    <row r="2" spans="1:11" ht="15.75" thickBot="1">
      <c r="A2" s="328" t="s">
        <v>0</v>
      </c>
      <c r="B2" s="1807" t="s">
        <v>876</v>
      </c>
      <c r="C2" s="1776"/>
      <c r="D2" s="1777"/>
      <c r="E2" s="329"/>
      <c r="F2" s="329"/>
      <c r="G2" s="330" t="s">
        <v>462</v>
      </c>
      <c r="H2" s="112" t="s">
        <v>53</v>
      </c>
      <c r="J2" s="11" t="s">
        <v>73</v>
      </c>
      <c r="K2" s="1251"/>
    </row>
    <row r="3" spans="1:11" ht="15.75" thickBot="1">
      <c r="A3" s="331" t="s">
        <v>344</v>
      </c>
      <c r="B3" s="1807" t="s">
        <v>877</v>
      </c>
      <c r="C3" s="1880"/>
      <c r="D3" s="1881"/>
      <c r="E3" s="329"/>
      <c r="F3" s="329"/>
      <c r="G3" s="332" t="s">
        <v>10</v>
      </c>
      <c r="H3" s="112" t="s">
        <v>16</v>
      </c>
      <c r="J3" s="1251"/>
      <c r="K3" s="1251"/>
    </row>
    <row r="4" spans="1:11" ht="15.75" thickBot="1">
      <c r="A4" s="332" t="s">
        <v>3</v>
      </c>
      <c r="B4" s="1809" t="s">
        <v>878</v>
      </c>
      <c r="C4" s="1776"/>
      <c r="D4" s="1777"/>
      <c r="E4" s="333"/>
      <c r="F4" s="329"/>
      <c r="G4" s="334" t="s">
        <v>26</v>
      </c>
      <c r="H4" s="117">
        <v>10</v>
      </c>
      <c r="J4" s="13" t="s">
        <v>381</v>
      </c>
      <c r="K4" s="1251"/>
    </row>
    <row r="5" spans="1:11" ht="15.75" thickBot="1">
      <c r="A5" s="329"/>
      <c r="B5" s="329"/>
      <c r="C5" s="329"/>
      <c r="D5" s="329"/>
      <c r="E5" s="329"/>
      <c r="F5" s="329"/>
      <c r="G5" s="329"/>
      <c r="H5" s="329"/>
    </row>
    <row r="6" spans="1:11" ht="75.75" thickBot="1">
      <c r="A6" s="328" t="s">
        <v>465</v>
      </c>
      <c r="B6" s="1909" t="s">
        <v>1589</v>
      </c>
      <c r="C6" s="1811"/>
      <c r="D6" s="1812"/>
      <c r="E6" s="329"/>
      <c r="F6" s="329"/>
      <c r="G6" s="335" t="s">
        <v>466</v>
      </c>
      <c r="H6" s="178" t="s">
        <v>879</v>
      </c>
    </row>
    <row r="7" spans="1:11" ht="15.75" thickBot="1">
      <c r="A7" s="1135"/>
      <c r="B7" s="329"/>
      <c r="C7" s="329"/>
      <c r="D7" s="329"/>
      <c r="E7" s="329"/>
      <c r="F7" s="329"/>
      <c r="G7" s="337"/>
      <c r="H7" s="329"/>
    </row>
    <row r="8" spans="1:11" ht="60.75" thickBot="1">
      <c r="A8" s="338" t="s">
        <v>7</v>
      </c>
      <c r="B8" s="1823" t="s">
        <v>880</v>
      </c>
      <c r="C8" s="1776"/>
      <c r="D8" s="1777"/>
      <c r="E8" s="333"/>
      <c r="F8" s="339"/>
      <c r="G8" s="338" t="s">
        <v>469</v>
      </c>
      <c r="H8" s="123" t="s">
        <v>508</v>
      </c>
    </row>
    <row r="9" spans="1:11">
      <c r="A9" s="1135"/>
      <c r="B9" s="329"/>
      <c r="C9" s="329"/>
      <c r="D9" s="329"/>
      <c r="E9" s="329"/>
      <c r="F9" s="329"/>
      <c r="G9" s="337"/>
      <c r="H9" s="329"/>
    </row>
    <row r="10" spans="1:11">
      <c r="A10" s="1813" t="s">
        <v>471</v>
      </c>
      <c r="B10" s="1772"/>
      <c r="C10" s="1805" t="s">
        <v>881</v>
      </c>
      <c r="D10" s="1805"/>
      <c r="E10" s="1805"/>
      <c r="F10" s="1805"/>
      <c r="G10" s="1805"/>
      <c r="H10" s="1805"/>
    </row>
    <row r="11" spans="1:11">
      <c r="A11" s="343"/>
      <c r="B11" s="333"/>
      <c r="C11" s="333"/>
      <c r="D11" s="333"/>
      <c r="E11" s="333"/>
      <c r="F11" s="339"/>
      <c r="G11" s="342"/>
      <c r="H11" s="342"/>
    </row>
    <row r="12" spans="1:11">
      <c r="A12" s="343"/>
      <c r="B12" s="333"/>
      <c r="C12" s="333"/>
      <c r="D12" s="333"/>
      <c r="E12" s="1814" t="s">
        <v>473</v>
      </c>
      <c r="F12" s="1772"/>
      <c r="G12" s="1772"/>
      <c r="H12" s="1772"/>
    </row>
    <row r="13" spans="1:11">
      <c r="A13" s="329"/>
      <c r="B13" s="329"/>
      <c r="C13" s="329"/>
      <c r="D13" s="329"/>
      <c r="E13" s="1780"/>
      <c r="F13" s="1780"/>
      <c r="G13" s="1780"/>
      <c r="H13" s="1780"/>
    </row>
    <row r="14" spans="1:11" ht="15.75" thickBot="1">
      <c r="A14" s="1816" t="s">
        <v>5</v>
      </c>
      <c r="B14" s="1792"/>
      <c r="C14" s="344" t="s">
        <v>1</v>
      </c>
      <c r="D14" s="344" t="s">
        <v>260</v>
      </c>
      <c r="E14" s="1136" t="s">
        <v>474</v>
      </c>
      <c r="F14" s="1815" t="s">
        <v>6</v>
      </c>
      <c r="G14" s="1762"/>
      <c r="H14" s="1764"/>
    </row>
    <row r="15" spans="1:11">
      <c r="A15" s="1804" t="s">
        <v>17</v>
      </c>
      <c r="B15" s="1771"/>
      <c r="C15" s="346" t="s">
        <v>59</v>
      </c>
      <c r="D15" s="347" t="s">
        <v>251</v>
      </c>
      <c r="E15" s="348"/>
      <c r="F15" s="1791" t="s">
        <v>475</v>
      </c>
      <c r="G15" s="1771"/>
      <c r="H15" s="1792"/>
    </row>
    <row r="16" spans="1:11">
      <c r="A16" s="1772"/>
      <c r="B16" s="1772"/>
      <c r="C16" s="349" t="s">
        <v>18</v>
      </c>
      <c r="D16" s="350" t="s">
        <v>168</v>
      </c>
      <c r="E16" s="351"/>
      <c r="F16" s="1845"/>
      <c r="G16" s="1845"/>
      <c r="H16" s="1799"/>
    </row>
    <row r="17" spans="1:8" ht="15.75" thickBot="1">
      <c r="A17" s="1780"/>
      <c r="B17" s="1780"/>
      <c r="C17" s="352" t="s">
        <v>19</v>
      </c>
      <c r="D17" s="353" t="s">
        <v>233</v>
      </c>
      <c r="E17" s="354"/>
      <c r="F17" s="1780"/>
      <c r="G17" s="1780"/>
      <c r="H17" s="1793"/>
    </row>
    <row r="18" spans="1:8" ht="15" customHeight="1">
      <c r="A18" s="1804" t="s">
        <v>20</v>
      </c>
      <c r="B18" s="1771"/>
      <c r="C18" s="346" t="s">
        <v>54</v>
      </c>
      <c r="D18" s="353" t="s">
        <v>261</v>
      </c>
      <c r="E18" s="138" t="s">
        <v>554</v>
      </c>
      <c r="F18" s="1828" t="s">
        <v>882</v>
      </c>
      <c r="G18" s="1771"/>
      <c r="H18" s="1792"/>
    </row>
    <row r="19" spans="1:8">
      <c r="A19" s="1772"/>
      <c r="B19" s="1772"/>
      <c r="C19" s="355" t="s">
        <v>21</v>
      </c>
      <c r="D19" s="353" t="s">
        <v>234</v>
      </c>
      <c r="E19" s="138" t="s">
        <v>554</v>
      </c>
      <c r="F19" s="1845"/>
      <c r="G19" s="1845"/>
      <c r="H19" s="1799"/>
    </row>
    <row r="20" spans="1:8" ht="15.75" thickBot="1">
      <c r="A20" s="1772"/>
      <c r="B20" s="1772"/>
      <c r="C20" s="352" t="s">
        <v>22</v>
      </c>
      <c r="D20" s="353" t="s">
        <v>235</v>
      </c>
      <c r="E20" s="138" t="s">
        <v>554</v>
      </c>
      <c r="F20" s="1780"/>
      <c r="G20" s="1780"/>
      <c r="H20" s="1793"/>
    </row>
    <row r="21" spans="1:8">
      <c r="A21" s="1804" t="s">
        <v>23</v>
      </c>
      <c r="B21" s="1771"/>
      <c r="C21" s="356" t="s">
        <v>69</v>
      </c>
      <c r="D21" s="353" t="s">
        <v>267</v>
      </c>
      <c r="E21" s="354"/>
      <c r="F21" s="1791" t="s">
        <v>477</v>
      </c>
      <c r="G21" s="1771"/>
      <c r="H21" s="1792"/>
    </row>
    <row r="22" spans="1:8" ht="15.75" thickBot="1">
      <c r="A22" s="1780"/>
      <c r="B22" s="1780"/>
      <c r="C22" s="357" t="s">
        <v>24</v>
      </c>
      <c r="D22" s="358" t="s">
        <v>236</v>
      </c>
      <c r="E22" s="354"/>
      <c r="F22" s="1780"/>
      <c r="G22" s="1780"/>
      <c r="H22" s="1793"/>
    </row>
    <row r="23" spans="1:8" ht="15.75">
      <c r="A23" s="1801" t="s">
        <v>478</v>
      </c>
      <c r="B23" s="1792"/>
      <c r="C23" s="359" t="s">
        <v>360</v>
      </c>
      <c r="D23" s="358" t="s">
        <v>265</v>
      </c>
      <c r="E23" s="354"/>
      <c r="F23" s="1791" t="s">
        <v>477</v>
      </c>
      <c r="G23" s="1771"/>
      <c r="H23" s="1792"/>
    </row>
    <row r="24" spans="1:8" ht="15.75">
      <c r="A24" s="1779"/>
      <c r="B24" s="1799"/>
      <c r="C24" s="360" t="s">
        <v>361</v>
      </c>
      <c r="D24" s="358" t="s">
        <v>362</v>
      </c>
      <c r="E24" s="354"/>
      <c r="F24" s="1845"/>
      <c r="G24" s="1845"/>
      <c r="H24" s="1799"/>
    </row>
    <row r="25" spans="1:8" ht="16.5" thickBot="1">
      <c r="A25" s="1779"/>
      <c r="B25" s="1799"/>
      <c r="C25" s="361" t="s">
        <v>479</v>
      </c>
      <c r="D25" s="358" t="s">
        <v>480</v>
      </c>
      <c r="E25" s="354"/>
      <c r="F25" s="1780"/>
      <c r="G25" s="1780"/>
      <c r="H25" s="1793"/>
    </row>
    <row r="26" spans="1:8" ht="15.75" thickBot="1">
      <c r="A26" s="1802" t="s">
        <v>25</v>
      </c>
      <c r="B26" s="1776"/>
      <c r="C26" s="1777"/>
      <c r="D26" s="362" t="s">
        <v>270</v>
      </c>
      <c r="E26" s="354"/>
      <c r="F26" s="1763" t="s">
        <v>481</v>
      </c>
      <c r="G26" s="1762"/>
      <c r="H26" s="1764"/>
    </row>
    <row r="27" spans="1:8" ht="15.75">
      <c r="A27" s="1803" t="s">
        <v>153</v>
      </c>
      <c r="B27" s="1788"/>
      <c r="C27" s="363" t="s">
        <v>152</v>
      </c>
      <c r="D27" s="364" t="s">
        <v>268</v>
      </c>
      <c r="E27" s="354"/>
      <c r="F27" s="1791" t="s">
        <v>475</v>
      </c>
      <c r="G27" s="1771"/>
      <c r="H27" s="1792"/>
    </row>
    <row r="28" spans="1:8" ht="15.75">
      <c r="A28" s="1779"/>
      <c r="B28" s="1788"/>
      <c r="C28" s="365" t="s">
        <v>154</v>
      </c>
      <c r="D28" s="364" t="s">
        <v>392</v>
      </c>
      <c r="E28" s="354"/>
      <c r="F28" s="1845"/>
      <c r="G28" s="1845"/>
      <c r="H28" s="1799"/>
    </row>
    <row r="29" spans="1:8" ht="16.5" thickBot="1">
      <c r="A29" s="1767"/>
      <c r="B29" s="1768"/>
      <c r="C29" s="366" t="s">
        <v>400</v>
      </c>
      <c r="D29" s="364" t="s">
        <v>393</v>
      </c>
      <c r="E29" s="354"/>
      <c r="F29" s="1780"/>
      <c r="G29" s="1780"/>
      <c r="H29" s="1793"/>
    </row>
    <row r="30" spans="1:8" ht="15.75" customHeight="1">
      <c r="A30" s="1797" t="s">
        <v>153</v>
      </c>
      <c r="B30" s="1766"/>
      <c r="C30" s="367" t="s">
        <v>155</v>
      </c>
      <c r="D30" s="364" t="s">
        <v>266</v>
      </c>
      <c r="E30" s="138"/>
      <c r="F30" s="1791" t="s">
        <v>475</v>
      </c>
      <c r="G30" s="1771"/>
      <c r="H30" s="1792"/>
    </row>
    <row r="31" spans="1:8" ht="15.75">
      <c r="A31" s="1779"/>
      <c r="B31" s="1788"/>
      <c r="C31" s="365" t="s">
        <v>156</v>
      </c>
      <c r="D31" s="364" t="s">
        <v>394</v>
      </c>
      <c r="E31" s="138"/>
      <c r="F31" s="1845"/>
      <c r="G31" s="1845"/>
      <c r="H31" s="1799"/>
    </row>
    <row r="32" spans="1:8" ht="16.5" thickBot="1">
      <c r="A32" s="1767"/>
      <c r="B32" s="1768"/>
      <c r="C32" s="366" t="s">
        <v>399</v>
      </c>
      <c r="D32" s="364" t="s">
        <v>395</v>
      </c>
      <c r="E32" s="138"/>
      <c r="F32" s="1780"/>
      <c r="G32" s="1780"/>
      <c r="H32" s="1793"/>
    </row>
    <row r="33" spans="1:8" ht="16.5" thickBot="1">
      <c r="A33" s="1797" t="s">
        <v>482</v>
      </c>
      <c r="B33" s="1766"/>
      <c r="C33" s="367" t="s">
        <v>365</v>
      </c>
      <c r="D33" s="364" t="s">
        <v>252</v>
      </c>
      <c r="E33" s="354"/>
      <c r="F33" s="1791" t="s">
        <v>483</v>
      </c>
      <c r="G33" s="1771"/>
      <c r="H33" s="1792"/>
    </row>
    <row r="34" spans="1:8" ht="16.5" thickBot="1">
      <c r="A34" s="1797" t="s">
        <v>484</v>
      </c>
      <c r="B34" s="1766"/>
      <c r="C34" s="367" t="s">
        <v>485</v>
      </c>
      <c r="D34" s="364" t="s">
        <v>264</v>
      </c>
      <c r="E34" s="354"/>
      <c r="F34" s="1800"/>
      <c r="G34" s="1771"/>
      <c r="H34" s="1792"/>
    </row>
    <row r="35" spans="1:8" ht="15.75">
      <c r="A35" s="1795" t="s">
        <v>486</v>
      </c>
      <c r="B35" s="1766"/>
      <c r="C35" s="368" t="s">
        <v>43</v>
      </c>
      <c r="D35" s="369" t="s">
        <v>256</v>
      </c>
      <c r="E35" s="354"/>
      <c r="F35" s="1791" t="s">
        <v>487</v>
      </c>
      <c r="G35" s="1771"/>
      <c r="H35" s="1792"/>
    </row>
    <row r="36" spans="1:8" ht="16.5" thickBot="1">
      <c r="A36" s="1767"/>
      <c r="B36" s="1768"/>
      <c r="C36" s="370" t="s">
        <v>60</v>
      </c>
      <c r="D36" s="369" t="s">
        <v>257</v>
      </c>
      <c r="E36" s="354"/>
      <c r="F36" s="1780"/>
      <c r="G36" s="1780"/>
      <c r="H36" s="1793"/>
    </row>
    <row r="37" spans="1:8" ht="30">
      <c r="A37" s="1796" t="s">
        <v>33</v>
      </c>
      <c r="B37" s="1771"/>
      <c r="C37" s="371" t="s">
        <v>30</v>
      </c>
      <c r="D37" s="372" t="s">
        <v>170</v>
      </c>
      <c r="E37" s="354"/>
      <c r="F37" s="1819" t="s">
        <v>510</v>
      </c>
      <c r="G37" s="1771"/>
      <c r="H37" s="1792"/>
    </row>
    <row r="38" spans="1:8" ht="30">
      <c r="A38" s="1779"/>
      <c r="B38" s="1772"/>
      <c r="C38" s="373" t="s">
        <v>31</v>
      </c>
      <c r="D38" s="372" t="s">
        <v>169</v>
      </c>
      <c r="E38" s="354"/>
      <c r="F38" s="1819" t="s">
        <v>539</v>
      </c>
      <c r="G38" s="1771"/>
      <c r="H38" s="1792"/>
    </row>
    <row r="39" spans="1:8" ht="30.75" thickBot="1">
      <c r="A39" s="1779"/>
      <c r="B39" s="1772"/>
      <c r="C39" s="374" t="s">
        <v>32</v>
      </c>
      <c r="D39" s="372" t="s">
        <v>250</v>
      </c>
      <c r="E39" s="354"/>
      <c r="F39" s="1780"/>
      <c r="G39" s="1780"/>
      <c r="H39" s="1793"/>
    </row>
    <row r="40" spans="1:8" ht="15.75">
      <c r="A40" s="1786" t="s">
        <v>491</v>
      </c>
      <c r="B40" s="1787"/>
      <c r="C40" s="375" t="s">
        <v>144</v>
      </c>
      <c r="D40" s="376" t="s">
        <v>253</v>
      </c>
      <c r="E40" s="354"/>
      <c r="F40" s="1791" t="s">
        <v>492</v>
      </c>
      <c r="G40" s="1771"/>
      <c r="H40" s="1792"/>
    </row>
    <row r="41" spans="1:8" ht="16.5" thickBot="1">
      <c r="A41" s="1772"/>
      <c r="B41" s="1788"/>
      <c r="C41" s="161" t="s">
        <v>145</v>
      </c>
      <c r="D41" s="376" t="s">
        <v>254</v>
      </c>
      <c r="E41" s="354"/>
      <c r="F41" s="1780"/>
      <c r="G41" s="1780"/>
      <c r="H41" s="1793"/>
    </row>
    <row r="42" spans="1:8" ht="32.25" thickBot="1">
      <c r="A42" s="1789"/>
      <c r="B42" s="1790"/>
      <c r="C42" s="378" t="s">
        <v>128</v>
      </c>
      <c r="D42" s="376" t="s">
        <v>262</v>
      </c>
      <c r="E42" s="138" t="s">
        <v>554</v>
      </c>
      <c r="F42" s="1794"/>
      <c r="G42" s="1762"/>
      <c r="H42" s="1764"/>
    </row>
    <row r="43" spans="1:8" ht="15.75" thickBot="1">
      <c r="A43" s="1775" t="s">
        <v>493</v>
      </c>
      <c r="B43" s="1776"/>
      <c r="C43" s="1777"/>
      <c r="D43" s="379" t="s">
        <v>237</v>
      </c>
      <c r="E43" s="354"/>
      <c r="F43" s="1763" t="s">
        <v>559</v>
      </c>
      <c r="G43" s="1762"/>
      <c r="H43" s="1764"/>
    </row>
    <row r="44" spans="1:8" ht="15.75" thickBot="1">
      <c r="A44" s="1775" t="s">
        <v>133</v>
      </c>
      <c r="B44" s="1776"/>
      <c r="C44" s="1777"/>
      <c r="D44" s="379" t="s">
        <v>238</v>
      </c>
      <c r="E44" s="138" t="s">
        <v>554</v>
      </c>
      <c r="F44" s="1818" t="s">
        <v>883</v>
      </c>
      <c r="G44" s="1762"/>
      <c r="H44" s="1764"/>
    </row>
    <row r="45" spans="1:8">
      <c r="A45" s="1778" t="s">
        <v>41</v>
      </c>
      <c r="B45" s="1772"/>
      <c r="C45" s="380" t="s">
        <v>50</v>
      </c>
      <c r="D45" s="381" t="s">
        <v>246</v>
      </c>
      <c r="E45" s="354"/>
      <c r="F45" s="1781" t="s">
        <v>560</v>
      </c>
      <c r="G45" s="1762"/>
      <c r="H45" s="1764"/>
    </row>
    <row r="46" spans="1:8">
      <c r="A46" s="1779"/>
      <c r="B46" s="1772"/>
      <c r="C46" s="382" t="s">
        <v>51</v>
      </c>
      <c r="D46" s="381" t="s">
        <v>247</v>
      </c>
      <c r="E46" s="354"/>
      <c r="F46" s="1781" t="s">
        <v>498</v>
      </c>
      <c r="G46" s="1762"/>
      <c r="H46" s="1764"/>
    </row>
    <row r="47" spans="1:8">
      <c r="A47" s="1779"/>
      <c r="B47" s="1772"/>
      <c r="C47" s="382" t="s">
        <v>39</v>
      </c>
      <c r="D47" s="381" t="s">
        <v>248</v>
      </c>
      <c r="E47" s="354"/>
      <c r="F47" s="1781" t="s">
        <v>498</v>
      </c>
      <c r="G47" s="1762"/>
      <c r="H47" s="1764"/>
    </row>
    <row r="48" spans="1:8" ht="15.75" thickBot="1">
      <c r="A48" s="1767"/>
      <c r="B48" s="1780"/>
      <c r="C48" s="383" t="s">
        <v>40</v>
      </c>
      <c r="D48" s="381" t="s">
        <v>249</v>
      </c>
      <c r="E48" s="354"/>
      <c r="F48" s="1781" t="s">
        <v>498</v>
      </c>
      <c r="G48" s="1762"/>
      <c r="H48" s="1764"/>
    </row>
    <row r="49" spans="1:8" ht="15.75">
      <c r="A49" s="1765" t="s">
        <v>130</v>
      </c>
      <c r="B49" s="1766"/>
      <c r="C49" s="375" t="s">
        <v>131</v>
      </c>
      <c r="D49" s="376" t="s">
        <v>255</v>
      </c>
      <c r="E49" s="138" t="s">
        <v>554</v>
      </c>
      <c r="F49" s="1769"/>
      <c r="G49" s="1762"/>
      <c r="H49" s="1764"/>
    </row>
    <row r="50" spans="1:8" ht="32.25" thickBot="1">
      <c r="A50" s="1767"/>
      <c r="B50" s="1768"/>
      <c r="C50" s="384" t="s">
        <v>132</v>
      </c>
      <c r="D50" s="376" t="s">
        <v>263</v>
      </c>
      <c r="E50" s="138" t="s">
        <v>554</v>
      </c>
      <c r="F50" s="1769"/>
      <c r="G50" s="1762"/>
      <c r="H50" s="1764"/>
    </row>
    <row r="51" spans="1:8">
      <c r="A51" s="1770" t="s">
        <v>42</v>
      </c>
      <c r="B51" s="1771"/>
      <c r="C51" s="385" t="s">
        <v>38</v>
      </c>
      <c r="D51" s="386" t="s">
        <v>239</v>
      </c>
      <c r="E51" s="138" t="s">
        <v>554</v>
      </c>
      <c r="F51" s="1818" t="s">
        <v>884</v>
      </c>
      <c r="G51" s="1762"/>
      <c r="H51" s="1764"/>
    </row>
    <row r="52" spans="1:8">
      <c r="A52" s="1772"/>
      <c r="B52" s="1772"/>
      <c r="C52" s="387" t="s">
        <v>55</v>
      </c>
      <c r="D52" s="386" t="s">
        <v>240</v>
      </c>
      <c r="E52" s="138" t="s">
        <v>554</v>
      </c>
      <c r="F52" s="1773"/>
      <c r="G52" s="1762"/>
      <c r="H52" s="1764"/>
    </row>
    <row r="53" spans="1:8" ht="16.5" thickBot="1">
      <c r="A53" s="1772"/>
      <c r="B53" s="1772"/>
      <c r="C53" s="377" t="s">
        <v>48</v>
      </c>
      <c r="D53" s="388" t="s">
        <v>241</v>
      </c>
      <c r="E53" s="138" t="s">
        <v>554</v>
      </c>
      <c r="F53" s="1774"/>
      <c r="G53" s="1762"/>
      <c r="H53" s="1764"/>
    </row>
    <row r="54" spans="1:8" ht="16.5" thickBot="1">
      <c r="A54" s="1761" t="s">
        <v>500</v>
      </c>
      <c r="B54" s="1762"/>
      <c r="C54" s="389" t="s">
        <v>134</v>
      </c>
      <c r="D54" s="390" t="s">
        <v>269</v>
      </c>
      <c r="E54" s="391"/>
      <c r="F54" s="1763" t="s">
        <v>501</v>
      </c>
      <c r="G54" s="1762"/>
      <c r="H54" s="1764"/>
    </row>
  </sheetData>
  <mergeCells count="54">
    <mergeCell ref="A18:B20"/>
    <mergeCell ref="F18:H20"/>
    <mergeCell ref="B2:D2"/>
    <mergeCell ref="B3:D3"/>
    <mergeCell ref="B4:D4"/>
    <mergeCell ref="B6:D6"/>
    <mergeCell ref="B8:D8"/>
    <mergeCell ref="A10:B10"/>
    <mergeCell ref="C10:H10"/>
    <mergeCell ref="E12:H13"/>
    <mergeCell ref="A14:B14"/>
    <mergeCell ref="F14:H14"/>
    <mergeCell ref="A15:B17"/>
    <mergeCell ref="F15:H17"/>
    <mergeCell ref="A21:B22"/>
    <mergeCell ref="F21:H22"/>
    <mergeCell ref="A23:B25"/>
    <mergeCell ref="F23:H25"/>
    <mergeCell ref="A26:C26"/>
    <mergeCell ref="F26:H26"/>
    <mergeCell ref="A27:B29"/>
    <mergeCell ref="F27:H29"/>
    <mergeCell ref="A30:B32"/>
    <mergeCell ref="F30:H32"/>
    <mergeCell ref="A33:B33"/>
    <mergeCell ref="F33:H33"/>
    <mergeCell ref="A34:B34"/>
    <mergeCell ref="F34:H34"/>
    <mergeCell ref="A35:B36"/>
    <mergeCell ref="F35:H36"/>
    <mergeCell ref="A37:B39"/>
    <mergeCell ref="F37:H37"/>
    <mergeCell ref="F38:H39"/>
    <mergeCell ref="A49:B50"/>
    <mergeCell ref="F49:H49"/>
    <mergeCell ref="F50:H50"/>
    <mergeCell ref="A40:B42"/>
    <mergeCell ref="F40:H41"/>
    <mergeCell ref="F42:H42"/>
    <mergeCell ref="A43:C43"/>
    <mergeCell ref="F43:H43"/>
    <mergeCell ref="A44:C44"/>
    <mergeCell ref="F44:H44"/>
    <mergeCell ref="A45:B48"/>
    <mergeCell ref="F45:H45"/>
    <mergeCell ref="F46:H46"/>
    <mergeCell ref="F47:H47"/>
    <mergeCell ref="F48:H48"/>
    <mergeCell ref="A51:B53"/>
    <mergeCell ref="F51:H51"/>
    <mergeCell ref="F52:H52"/>
    <mergeCell ref="F53:H53"/>
    <mergeCell ref="A54:B54"/>
    <mergeCell ref="F54:H54"/>
  </mergeCells>
  <dataValidations count="3">
    <dataValidation type="list" allowBlank="1" showErrorMessage="1" sqref="H3">
      <formula1>$N$4:$N$5</formula1>
    </dataValidation>
    <dataValidation type="list" allowBlank="1" showErrorMessage="1" sqref="H2">
      <formula1>$N$2:$N$3</formula1>
    </dataValidation>
    <dataValidation type="list" allowBlank="1" showErrorMessage="1" sqref="H8">
      <formula1>"Enjeu EAU AESN,Enjeu EAU AEAP,Enjeu ZH et prairies AEAP,Enjeu Erosion AEAP,Enjeu Biodiversité MASA"</formula1>
    </dataValidation>
  </dataValidations>
  <hyperlinks>
    <hyperlink ref="J2" location="SOMMAIRE!A1" display="Retour sommaire"/>
    <hyperlink ref="J4" location="SYNTHESE!A1" display="Retour synthèse"/>
  </hyperlink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7E4FF"/>
  </sheetPr>
  <dimension ref="A1:W80"/>
  <sheetViews>
    <sheetView topLeftCell="A40" workbookViewId="0">
      <selection activeCell="F48" sqref="F48:H48"/>
    </sheetView>
  </sheetViews>
  <sheetFormatPr baseColWidth="10" defaultRowHeight="15"/>
  <cols>
    <col min="1" max="1" width="20.42578125" style="1" bestFit="1" customWidth="1"/>
    <col min="2" max="2" width="15.7109375" style="1" customWidth="1"/>
    <col min="3" max="3" width="48.7109375" style="1" customWidth="1"/>
    <col min="4" max="4" width="8.7109375" style="1" customWidth="1"/>
    <col min="5" max="5" width="7.5703125" style="1" customWidth="1"/>
    <col min="6" max="6" width="16.28515625" style="1" bestFit="1" customWidth="1"/>
    <col min="7" max="7" width="32.5703125" style="1" bestFit="1" customWidth="1"/>
    <col min="8" max="8" width="75.85546875" bestFit="1" customWidth="1"/>
    <col min="10" max="10" width="16.42578125" bestFit="1" customWidth="1"/>
  </cols>
  <sheetData>
    <row r="1" spans="1:23" ht="15.75" thickBot="1">
      <c r="A1"/>
      <c r="B1"/>
      <c r="C1"/>
      <c r="D1"/>
      <c r="E1" s="108"/>
      <c r="F1"/>
      <c r="G1"/>
    </row>
    <row r="2" spans="1:23" ht="15.75" thickBot="1">
      <c r="A2" s="328" t="s">
        <v>0</v>
      </c>
      <c r="B2" s="1807" t="s">
        <v>699</v>
      </c>
      <c r="C2" s="1776"/>
      <c r="D2" s="1777"/>
      <c r="E2" s="407"/>
      <c r="F2" s="329"/>
      <c r="G2" s="330" t="s">
        <v>462</v>
      </c>
      <c r="H2" s="503" t="s">
        <v>14</v>
      </c>
      <c r="J2" s="11" t="s">
        <v>73</v>
      </c>
      <c r="K2" s="1251"/>
    </row>
    <row r="3" spans="1:23" ht="15.75" thickBot="1">
      <c r="A3" s="331" t="s">
        <v>344</v>
      </c>
      <c r="B3" s="1807" t="s">
        <v>699</v>
      </c>
      <c r="C3" s="1776"/>
      <c r="D3" s="1777"/>
      <c r="E3" s="407"/>
      <c r="F3" s="329"/>
      <c r="G3" s="332" t="s">
        <v>10</v>
      </c>
      <c r="H3" s="112" t="s">
        <v>16</v>
      </c>
      <c r="J3" s="1251"/>
      <c r="K3" s="1251"/>
    </row>
    <row r="4" spans="1:23" ht="15.75" thickBot="1">
      <c r="A4" s="332" t="s">
        <v>3</v>
      </c>
      <c r="B4" s="1809" t="s">
        <v>700</v>
      </c>
      <c r="C4" s="1776"/>
      <c r="D4" s="1777"/>
      <c r="E4" s="409"/>
      <c r="F4" s="329"/>
      <c r="G4" s="334" t="s">
        <v>26</v>
      </c>
      <c r="H4" s="392">
        <v>10</v>
      </c>
      <c r="J4" s="13" t="s">
        <v>381</v>
      </c>
      <c r="K4" s="1251"/>
    </row>
    <row r="5" spans="1:23" ht="23.25" customHeight="1" thickBot="1">
      <c r="A5" s="329"/>
      <c r="B5" s="329"/>
      <c r="C5" s="329"/>
      <c r="D5" s="329"/>
      <c r="E5" s="407"/>
      <c r="F5" s="329"/>
      <c r="G5" s="329"/>
      <c r="H5" s="329"/>
    </row>
    <row r="6" spans="1:23" ht="21.75" customHeight="1" thickBot="1">
      <c r="A6" s="328" t="s">
        <v>465</v>
      </c>
      <c r="B6" s="1810" t="s">
        <v>1590</v>
      </c>
      <c r="C6" s="1776"/>
      <c r="D6" s="1777"/>
      <c r="E6" s="407"/>
      <c r="F6" s="329"/>
      <c r="G6" s="335" t="s">
        <v>466</v>
      </c>
      <c r="H6" s="178" t="s">
        <v>701</v>
      </c>
    </row>
    <row r="7" spans="1:23" ht="15.75" thickBot="1">
      <c r="A7"/>
      <c r="B7" s="329"/>
      <c r="C7" s="329"/>
      <c r="D7" s="329"/>
      <c r="E7" s="407"/>
      <c r="F7" s="329"/>
      <c r="G7" s="337"/>
      <c r="H7" s="329"/>
    </row>
    <row r="8" spans="1:23" ht="30.75" thickBot="1">
      <c r="A8" s="338" t="s">
        <v>7</v>
      </c>
      <c r="B8" s="1809" t="s">
        <v>702</v>
      </c>
      <c r="C8" s="1776"/>
      <c r="D8" s="1777"/>
      <c r="E8" s="409"/>
      <c r="F8" s="339"/>
      <c r="G8" s="338" t="s">
        <v>469</v>
      </c>
      <c r="H8" s="123" t="s">
        <v>537</v>
      </c>
    </row>
    <row r="9" spans="1:23">
      <c r="A9"/>
      <c r="B9" s="329"/>
      <c r="C9" s="329"/>
      <c r="D9" s="329"/>
      <c r="E9" s="407"/>
      <c r="F9" s="329"/>
      <c r="G9" s="337"/>
      <c r="H9" s="329"/>
    </row>
    <row r="10" spans="1:23" ht="261" customHeight="1">
      <c r="A10" s="1813" t="s">
        <v>471</v>
      </c>
      <c r="B10" s="1772"/>
      <c r="C10" s="1805" t="s">
        <v>703</v>
      </c>
      <c r="D10" s="1805"/>
      <c r="E10" s="1805"/>
      <c r="F10" s="1805"/>
      <c r="G10" s="1805"/>
      <c r="H10" s="1805"/>
      <c r="I10" s="1259"/>
    </row>
    <row r="11" spans="1:23">
      <c r="A11" s="343"/>
      <c r="B11" s="333"/>
      <c r="C11" s="333"/>
      <c r="D11" s="333"/>
      <c r="E11" s="409"/>
      <c r="F11" s="339"/>
      <c r="G11" s="342"/>
      <c r="H11" s="342"/>
    </row>
    <row r="12" spans="1:23">
      <c r="A12" s="343"/>
      <c r="B12" s="333"/>
      <c r="C12" s="333"/>
      <c r="D12" s="333"/>
      <c r="E12" s="1814" t="s">
        <v>473</v>
      </c>
      <c r="F12" s="1772"/>
      <c r="G12" s="1772"/>
      <c r="H12" s="1772"/>
      <c r="I12" t="s">
        <v>420</v>
      </c>
    </row>
    <row r="13" spans="1:23" ht="15" customHeight="1">
      <c r="A13" s="329"/>
      <c r="B13" s="329"/>
      <c r="C13" s="329"/>
      <c r="D13" s="329"/>
      <c r="E13" s="1780"/>
      <c r="F13" s="1780"/>
      <c r="G13" s="1780"/>
      <c r="H13" s="1780"/>
      <c r="I13" s="1817">
        <v>2025</v>
      </c>
      <c r="J13" s="2049"/>
      <c r="K13" s="2049"/>
      <c r="L13" s="2049"/>
      <c r="M13" s="2415"/>
      <c r="N13" s="1817">
        <v>2026</v>
      </c>
      <c r="O13" s="2049"/>
      <c r="P13" s="2049"/>
      <c r="Q13" s="2049"/>
      <c r="R13" s="2415"/>
      <c r="S13" s="1817">
        <v>2027</v>
      </c>
      <c r="T13" s="2049"/>
      <c r="U13" s="2049"/>
      <c r="V13" s="2049"/>
      <c r="W13" s="2415"/>
    </row>
    <row r="14" spans="1:23" ht="30" customHeight="1" thickBot="1">
      <c r="A14" s="1816" t="s">
        <v>5</v>
      </c>
      <c r="B14" s="1792"/>
      <c r="C14" s="344" t="s">
        <v>1</v>
      </c>
      <c r="D14" s="344" t="s">
        <v>260</v>
      </c>
      <c r="E14" s="345" t="s">
        <v>474</v>
      </c>
      <c r="F14" s="1815" t="s">
        <v>6</v>
      </c>
      <c r="G14" s="1762"/>
      <c r="H14" s="1764"/>
      <c r="I14" s="643" t="s">
        <v>474</v>
      </c>
      <c r="J14" s="644" t="s">
        <v>944</v>
      </c>
      <c r="K14" s="645" t="s">
        <v>945</v>
      </c>
      <c r="L14" s="644" t="s">
        <v>946</v>
      </c>
      <c r="M14" s="646" t="s">
        <v>947</v>
      </c>
      <c r="N14" s="643" t="s">
        <v>474</v>
      </c>
      <c r="O14" s="644" t="s">
        <v>944</v>
      </c>
      <c r="P14" s="645" t="s">
        <v>945</v>
      </c>
      <c r="Q14" s="644" t="s">
        <v>946</v>
      </c>
      <c r="R14" s="646" t="s">
        <v>947</v>
      </c>
      <c r="S14" s="643" t="s">
        <v>474</v>
      </c>
      <c r="T14" s="644" t="s">
        <v>944</v>
      </c>
      <c r="U14" s="645" t="s">
        <v>945</v>
      </c>
      <c r="V14" s="644" t="s">
        <v>946</v>
      </c>
      <c r="W14" s="646" t="s">
        <v>947</v>
      </c>
    </row>
    <row r="15" spans="1:23" ht="30" customHeight="1">
      <c r="A15" s="1804" t="s">
        <v>17</v>
      </c>
      <c r="B15" s="1771"/>
      <c r="C15" s="346" t="s">
        <v>59</v>
      </c>
      <c r="D15" s="347" t="s">
        <v>251</v>
      </c>
      <c r="E15" s="500"/>
      <c r="F15" s="1791" t="s">
        <v>475</v>
      </c>
      <c r="G15" s="1771"/>
      <c r="H15" s="1792"/>
      <c r="I15" s="530"/>
      <c r="J15" s="708"/>
      <c r="K15" s="708"/>
      <c r="L15" s="708"/>
      <c r="M15" s="768"/>
      <c r="N15" s="530"/>
      <c r="O15" s="708"/>
      <c r="P15" s="708"/>
      <c r="Q15" s="708"/>
      <c r="R15" s="768"/>
      <c r="S15" s="530"/>
      <c r="T15" s="708"/>
      <c r="U15" s="708"/>
      <c r="V15" s="708"/>
      <c r="W15" s="769"/>
    </row>
    <row r="16" spans="1:23" ht="15" customHeight="1">
      <c r="A16" s="1772"/>
      <c r="B16" s="1772"/>
      <c r="C16" s="349" t="s">
        <v>18</v>
      </c>
      <c r="D16" s="350" t="s">
        <v>168</v>
      </c>
      <c r="E16" s="504"/>
      <c r="F16" s="1845"/>
      <c r="G16" s="1845"/>
      <c r="H16" s="1799"/>
      <c r="I16" s="696"/>
      <c r="J16" s="698"/>
      <c r="K16" s="698"/>
      <c r="L16" s="698"/>
      <c r="M16" s="698"/>
      <c r="N16" s="696"/>
      <c r="O16" s="698"/>
      <c r="P16" s="698"/>
      <c r="Q16" s="698"/>
      <c r="R16" s="698"/>
      <c r="S16" s="696"/>
      <c r="T16" s="698"/>
      <c r="U16" s="698"/>
      <c r="V16" s="698"/>
      <c r="W16" s="770"/>
    </row>
    <row r="17" spans="1:23" ht="63" customHeight="1" thickBot="1">
      <c r="A17" s="1780"/>
      <c r="B17" s="1780"/>
      <c r="C17" s="352" t="s">
        <v>19</v>
      </c>
      <c r="D17" s="353" t="s">
        <v>233</v>
      </c>
      <c r="E17" s="494"/>
      <c r="F17" s="1780"/>
      <c r="G17" s="1780"/>
      <c r="H17" s="1793"/>
      <c r="I17" s="697"/>
      <c r="J17" s="698"/>
      <c r="K17" s="698"/>
      <c r="L17" s="698"/>
      <c r="M17" s="698"/>
      <c r="N17" s="697"/>
      <c r="O17" s="698"/>
      <c r="P17" s="698"/>
      <c r="Q17" s="698"/>
      <c r="R17" s="698"/>
      <c r="S17" s="697"/>
      <c r="T17" s="698"/>
      <c r="U17" s="698"/>
      <c r="V17" s="698"/>
      <c r="W17" s="770"/>
    </row>
    <row r="18" spans="1:23" ht="15" customHeight="1">
      <c r="A18" s="1804" t="s">
        <v>20</v>
      </c>
      <c r="B18" s="1771"/>
      <c r="C18" s="346" t="s">
        <v>54</v>
      </c>
      <c r="D18" s="353" t="s">
        <v>261</v>
      </c>
      <c r="E18" s="494"/>
      <c r="F18" s="1791" t="s">
        <v>475</v>
      </c>
      <c r="G18" s="1771"/>
      <c r="H18" s="1792"/>
      <c r="I18" s="697"/>
      <c r="J18" s="698"/>
      <c r="K18" s="698"/>
      <c r="L18" s="698"/>
      <c r="M18" s="698"/>
      <c r="N18" s="697"/>
      <c r="O18" s="698"/>
      <c r="P18" s="698"/>
      <c r="Q18" s="698"/>
      <c r="R18" s="698"/>
      <c r="S18" s="697"/>
      <c r="T18" s="698"/>
      <c r="U18" s="698"/>
      <c r="V18" s="698"/>
      <c r="W18" s="770"/>
    </row>
    <row r="19" spans="1:23">
      <c r="A19" s="1772"/>
      <c r="B19" s="1772"/>
      <c r="C19" s="355" t="s">
        <v>21</v>
      </c>
      <c r="D19" s="353" t="s">
        <v>234</v>
      </c>
      <c r="E19" s="494"/>
      <c r="F19" s="1845"/>
      <c r="G19" s="1845"/>
      <c r="H19" s="1799"/>
      <c r="I19" s="697"/>
      <c r="J19" s="698"/>
      <c r="K19" s="698"/>
      <c r="L19" s="698"/>
      <c r="M19" s="698"/>
      <c r="N19" s="697"/>
      <c r="O19" s="698"/>
      <c r="P19" s="698"/>
      <c r="Q19" s="698"/>
      <c r="R19" s="698"/>
      <c r="S19" s="697"/>
      <c r="T19" s="698"/>
      <c r="U19" s="698"/>
      <c r="V19" s="698"/>
      <c r="W19" s="770"/>
    </row>
    <row r="20" spans="1:23" ht="15.75" thickBot="1">
      <c r="A20" s="1772"/>
      <c r="B20" s="1772"/>
      <c r="C20" s="352" t="s">
        <v>22</v>
      </c>
      <c r="D20" s="353" t="s">
        <v>235</v>
      </c>
      <c r="E20" s="494"/>
      <c r="F20" s="1780"/>
      <c r="G20" s="1780"/>
      <c r="H20" s="1793"/>
      <c r="I20" s="697"/>
      <c r="J20" s="698"/>
      <c r="K20" s="698"/>
      <c r="L20" s="698"/>
      <c r="M20" s="698"/>
      <c r="N20" s="697"/>
      <c r="O20" s="698"/>
      <c r="P20" s="698"/>
      <c r="Q20" s="698"/>
      <c r="R20" s="698"/>
      <c r="S20" s="697"/>
      <c r="T20" s="698"/>
      <c r="U20" s="698"/>
      <c r="V20" s="698"/>
      <c r="W20" s="770"/>
    </row>
    <row r="21" spans="1:23" ht="15" customHeight="1">
      <c r="A21" s="1804" t="s">
        <v>23</v>
      </c>
      <c r="B21" s="1771"/>
      <c r="C21" s="356" t="s">
        <v>69</v>
      </c>
      <c r="D21" s="353" t="s">
        <v>267</v>
      </c>
      <c r="E21" s="494"/>
      <c r="F21" s="1791" t="s">
        <v>477</v>
      </c>
      <c r="G21" s="1771"/>
      <c r="H21" s="1792"/>
      <c r="I21" s="697"/>
      <c r="J21" s="698"/>
      <c r="K21" s="698"/>
      <c r="L21" s="698"/>
      <c r="M21" s="698"/>
      <c r="N21" s="697"/>
      <c r="O21" s="698"/>
      <c r="P21" s="698"/>
      <c r="Q21" s="698"/>
      <c r="R21" s="698"/>
      <c r="S21" s="697"/>
      <c r="T21" s="698"/>
      <c r="U21" s="698"/>
      <c r="V21" s="698"/>
      <c r="W21" s="770"/>
    </row>
    <row r="22" spans="1:23" ht="15" customHeight="1" thickBot="1">
      <c r="A22" s="1780"/>
      <c r="B22" s="1780"/>
      <c r="C22" s="357" t="s">
        <v>24</v>
      </c>
      <c r="D22" s="358" t="s">
        <v>236</v>
      </c>
      <c r="E22" s="494"/>
      <c r="F22" s="1780"/>
      <c r="G22" s="1780"/>
      <c r="H22" s="1793"/>
      <c r="I22" s="697"/>
      <c r="J22" s="698"/>
      <c r="K22" s="698"/>
      <c r="L22" s="698"/>
      <c r="M22" s="698"/>
      <c r="N22" s="697"/>
      <c r="O22" s="698"/>
      <c r="P22" s="698"/>
      <c r="Q22" s="698"/>
      <c r="R22" s="698"/>
      <c r="S22" s="697"/>
      <c r="T22" s="698"/>
      <c r="U22" s="698"/>
      <c r="V22" s="698"/>
      <c r="W22" s="770"/>
    </row>
    <row r="23" spans="1:23" ht="30" customHeight="1">
      <c r="A23" s="1801" t="s">
        <v>478</v>
      </c>
      <c r="B23" s="1792"/>
      <c r="C23" s="359" t="s">
        <v>360</v>
      </c>
      <c r="D23" s="358" t="s">
        <v>265</v>
      </c>
      <c r="E23" s="494"/>
      <c r="F23" s="1791" t="s">
        <v>477</v>
      </c>
      <c r="G23" s="1771"/>
      <c r="H23" s="1792"/>
      <c r="I23" s="697"/>
      <c r="J23" s="698"/>
      <c r="K23" s="698"/>
      <c r="L23" s="698"/>
      <c r="M23" s="698"/>
      <c r="N23" s="697"/>
      <c r="O23" s="698"/>
      <c r="P23" s="698"/>
      <c r="Q23" s="698"/>
      <c r="R23" s="698"/>
      <c r="S23" s="697"/>
      <c r="T23" s="698"/>
      <c r="U23" s="698"/>
      <c r="V23" s="698"/>
      <c r="W23" s="770"/>
    </row>
    <row r="24" spans="1:23" ht="30" customHeight="1">
      <c r="A24" s="1779"/>
      <c r="B24" s="1799"/>
      <c r="C24" s="360" t="s">
        <v>361</v>
      </c>
      <c r="D24" s="358" t="s">
        <v>362</v>
      </c>
      <c r="E24" s="494"/>
      <c r="F24" s="1845"/>
      <c r="G24" s="1845"/>
      <c r="H24" s="1799"/>
      <c r="I24" s="697"/>
      <c r="J24" s="698"/>
      <c r="K24" s="698"/>
      <c r="L24" s="698"/>
      <c r="M24" s="698"/>
      <c r="N24" s="697"/>
      <c r="O24" s="698"/>
      <c r="P24" s="698"/>
      <c r="Q24" s="698"/>
      <c r="R24" s="698"/>
      <c r="S24" s="697"/>
      <c r="T24" s="698"/>
      <c r="U24" s="698"/>
      <c r="V24" s="698"/>
      <c r="W24" s="770"/>
    </row>
    <row r="25" spans="1:23" ht="30" customHeight="1" thickBot="1">
      <c r="A25" s="1779"/>
      <c r="B25" s="1799"/>
      <c r="C25" s="361" t="s">
        <v>479</v>
      </c>
      <c r="D25" s="358" t="s">
        <v>480</v>
      </c>
      <c r="E25" s="494"/>
      <c r="F25" s="1780"/>
      <c r="G25" s="1780"/>
      <c r="H25" s="1793"/>
      <c r="I25" s="697"/>
      <c r="J25" s="698"/>
      <c r="K25" s="698"/>
      <c r="L25" s="698"/>
      <c r="M25" s="698"/>
      <c r="N25" s="697"/>
      <c r="O25" s="698"/>
      <c r="P25" s="698"/>
      <c r="Q25" s="698"/>
      <c r="R25" s="698"/>
      <c r="S25" s="697"/>
      <c r="T25" s="698"/>
      <c r="U25" s="698"/>
      <c r="V25" s="698"/>
      <c r="W25" s="770"/>
    </row>
    <row r="26" spans="1:23" ht="15.75" thickBot="1">
      <c r="A26" s="1802" t="s">
        <v>25</v>
      </c>
      <c r="B26" s="1776"/>
      <c r="C26" s="1777"/>
      <c r="D26" s="362" t="s">
        <v>270</v>
      </c>
      <c r="E26" s="494"/>
      <c r="F26" s="1763" t="s">
        <v>481</v>
      </c>
      <c r="G26" s="1762"/>
      <c r="H26" s="1764"/>
      <c r="I26" s="697"/>
      <c r="J26" s="698"/>
      <c r="K26" s="698"/>
      <c r="L26" s="698"/>
      <c r="M26" s="698"/>
      <c r="N26" s="697"/>
      <c r="O26" s="698"/>
      <c r="P26" s="698"/>
      <c r="Q26" s="698"/>
      <c r="R26" s="698"/>
      <c r="S26" s="697"/>
      <c r="T26" s="698"/>
      <c r="U26" s="698"/>
      <c r="V26" s="698"/>
      <c r="W26" s="770"/>
    </row>
    <row r="27" spans="1:23" ht="15.75">
      <c r="A27" s="1803" t="s">
        <v>153</v>
      </c>
      <c r="B27" s="1788"/>
      <c r="C27" s="363" t="s">
        <v>152</v>
      </c>
      <c r="D27" s="364" t="s">
        <v>268</v>
      </c>
      <c r="E27" s="494"/>
      <c r="F27" s="1791" t="s">
        <v>475</v>
      </c>
      <c r="G27" s="1771"/>
      <c r="H27" s="1792"/>
      <c r="I27" s="697"/>
      <c r="J27" s="698"/>
      <c r="K27" s="698"/>
      <c r="L27" s="698"/>
      <c r="M27" s="698"/>
      <c r="N27" s="697"/>
      <c r="O27" s="698"/>
      <c r="P27" s="698"/>
      <c r="Q27" s="698"/>
      <c r="R27" s="698"/>
      <c r="S27" s="697"/>
      <c r="T27" s="698"/>
      <c r="U27" s="698"/>
      <c r="V27" s="698"/>
      <c r="W27" s="770"/>
    </row>
    <row r="28" spans="1:23" ht="15.75">
      <c r="A28" s="1779"/>
      <c r="B28" s="1788"/>
      <c r="C28" s="365" t="s">
        <v>154</v>
      </c>
      <c r="D28" s="364" t="s">
        <v>392</v>
      </c>
      <c r="E28" s="494"/>
      <c r="F28" s="1845"/>
      <c r="G28" s="1845"/>
      <c r="H28" s="1799"/>
      <c r="I28" s="697"/>
      <c r="J28" s="698"/>
      <c r="K28" s="698"/>
      <c r="L28" s="698"/>
      <c r="M28" s="698"/>
      <c r="N28" s="697"/>
      <c r="O28" s="698"/>
      <c r="P28" s="698"/>
      <c r="Q28" s="698"/>
      <c r="R28" s="698"/>
      <c r="S28" s="697"/>
      <c r="T28" s="698"/>
      <c r="U28" s="698"/>
      <c r="V28" s="698"/>
      <c r="W28" s="770"/>
    </row>
    <row r="29" spans="1:23" ht="16.5" thickBot="1">
      <c r="A29" s="1767"/>
      <c r="B29" s="1768"/>
      <c r="C29" s="366" t="s">
        <v>400</v>
      </c>
      <c r="D29" s="364" t="s">
        <v>393</v>
      </c>
      <c r="E29" s="494"/>
      <c r="F29" s="1780"/>
      <c r="G29" s="1780"/>
      <c r="H29" s="1793"/>
      <c r="I29" s="697"/>
      <c r="J29" s="698"/>
      <c r="K29" s="698"/>
      <c r="L29" s="698"/>
      <c r="M29" s="698"/>
      <c r="N29" s="697"/>
      <c r="O29" s="698"/>
      <c r="P29" s="698"/>
      <c r="Q29" s="698"/>
      <c r="R29" s="698"/>
      <c r="S29" s="697"/>
      <c r="T29" s="698"/>
      <c r="U29" s="698"/>
      <c r="V29" s="698"/>
      <c r="W29" s="770"/>
    </row>
    <row r="30" spans="1:23" ht="15.75">
      <c r="A30" s="1797" t="s">
        <v>153</v>
      </c>
      <c r="B30" s="1766"/>
      <c r="C30" s="367" t="s">
        <v>155</v>
      </c>
      <c r="D30" s="364" t="s">
        <v>266</v>
      </c>
      <c r="E30" s="494"/>
      <c r="F30" s="1791" t="s">
        <v>475</v>
      </c>
      <c r="G30" s="1771"/>
      <c r="H30" s="1792"/>
      <c r="I30" s="697"/>
      <c r="J30" s="698"/>
      <c r="K30" s="698"/>
      <c r="L30" s="698"/>
      <c r="M30" s="698"/>
      <c r="N30" s="697"/>
      <c r="O30" s="698"/>
      <c r="P30" s="698"/>
      <c r="Q30" s="698"/>
      <c r="R30" s="698"/>
      <c r="S30" s="697"/>
      <c r="T30" s="698"/>
      <c r="U30" s="698"/>
      <c r="V30" s="698"/>
      <c r="W30" s="770"/>
    </row>
    <row r="31" spans="1:23" ht="15.75">
      <c r="A31" s="1779"/>
      <c r="B31" s="1788"/>
      <c r="C31" s="365" t="s">
        <v>156</v>
      </c>
      <c r="D31" s="364" t="s">
        <v>394</v>
      </c>
      <c r="E31" s="494"/>
      <c r="F31" s="1845"/>
      <c r="G31" s="1845"/>
      <c r="H31" s="1799"/>
      <c r="I31" s="697"/>
      <c r="J31" s="698"/>
      <c r="K31" s="698"/>
      <c r="L31" s="698"/>
      <c r="M31" s="698"/>
      <c r="N31" s="697"/>
      <c r="O31" s="698"/>
      <c r="P31" s="698"/>
      <c r="Q31" s="698"/>
      <c r="R31" s="698"/>
      <c r="S31" s="697"/>
      <c r="T31" s="698"/>
      <c r="U31" s="698"/>
      <c r="V31" s="698"/>
      <c r="W31" s="770"/>
    </row>
    <row r="32" spans="1:23" ht="16.5" thickBot="1">
      <c r="A32" s="1767"/>
      <c r="B32" s="1768"/>
      <c r="C32" s="366" t="s">
        <v>399</v>
      </c>
      <c r="D32" s="364" t="s">
        <v>395</v>
      </c>
      <c r="E32" s="494"/>
      <c r="F32" s="1780"/>
      <c r="G32" s="1780"/>
      <c r="H32" s="1793"/>
      <c r="I32" s="697"/>
      <c r="J32" s="698"/>
      <c r="K32" s="698"/>
      <c r="L32" s="698"/>
      <c r="M32" s="698"/>
      <c r="N32" s="697"/>
      <c r="O32" s="698"/>
      <c r="P32" s="698"/>
      <c r="Q32" s="698"/>
      <c r="R32" s="698"/>
      <c r="S32" s="697"/>
      <c r="T32" s="698"/>
      <c r="U32" s="698"/>
      <c r="V32" s="698"/>
      <c r="W32" s="770"/>
    </row>
    <row r="33" spans="1:23" ht="16.5" thickBot="1">
      <c r="A33" s="1797" t="s">
        <v>482</v>
      </c>
      <c r="B33" s="1766"/>
      <c r="C33" s="367" t="s">
        <v>365</v>
      </c>
      <c r="D33" s="364" t="s">
        <v>252</v>
      </c>
      <c r="E33" s="494"/>
      <c r="F33" s="1791" t="s">
        <v>483</v>
      </c>
      <c r="G33" s="1771"/>
      <c r="H33" s="1792"/>
      <c r="I33" s="697"/>
      <c r="J33" s="698"/>
      <c r="K33" s="698"/>
      <c r="L33" s="698"/>
      <c r="M33" s="698"/>
      <c r="N33" s="697"/>
      <c r="O33" s="698"/>
      <c r="P33" s="698"/>
      <c r="Q33" s="698"/>
      <c r="R33" s="698"/>
      <c r="S33" s="697"/>
      <c r="T33" s="698"/>
      <c r="U33" s="698"/>
      <c r="V33" s="698"/>
      <c r="W33" s="770"/>
    </row>
    <row r="34" spans="1:23" ht="16.5" thickBot="1">
      <c r="A34" s="1797" t="s">
        <v>484</v>
      </c>
      <c r="B34" s="1766"/>
      <c r="C34" s="367" t="s">
        <v>485</v>
      </c>
      <c r="D34" s="364" t="s">
        <v>264</v>
      </c>
      <c r="E34" s="494"/>
      <c r="F34" s="1800"/>
      <c r="G34" s="1771"/>
      <c r="H34" s="1792"/>
      <c r="I34" s="697"/>
      <c r="J34" s="698"/>
      <c r="K34" s="698"/>
      <c r="L34" s="698"/>
      <c r="M34" s="698"/>
      <c r="N34" s="697"/>
      <c r="O34" s="698"/>
      <c r="P34" s="698"/>
      <c r="Q34" s="698"/>
      <c r="R34" s="698"/>
      <c r="S34" s="697"/>
      <c r="T34" s="698"/>
      <c r="U34" s="698"/>
      <c r="V34" s="698"/>
      <c r="W34" s="770"/>
    </row>
    <row r="35" spans="1:23" ht="15.75">
      <c r="A35" s="1795" t="s">
        <v>486</v>
      </c>
      <c r="B35" s="1766"/>
      <c r="C35" s="368" t="s">
        <v>43</v>
      </c>
      <c r="D35" s="369" t="s">
        <v>256</v>
      </c>
      <c r="E35" s="494"/>
      <c r="F35" s="1791" t="s">
        <v>487</v>
      </c>
      <c r="G35" s="1771"/>
      <c r="H35" s="1792"/>
      <c r="I35" s="697"/>
      <c r="J35" s="698"/>
      <c r="K35" s="698"/>
      <c r="L35" s="698"/>
      <c r="M35" s="698"/>
      <c r="N35" s="697"/>
      <c r="O35" s="698"/>
      <c r="P35" s="698"/>
      <c r="Q35" s="698"/>
      <c r="R35" s="698"/>
      <c r="S35" s="697"/>
      <c r="T35" s="698"/>
      <c r="U35" s="698"/>
      <c r="V35" s="698"/>
      <c r="W35" s="770"/>
    </row>
    <row r="36" spans="1:23" ht="16.5" thickBot="1">
      <c r="A36" s="1767"/>
      <c r="B36" s="1768"/>
      <c r="C36" s="370" t="s">
        <v>60</v>
      </c>
      <c r="D36" s="369" t="s">
        <v>257</v>
      </c>
      <c r="E36" s="494"/>
      <c r="F36" s="1780"/>
      <c r="G36" s="1780"/>
      <c r="H36" s="1793"/>
      <c r="I36" s="697"/>
      <c r="J36" s="698"/>
      <c r="K36" s="698"/>
      <c r="L36" s="698"/>
      <c r="M36" s="698"/>
      <c r="N36" s="697"/>
      <c r="O36" s="698"/>
      <c r="P36" s="698"/>
      <c r="Q36" s="698"/>
      <c r="R36" s="698"/>
      <c r="S36" s="697"/>
      <c r="T36" s="698"/>
      <c r="U36" s="698"/>
      <c r="V36" s="698"/>
      <c r="W36" s="770"/>
    </row>
    <row r="37" spans="1:23" ht="30">
      <c r="A37" s="1796" t="s">
        <v>33</v>
      </c>
      <c r="B37" s="1771"/>
      <c r="C37" s="371" t="s">
        <v>30</v>
      </c>
      <c r="D37" s="372" t="s">
        <v>170</v>
      </c>
      <c r="E37" s="505" t="s">
        <v>277</v>
      </c>
      <c r="F37" s="1820" t="s">
        <v>704</v>
      </c>
      <c r="G37" s="1771"/>
      <c r="H37" s="1792"/>
      <c r="I37" s="704" t="s">
        <v>277</v>
      </c>
      <c r="J37" s="698">
        <v>6</v>
      </c>
      <c r="K37" s="698">
        <v>2</v>
      </c>
      <c r="L37" s="698">
        <v>745</v>
      </c>
      <c r="M37" s="698">
        <f>+L37*605</f>
        <v>450725</v>
      </c>
      <c r="N37" s="704" t="s">
        <v>277</v>
      </c>
      <c r="O37" s="698">
        <v>5</v>
      </c>
      <c r="P37" s="698">
        <v>1</v>
      </c>
      <c r="Q37" s="698">
        <v>559</v>
      </c>
      <c r="R37" s="698">
        <f>+Q37*605</f>
        <v>338195</v>
      </c>
      <c r="S37" s="704" t="s">
        <v>277</v>
      </c>
      <c r="T37" s="698">
        <v>6</v>
      </c>
      <c r="U37" s="698">
        <v>1</v>
      </c>
      <c r="V37" s="698">
        <v>668</v>
      </c>
      <c r="W37" s="698">
        <f>+V37*605</f>
        <v>404140</v>
      </c>
    </row>
    <row r="38" spans="1:23" ht="30">
      <c r="A38" s="1779"/>
      <c r="B38" s="1772"/>
      <c r="C38" s="373" t="s">
        <v>31</v>
      </c>
      <c r="D38" s="372" t="s">
        <v>169</v>
      </c>
      <c r="E38" s="505" t="s">
        <v>277</v>
      </c>
      <c r="F38" s="2119" t="s">
        <v>705</v>
      </c>
      <c r="G38" s="2408"/>
      <c r="H38" s="2409"/>
      <c r="I38" s="704" t="s">
        <v>277</v>
      </c>
      <c r="J38" s="698">
        <v>8</v>
      </c>
      <c r="K38" s="698">
        <v>2</v>
      </c>
      <c r="L38" s="698">
        <v>804</v>
      </c>
      <c r="M38" s="698">
        <f>+L38*885</f>
        <v>711540</v>
      </c>
      <c r="N38" s="704" t="s">
        <v>277</v>
      </c>
      <c r="O38" s="698">
        <v>6</v>
      </c>
      <c r="P38" s="698">
        <v>2</v>
      </c>
      <c r="Q38" s="698">
        <v>603</v>
      </c>
      <c r="R38" s="698">
        <f>+Q38*885</f>
        <v>533655</v>
      </c>
      <c r="S38" s="704" t="s">
        <v>277</v>
      </c>
      <c r="T38" s="698">
        <v>9</v>
      </c>
      <c r="U38" s="698">
        <v>1</v>
      </c>
      <c r="V38" s="698">
        <v>898</v>
      </c>
      <c r="W38" s="698">
        <f>+V38*885</f>
        <v>794730</v>
      </c>
    </row>
    <row r="39" spans="1:23" ht="30.75" thickBot="1">
      <c r="A39" s="1779"/>
      <c r="B39" s="1772"/>
      <c r="C39" s="374" t="s">
        <v>32</v>
      </c>
      <c r="D39" s="372" t="s">
        <v>250</v>
      </c>
      <c r="E39" s="505" t="s">
        <v>277</v>
      </c>
      <c r="F39" s="2410" t="s">
        <v>706</v>
      </c>
      <c r="G39" s="2411"/>
      <c r="H39" s="2412"/>
      <c r="I39" s="704" t="s">
        <v>277</v>
      </c>
      <c r="J39" s="698">
        <v>18</v>
      </c>
      <c r="K39" s="698">
        <v>6</v>
      </c>
      <c r="L39" s="698">
        <v>1313</v>
      </c>
      <c r="M39" s="698">
        <f>+L39*1165</f>
        <v>1529645</v>
      </c>
      <c r="N39" s="704" t="s">
        <v>277</v>
      </c>
      <c r="O39" s="698">
        <v>14</v>
      </c>
      <c r="P39" s="698">
        <v>4</v>
      </c>
      <c r="Q39" s="698">
        <v>985</v>
      </c>
      <c r="R39" s="698">
        <f>+Q39*1165</f>
        <v>1147525</v>
      </c>
      <c r="S39" s="704" t="s">
        <v>277</v>
      </c>
      <c r="T39" s="698">
        <v>14</v>
      </c>
      <c r="U39" s="698">
        <v>3</v>
      </c>
      <c r="V39" s="698">
        <v>1383</v>
      </c>
      <c r="W39" s="698">
        <f>+V39*1165</f>
        <v>1611195</v>
      </c>
    </row>
    <row r="40" spans="1:23" ht="50.25" customHeight="1">
      <c r="A40" s="1786" t="s">
        <v>491</v>
      </c>
      <c r="B40" s="1787"/>
      <c r="C40" s="375" t="s">
        <v>144</v>
      </c>
      <c r="D40" s="376" t="s">
        <v>253</v>
      </c>
      <c r="E40" s="505" t="s">
        <v>277</v>
      </c>
      <c r="F40" s="2402" t="s">
        <v>707</v>
      </c>
      <c r="G40" s="2403"/>
      <c r="H40" s="2404"/>
      <c r="I40" s="704" t="s">
        <v>277</v>
      </c>
      <c r="J40" s="698">
        <v>1</v>
      </c>
      <c r="K40" s="698">
        <v>1</v>
      </c>
      <c r="L40" s="698">
        <v>10</v>
      </c>
      <c r="M40" s="698">
        <f>+L40*750</f>
        <v>7500</v>
      </c>
      <c r="N40" s="704" t="s">
        <v>277</v>
      </c>
      <c r="O40" s="698">
        <v>1</v>
      </c>
      <c r="P40" s="698">
        <v>1</v>
      </c>
      <c r="Q40" s="698">
        <v>7</v>
      </c>
      <c r="R40" s="698">
        <f>+Q40*750</f>
        <v>5250</v>
      </c>
      <c r="S40" s="704" t="s">
        <v>277</v>
      </c>
      <c r="T40" s="698">
        <v>1</v>
      </c>
      <c r="U40" s="698">
        <v>1</v>
      </c>
      <c r="V40" s="698">
        <v>39</v>
      </c>
      <c r="W40" s="698">
        <f>+V40*750</f>
        <v>29250</v>
      </c>
    </row>
    <row r="41" spans="1:23" ht="16.5" thickBot="1">
      <c r="A41" s="1772"/>
      <c r="B41" s="1788"/>
      <c r="C41" s="377" t="s">
        <v>145</v>
      </c>
      <c r="D41" s="376" t="s">
        <v>254</v>
      </c>
      <c r="E41" s="505" t="s">
        <v>277</v>
      </c>
      <c r="F41" s="2405" t="s">
        <v>708</v>
      </c>
      <c r="G41" s="2406"/>
      <c r="H41" s="2407"/>
      <c r="I41" s="704" t="s">
        <v>277</v>
      </c>
      <c r="J41" s="698">
        <v>1</v>
      </c>
      <c r="K41" s="698">
        <v>1</v>
      </c>
      <c r="L41" s="698">
        <v>5</v>
      </c>
      <c r="M41" s="698">
        <f>+L41*1005</f>
        <v>5025</v>
      </c>
      <c r="N41" s="704" t="s">
        <v>277</v>
      </c>
      <c r="O41" s="698">
        <v>1</v>
      </c>
      <c r="P41" s="698">
        <v>1</v>
      </c>
      <c r="Q41" s="698">
        <v>4</v>
      </c>
      <c r="R41" s="698">
        <f>+Q41*1005</f>
        <v>4020</v>
      </c>
      <c r="S41" s="704" t="s">
        <v>277</v>
      </c>
      <c r="T41" s="698">
        <v>1</v>
      </c>
      <c r="U41" s="698">
        <v>1</v>
      </c>
      <c r="V41" s="698">
        <v>19</v>
      </c>
      <c r="W41" s="698">
        <f>+V41*1005</f>
        <v>19095</v>
      </c>
    </row>
    <row r="42" spans="1:23" ht="48" thickBot="1">
      <c r="A42" s="1789"/>
      <c r="B42" s="1790"/>
      <c r="C42" s="378" t="s">
        <v>128</v>
      </c>
      <c r="D42" s="376" t="s">
        <v>262</v>
      </c>
      <c r="E42" s="494"/>
      <c r="F42" s="1794"/>
      <c r="G42" s="1762"/>
      <c r="H42" s="1764"/>
      <c r="I42" s="697"/>
      <c r="J42" s="698"/>
      <c r="K42" s="698"/>
      <c r="L42" s="698"/>
      <c r="M42" s="698"/>
      <c r="N42" s="697"/>
      <c r="O42" s="698"/>
      <c r="P42" s="698"/>
      <c r="Q42" s="698"/>
      <c r="R42" s="698"/>
      <c r="S42" s="697"/>
      <c r="T42" s="698"/>
      <c r="U42" s="698"/>
      <c r="V42" s="698"/>
      <c r="W42" s="698"/>
    </row>
    <row r="43" spans="1:23" ht="15.75" thickBot="1">
      <c r="A43" s="1775" t="s">
        <v>493</v>
      </c>
      <c r="B43" s="1776"/>
      <c r="C43" s="1777"/>
      <c r="D43" s="379" t="s">
        <v>237</v>
      </c>
      <c r="E43" s="417"/>
      <c r="F43" s="1818" t="s">
        <v>631</v>
      </c>
      <c r="G43" s="1762"/>
      <c r="H43" s="1764"/>
      <c r="I43" s="697"/>
      <c r="J43" s="698"/>
      <c r="K43" s="698"/>
      <c r="L43" s="698"/>
      <c r="M43" s="698"/>
      <c r="N43" s="697"/>
      <c r="O43" s="698"/>
      <c r="P43" s="698"/>
      <c r="Q43" s="698"/>
      <c r="R43" s="698"/>
      <c r="S43" s="697"/>
      <c r="T43" s="698"/>
      <c r="U43" s="698"/>
      <c r="V43" s="698"/>
      <c r="W43" s="698"/>
    </row>
    <row r="44" spans="1:23" ht="15.75" thickBot="1">
      <c r="A44" s="1775" t="s">
        <v>133</v>
      </c>
      <c r="B44" s="1776"/>
      <c r="C44" s="1777"/>
      <c r="D44" s="379" t="s">
        <v>238</v>
      </c>
      <c r="E44" s="417"/>
      <c r="F44" s="1763" t="s">
        <v>495</v>
      </c>
      <c r="G44" s="1762"/>
      <c r="H44" s="1764"/>
      <c r="I44" s="697"/>
      <c r="J44" s="698"/>
      <c r="K44" s="698"/>
      <c r="L44" s="698"/>
      <c r="M44" s="698"/>
      <c r="N44" s="697"/>
      <c r="O44" s="698"/>
      <c r="P44" s="698"/>
      <c r="Q44" s="698"/>
      <c r="R44" s="698"/>
      <c r="S44" s="697"/>
      <c r="T44" s="698"/>
      <c r="U44" s="698"/>
      <c r="V44" s="698"/>
      <c r="W44" s="698"/>
    </row>
    <row r="45" spans="1:23">
      <c r="A45" s="1778" t="s">
        <v>41</v>
      </c>
      <c r="B45" s="1772"/>
      <c r="C45" s="380" t="s">
        <v>50</v>
      </c>
      <c r="D45" s="381" t="s">
        <v>246</v>
      </c>
      <c r="E45" s="417"/>
      <c r="F45" s="1781" t="s">
        <v>560</v>
      </c>
      <c r="G45" s="1762"/>
      <c r="H45" s="1764"/>
      <c r="I45" s="697"/>
      <c r="J45" s="698"/>
      <c r="K45" s="698"/>
      <c r="L45" s="698"/>
      <c r="M45" s="698"/>
      <c r="N45" s="697"/>
      <c r="O45" s="698"/>
      <c r="P45" s="698"/>
      <c r="Q45" s="698"/>
      <c r="R45" s="698"/>
      <c r="S45" s="697"/>
      <c r="T45" s="698"/>
      <c r="U45" s="698"/>
      <c r="V45" s="698"/>
      <c r="W45" s="698"/>
    </row>
    <row r="46" spans="1:23" ht="39" customHeight="1">
      <c r="A46" s="1779"/>
      <c r="B46" s="1772"/>
      <c r="C46" s="382" t="s">
        <v>51</v>
      </c>
      <c r="D46" s="381" t="s">
        <v>247</v>
      </c>
      <c r="E46" s="505" t="s">
        <v>277</v>
      </c>
      <c r="F46" s="1785" t="s">
        <v>709</v>
      </c>
      <c r="G46" s="1762"/>
      <c r="H46" s="1764"/>
      <c r="I46" s="704" t="s">
        <v>277</v>
      </c>
      <c r="J46" s="698">
        <v>8</v>
      </c>
      <c r="K46" s="698">
        <v>5</v>
      </c>
      <c r="L46" s="698">
        <v>78</v>
      </c>
      <c r="M46" s="698">
        <f>+L46*725</f>
        <v>56550</v>
      </c>
      <c r="N46" s="704" t="s">
        <v>277</v>
      </c>
      <c r="O46" s="698">
        <v>6</v>
      </c>
      <c r="P46" s="698">
        <v>2</v>
      </c>
      <c r="Q46" s="698">
        <v>59</v>
      </c>
      <c r="R46" s="698">
        <f>+Q46*725</f>
        <v>42775</v>
      </c>
      <c r="S46" s="704" t="s">
        <v>277</v>
      </c>
      <c r="T46" s="698">
        <v>6</v>
      </c>
      <c r="U46" s="698">
        <v>1</v>
      </c>
      <c r="V46" s="698">
        <v>282</v>
      </c>
      <c r="W46" s="698">
        <f>+V46*725</f>
        <v>204450</v>
      </c>
    </row>
    <row r="47" spans="1:23">
      <c r="A47" s="1779"/>
      <c r="B47" s="1772"/>
      <c r="C47" s="382" t="s">
        <v>39</v>
      </c>
      <c r="D47" s="381" t="s">
        <v>248</v>
      </c>
      <c r="E47" s="505" t="s">
        <v>277</v>
      </c>
      <c r="F47" s="1785" t="s">
        <v>710</v>
      </c>
      <c r="G47" s="1762"/>
      <c r="H47" s="1764"/>
      <c r="I47" s="704" t="s">
        <v>277</v>
      </c>
      <c r="J47" s="698">
        <v>6</v>
      </c>
      <c r="K47" s="698">
        <v>5</v>
      </c>
      <c r="L47" s="698">
        <v>54</v>
      </c>
      <c r="M47" s="698">
        <f>+L47*1000</f>
        <v>54000</v>
      </c>
      <c r="N47" s="704" t="s">
        <v>277</v>
      </c>
      <c r="O47" s="698">
        <v>5</v>
      </c>
      <c r="P47" s="698">
        <v>2</v>
      </c>
      <c r="Q47" s="698">
        <v>40</v>
      </c>
      <c r="R47" s="698">
        <f>+Q47*1000</f>
        <v>40000</v>
      </c>
      <c r="S47" s="704" t="s">
        <v>277</v>
      </c>
      <c r="T47" s="698">
        <v>5</v>
      </c>
      <c r="U47" s="698">
        <v>1</v>
      </c>
      <c r="V47" s="698">
        <v>170</v>
      </c>
      <c r="W47" s="698">
        <f>+V47*1000</f>
        <v>170000</v>
      </c>
    </row>
    <row r="48" spans="1:23" ht="15.75" thickBot="1">
      <c r="A48" s="1767"/>
      <c r="B48" s="1780"/>
      <c r="C48" s="383" t="s">
        <v>40</v>
      </c>
      <c r="D48" s="381" t="s">
        <v>249</v>
      </c>
      <c r="E48" s="505" t="s">
        <v>277</v>
      </c>
      <c r="F48" s="1785" t="s">
        <v>711</v>
      </c>
      <c r="G48" s="1762"/>
      <c r="H48" s="1764"/>
      <c r="I48" s="704" t="s">
        <v>277</v>
      </c>
      <c r="J48" s="698">
        <v>6</v>
      </c>
      <c r="K48" s="698">
        <v>5</v>
      </c>
      <c r="L48" s="698">
        <v>65</v>
      </c>
      <c r="M48" s="698">
        <f>+L48*1270</f>
        <v>82550</v>
      </c>
      <c r="N48" s="704" t="s">
        <v>277</v>
      </c>
      <c r="O48" s="698">
        <v>5</v>
      </c>
      <c r="P48" s="698">
        <v>2</v>
      </c>
      <c r="Q48" s="698">
        <v>49</v>
      </c>
      <c r="R48" s="698">
        <f>+Q48*1270</f>
        <v>62230</v>
      </c>
      <c r="S48" s="704" t="s">
        <v>277</v>
      </c>
      <c r="T48" s="698">
        <v>5</v>
      </c>
      <c r="U48" s="698">
        <v>1</v>
      </c>
      <c r="V48" s="698">
        <v>259</v>
      </c>
      <c r="W48" s="698">
        <f>+V48*1270</f>
        <v>328930</v>
      </c>
    </row>
    <row r="49" spans="1:23" ht="15.75">
      <c r="A49" s="1765" t="s">
        <v>130</v>
      </c>
      <c r="B49" s="1766"/>
      <c r="C49" s="375" t="s">
        <v>131</v>
      </c>
      <c r="D49" s="376" t="s">
        <v>255</v>
      </c>
      <c r="E49" s="494"/>
      <c r="F49" s="1769"/>
      <c r="G49" s="1762"/>
      <c r="H49" s="1764"/>
      <c r="I49" s="697"/>
      <c r="J49" s="698"/>
      <c r="K49" s="698"/>
      <c r="L49" s="698"/>
      <c r="M49" s="698"/>
      <c r="N49" s="697"/>
      <c r="O49" s="698"/>
      <c r="P49" s="698"/>
      <c r="Q49" s="698"/>
      <c r="R49" s="698"/>
      <c r="S49" s="697"/>
      <c r="T49" s="698"/>
      <c r="U49" s="698"/>
      <c r="V49" s="698"/>
      <c r="W49" s="770"/>
    </row>
    <row r="50" spans="1:23" ht="48" thickBot="1">
      <c r="A50" s="1767"/>
      <c r="B50" s="1768"/>
      <c r="C50" s="384" t="s">
        <v>132</v>
      </c>
      <c r="D50" s="376" t="s">
        <v>263</v>
      </c>
      <c r="E50" s="494"/>
      <c r="F50" s="1769"/>
      <c r="G50" s="1762"/>
      <c r="H50" s="1764"/>
      <c r="I50" s="697"/>
      <c r="J50" s="698"/>
      <c r="K50" s="698"/>
      <c r="L50" s="698"/>
      <c r="M50" s="698"/>
      <c r="N50" s="697"/>
      <c r="O50" s="698"/>
      <c r="P50" s="698"/>
      <c r="Q50" s="698"/>
      <c r="R50" s="698"/>
      <c r="S50" s="697"/>
      <c r="T50" s="698"/>
      <c r="U50" s="698"/>
      <c r="V50" s="698"/>
      <c r="W50" s="770"/>
    </row>
    <row r="51" spans="1:23">
      <c r="A51" s="1770" t="s">
        <v>42</v>
      </c>
      <c r="B51" s="1771"/>
      <c r="C51" s="385" t="s">
        <v>38</v>
      </c>
      <c r="D51" s="386" t="s">
        <v>239</v>
      </c>
      <c r="E51" s="505" t="s">
        <v>277</v>
      </c>
      <c r="F51" s="1818" t="s">
        <v>712</v>
      </c>
      <c r="G51" s="1762"/>
      <c r="H51" s="1764"/>
      <c r="I51" s="704" t="s">
        <v>277</v>
      </c>
      <c r="J51" s="698">
        <v>3</v>
      </c>
      <c r="K51" s="698">
        <v>1</v>
      </c>
      <c r="L51" s="698">
        <v>450</v>
      </c>
      <c r="M51" s="698">
        <f>+L51*4</f>
        <v>1800</v>
      </c>
      <c r="N51" s="704" t="s">
        <v>277</v>
      </c>
      <c r="O51" s="698">
        <v>2</v>
      </c>
      <c r="P51" s="698">
        <v>1</v>
      </c>
      <c r="Q51" s="698">
        <v>450</v>
      </c>
      <c r="R51" s="698">
        <f>+Q51*4</f>
        <v>1800</v>
      </c>
      <c r="S51" s="704" t="s">
        <v>277</v>
      </c>
      <c r="T51" s="698">
        <v>12</v>
      </c>
      <c r="U51" s="698">
        <v>5</v>
      </c>
      <c r="V51" s="695">
        <v>10000</v>
      </c>
      <c r="W51" s="698">
        <f>+V51*4</f>
        <v>40000</v>
      </c>
    </row>
    <row r="52" spans="1:23">
      <c r="A52" s="1772"/>
      <c r="B52" s="1772"/>
      <c r="C52" s="387" t="s">
        <v>55</v>
      </c>
      <c r="D52" s="386" t="s">
        <v>240</v>
      </c>
      <c r="E52" s="505" t="s">
        <v>277</v>
      </c>
      <c r="F52" s="1773"/>
      <c r="G52" s="1762"/>
      <c r="H52" s="1764"/>
      <c r="I52" s="704" t="s">
        <v>277</v>
      </c>
      <c r="J52" s="698">
        <v>5</v>
      </c>
      <c r="K52" s="698">
        <v>2</v>
      </c>
      <c r="L52" s="698">
        <v>10</v>
      </c>
      <c r="M52" s="698">
        <f>+L52*310</f>
        <v>3100</v>
      </c>
      <c r="N52" s="704" t="s">
        <v>277</v>
      </c>
      <c r="O52" s="698">
        <v>5</v>
      </c>
      <c r="P52" s="698">
        <v>2</v>
      </c>
      <c r="Q52" s="698">
        <v>10</v>
      </c>
      <c r="R52" s="698">
        <f>+Q52*310</f>
        <v>3100</v>
      </c>
      <c r="S52" s="704" t="s">
        <v>277</v>
      </c>
      <c r="T52" s="698">
        <v>5</v>
      </c>
      <c r="U52" s="698">
        <v>2</v>
      </c>
      <c r="V52" s="698">
        <v>50</v>
      </c>
      <c r="W52" s="698">
        <f>+V52*310</f>
        <v>15500</v>
      </c>
    </row>
    <row r="53" spans="1:23" ht="16.5" thickBot="1">
      <c r="A53" s="1772"/>
      <c r="B53" s="1772"/>
      <c r="C53" s="377" t="s">
        <v>48</v>
      </c>
      <c r="D53" s="388" t="s">
        <v>241</v>
      </c>
      <c r="E53" s="494"/>
      <c r="F53" s="1774"/>
      <c r="G53" s="1762"/>
      <c r="H53" s="1764"/>
      <c r="I53" s="697"/>
      <c r="J53" s="698"/>
      <c r="K53" s="698"/>
      <c r="L53" s="698"/>
      <c r="M53" s="698"/>
      <c r="N53" s="697"/>
      <c r="O53" s="698"/>
      <c r="P53" s="698"/>
      <c r="Q53" s="698"/>
      <c r="R53" s="698"/>
      <c r="S53" s="697"/>
      <c r="T53" s="698"/>
      <c r="U53" s="698"/>
      <c r="V53" s="698"/>
      <c r="W53" s="770"/>
    </row>
    <row r="54" spans="1:23" ht="16.5" thickBot="1">
      <c r="A54" s="1761" t="s">
        <v>500</v>
      </c>
      <c r="B54" s="1762"/>
      <c r="C54" s="389" t="s">
        <v>134</v>
      </c>
      <c r="D54" s="390" t="s">
        <v>269</v>
      </c>
      <c r="E54" s="506"/>
      <c r="F54" s="1763" t="s">
        <v>501</v>
      </c>
      <c r="G54" s="1762"/>
      <c r="H54" s="1764"/>
      <c r="I54" s="700"/>
      <c r="J54" s="701"/>
      <c r="K54" s="701"/>
      <c r="L54" s="701"/>
      <c r="M54" s="701"/>
      <c r="N54" s="700"/>
      <c r="O54" s="701"/>
      <c r="P54" s="701"/>
      <c r="Q54" s="701"/>
      <c r="R54" s="701"/>
      <c r="S54" s="700"/>
      <c r="T54" s="701"/>
      <c r="U54" s="701"/>
      <c r="V54" s="701"/>
      <c r="W54" s="771"/>
    </row>
    <row r="55" spans="1:23">
      <c r="I55" s="608"/>
      <c r="J55" s="608"/>
      <c r="K55" s="608"/>
      <c r="L55" s="608"/>
      <c r="M55" s="608"/>
      <c r="N55" s="608"/>
      <c r="O55" s="608"/>
      <c r="P55" s="608"/>
      <c r="Q55" s="608"/>
      <c r="R55" s="608"/>
      <c r="S55" s="608"/>
      <c r="T55" s="608"/>
      <c r="U55" s="608"/>
      <c r="V55" s="608"/>
      <c r="W55" s="608"/>
    </row>
    <row r="56" spans="1:23">
      <c r="M56">
        <f>SUM(M16:M54)</f>
        <v>2902435</v>
      </c>
    </row>
    <row r="58" spans="1:23" ht="60">
      <c r="A58" s="661" t="s">
        <v>948</v>
      </c>
      <c r="B58" s="661" t="s">
        <v>949</v>
      </c>
      <c r="C58" s="661" t="s">
        <v>950</v>
      </c>
      <c r="D58" s="661" t="s">
        <v>951</v>
      </c>
      <c r="E58" s="661" t="s">
        <v>952</v>
      </c>
    </row>
    <row r="59" spans="1:23">
      <c r="A59" s="631" t="s">
        <v>953</v>
      </c>
      <c r="B59" s="624" t="s">
        <v>16</v>
      </c>
      <c r="C59" s="632">
        <v>3</v>
      </c>
      <c r="D59" s="698">
        <v>12</v>
      </c>
      <c r="E59" s="633" t="s">
        <v>1077</v>
      </c>
    </row>
    <row r="60" spans="1:23">
      <c r="A60" s="631" t="s">
        <v>956</v>
      </c>
      <c r="B60" s="624" t="s">
        <v>16</v>
      </c>
      <c r="C60" s="632">
        <v>1</v>
      </c>
      <c r="D60" s="698">
        <v>2</v>
      </c>
      <c r="E60" s="633" t="s">
        <v>1078</v>
      </c>
    </row>
    <row r="61" spans="1:23">
      <c r="A61" s="631" t="s">
        <v>957</v>
      </c>
      <c r="B61" s="624" t="s">
        <v>16</v>
      </c>
      <c r="C61" s="632">
        <v>40</v>
      </c>
      <c r="D61" s="698">
        <v>10</v>
      </c>
      <c r="E61" s="633" t="s">
        <v>1079</v>
      </c>
    </row>
    <row r="62" spans="1:23">
      <c r="A62" s="631" t="s">
        <v>959</v>
      </c>
      <c r="B62" s="624" t="s">
        <v>16</v>
      </c>
      <c r="C62" s="632">
        <v>60</v>
      </c>
      <c r="D62" s="698">
        <v>3</v>
      </c>
      <c r="E62" s="633" t="s">
        <v>1080</v>
      </c>
    </row>
    <row r="63" spans="1:23">
      <c r="A63" s="631" t="s">
        <v>961</v>
      </c>
      <c r="B63" s="624" t="s">
        <v>16</v>
      </c>
      <c r="C63" s="632">
        <v>40</v>
      </c>
      <c r="D63" s="698">
        <v>20</v>
      </c>
      <c r="E63" s="633" t="s">
        <v>1012</v>
      </c>
    </row>
    <row r="64" spans="1:23">
      <c r="A64" s="631" t="s">
        <v>963</v>
      </c>
      <c r="B64" s="624" t="s">
        <v>16</v>
      </c>
      <c r="C64" s="632">
        <v>40</v>
      </c>
      <c r="D64" s="698">
        <v>20</v>
      </c>
      <c r="E64" s="633" t="s">
        <v>1012</v>
      </c>
    </row>
    <row r="65" spans="1:6">
      <c r="A65" s="631" t="s">
        <v>965</v>
      </c>
      <c r="B65" s="624" t="s">
        <v>16</v>
      </c>
      <c r="C65" s="632">
        <v>40</v>
      </c>
      <c r="D65" s="698">
        <v>22</v>
      </c>
      <c r="E65" s="633" t="s">
        <v>1081</v>
      </c>
    </row>
    <row r="66" spans="1:6">
      <c r="A66" s="631" t="s">
        <v>967</v>
      </c>
      <c r="B66" s="624" t="s">
        <v>16</v>
      </c>
      <c r="C66" s="632">
        <v>5</v>
      </c>
      <c r="D66" s="698">
        <v>8</v>
      </c>
      <c r="E66" s="633" t="s">
        <v>1080</v>
      </c>
    </row>
    <row r="67" spans="1:6">
      <c r="A67" s="631" t="s">
        <v>969</v>
      </c>
      <c r="B67" s="624" t="s">
        <v>16</v>
      </c>
      <c r="C67" s="632">
        <v>1</v>
      </c>
      <c r="D67" s="698">
        <v>3</v>
      </c>
      <c r="E67" s="633" t="s">
        <v>1080</v>
      </c>
    </row>
    <row r="68" spans="1:6">
      <c r="A68" s="631" t="s">
        <v>971</v>
      </c>
      <c r="B68" s="624" t="s">
        <v>16</v>
      </c>
      <c r="C68" s="632">
        <v>200</v>
      </c>
      <c r="D68" s="698">
        <v>43</v>
      </c>
      <c r="E68" s="633" t="s">
        <v>1080</v>
      </c>
    </row>
    <row r="69" spans="1:6">
      <c r="A69" s="631" t="s">
        <v>986</v>
      </c>
      <c r="B69" s="632"/>
      <c r="C69" s="632"/>
      <c r="D69" s="698"/>
      <c r="E69" s="633"/>
    </row>
    <row r="70" spans="1:6">
      <c r="A70" s="631"/>
      <c r="B70" s="632"/>
      <c r="C70" s="632"/>
      <c r="D70" s="698"/>
      <c r="E70" s="633"/>
    </row>
    <row r="72" spans="1:6">
      <c r="D72" s="1">
        <f>SUM(D59:D71)</f>
        <v>143</v>
      </c>
    </row>
    <row r="75" spans="1:6">
      <c r="A75" s="2413" t="s">
        <v>1270</v>
      </c>
      <c r="B75" s="2414"/>
      <c r="C75" s="2414"/>
      <c r="D75" s="2414"/>
      <c r="E75" s="2414"/>
      <c r="F75" s="2414"/>
    </row>
    <row r="76" spans="1:6" ht="75">
      <c r="A76" s="1404" t="s">
        <v>1271</v>
      </c>
      <c r="B76" s="1404" t="s">
        <v>1272</v>
      </c>
      <c r="C76" s="1404" t="s">
        <v>1273</v>
      </c>
      <c r="D76" s="1404" t="s">
        <v>1274</v>
      </c>
      <c r="E76" s="1404" t="s">
        <v>1275</v>
      </c>
      <c r="F76" s="1404" t="s">
        <v>1276</v>
      </c>
    </row>
    <row r="77" spans="1:6" ht="45">
      <c r="A77" s="1405" t="s">
        <v>1450</v>
      </c>
      <c r="B77" s="1405" t="s">
        <v>1451</v>
      </c>
      <c r="C77" s="1405" t="s">
        <v>1452</v>
      </c>
      <c r="D77" s="1405" t="s">
        <v>991</v>
      </c>
      <c r="E77" s="1405" t="s">
        <v>1453</v>
      </c>
      <c r="F77" s="1405">
        <v>50</v>
      </c>
    </row>
    <row r="78" spans="1:6" ht="45">
      <c r="A78" s="1405" t="s">
        <v>1454</v>
      </c>
      <c r="B78" s="1405" t="s">
        <v>1455</v>
      </c>
      <c r="C78" s="1405" t="s">
        <v>1452</v>
      </c>
      <c r="D78" s="1405" t="s">
        <v>991</v>
      </c>
      <c r="E78" s="1405" t="s">
        <v>1456</v>
      </c>
      <c r="F78" s="1405">
        <v>10</v>
      </c>
    </row>
    <row r="79" spans="1:6" ht="60">
      <c r="A79" s="1405" t="s">
        <v>1457</v>
      </c>
      <c r="B79" s="1405" t="s">
        <v>1451</v>
      </c>
      <c r="C79" s="1405" t="s">
        <v>1452</v>
      </c>
      <c r="D79" s="1405" t="s">
        <v>991</v>
      </c>
      <c r="E79" s="1405" t="s">
        <v>1458</v>
      </c>
      <c r="F79" s="1405">
        <v>30</v>
      </c>
    </row>
    <row r="80" spans="1:6" ht="45">
      <c r="A80" s="1405" t="s">
        <v>1459</v>
      </c>
      <c r="B80" s="1405" t="s">
        <v>1451</v>
      </c>
      <c r="C80" s="1405" t="s">
        <v>1452</v>
      </c>
      <c r="D80" s="1405" t="s">
        <v>991</v>
      </c>
      <c r="E80" s="1405" t="s">
        <v>1460</v>
      </c>
      <c r="F80" s="1405">
        <v>50</v>
      </c>
    </row>
  </sheetData>
  <mergeCells count="60">
    <mergeCell ref="A75:F75"/>
    <mergeCell ref="I13:M13"/>
    <mergeCell ref="N13:R13"/>
    <mergeCell ref="S13:W13"/>
    <mergeCell ref="A10:B10"/>
    <mergeCell ref="C10:H10"/>
    <mergeCell ref="E12:H13"/>
    <mergeCell ref="A14:B14"/>
    <mergeCell ref="F14:H14"/>
    <mergeCell ref="A15:B17"/>
    <mergeCell ref="F15:H17"/>
    <mergeCell ref="F18:H20"/>
    <mergeCell ref="A18:B20"/>
    <mergeCell ref="F21:H22"/>
    <mergeCell ref="A23:B25"/>
    <mergeCell ref="F23:H25"/>
    <mergeCell ref="B2:D2"/>
    <mergeCell ref="B3:D3"/>
    <mergeCell ref="B4:D4"/>
    <mergeCell ref="B6:D6"/>
    <mergeCell ref="B8:D8"/>
    <mergeCell ref="A26:C26"/>
    <mergeCell ref="F26:H26"/>
    <mergeCell ref="A21:B22"/>
    <mergeCell ref="A27:B29"/>
    <mergeCell ref="F27:H29"/>
    <mergeCell ref="A30:B32"/>
    <mergeCell ref="F30:H32"/>
    <mergeCell ref="A33:B33"/>
    <mergeCell ref="F33:H33"/>
    <mergeCell ref="A34:B34"/>
    <mergeCell ref="F34:H34"/>
    <mergeCell ref="A35:B36"/>
    <mergeCell ref="F35:H36"/>
    <mergeCell ref="A37:B39"/>
    <mergeCell ref="F37:H37"/>
    <mergeCell ref="F38:H38"/>
    <mergeCell ref="F39:H39"/>
    <mergeCell ref="A40:B42"/>
    <mergeCell ref="F40:H40"/>
    <mergeCell ref="F41:H41"/>
    <mergeCell ref="F42:H42"/>
    <mergeCell ref="A43:C43"/>
    <mergeCell ref="F43:H43"/>
    <mergeCell ref="A44:C44"/>
    <mergeCell ref="F44:H44"/>
    <mergeCell ref="A45:B48"/>
    <mergeCell ref="F45:H45"/>
    <mergeCell ref="F46:H46"/>
    <mergeCell ref="F47:H47"/>
    <mergeCell ref="F48:H48"/>
    <mergeCell ref="A54:B54"/>
    <mergeCell ref="F54:H54"/>
    <mergeCell ref="A49:B50"/>
    <mergeCell ref="F49:H49"/>
    <mergeCell ref="F50:H50"/>
    <mergeCell ref="A51:B53"/>
    <mergeCell ref="F51:H51"/>
    <mergeCell ref="F52:H52"/>
    <mergeCell ref="F53:H53"/>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2" location="SOMMAIRE!A1" display="Retour sommaire"/>
    <hyperlink ref="J4" location="SYNTHESE!A1" display="Retour synthèse"/>
  </hyperlink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4E43C"/>
  </sheetPr>
  <dimension ref="A1:W78"/>
  <sheetViews>
    <sheetView topLeftCell="A34" zoomScale="70" zoomScaleNormal="70" workbookViewId="0">
      <selection activeCell="F49" sqref="F49:H49"/>
    </sheetView>
  </sheetViews>
  <sheetFormatPr baseColWidth="10" defaultRowHeight="15"/>
  <cols>
    <col min="1" max="1" width="20.42578125" style="1" bestFit="1" customWidth="1"/>
    <col min="2" max="2" width="15.7109375" style="1" customWidth="1"/>
    <col min="3" max="3" width="47" style="1" customWidth="1"/>
    <col min="4" max="4" width="8.28515625" style="1" customWidth="1"/>
    <col min="5" max="5" width="7.5703125" style="1" customWidth="1"/>
    <col min="6" max="6" width="16.28515625" style="1" bestFit="1" customWidth="1"/>
    <col min="7" max="7" width="32.5703125" style="1" bestFit="1" customWidth="1"/>
    <col min="8" max="8" width="23.140625" bestFit="1" customWidth="1"/>
    <col min="10" max="10" width="16.42578125" bestFit="1" customWidth="1"/>
  </cols>
  <sheetData>
    <row r="1" spans="1:23" ht="15.75" thickBot="1">
      <c r="A1"/>
      <c r="B1"/>
      <c r="C1"/>
      <c r="D1"/>
      <c r="E1"/>
      <c r="F1"/>
      <c r="G1"/>
    </row>
    <row r="2" spans="1:23" ht="15.75" thickBot="1">
      <c r="A2" s="109" t="s">
        <v>0</v>
      </c>
      <c r="B2" s="2029" t="s">
        <v>503</v>
      </c>
      <c r="C2" s="2144"/>
      <c r="D2" s="2145"/>
      <c r="E2" s="110"/>
      <c r="F2" s="110"/>
      <c r="G2" s="111" t="s">
        <v>462</v>
      </c>
      <c r="H2" s="185"/>
    </row>
    <row r="3" spans="1:23" ht="15.75" thickBot="1">
      <c r="A3" s="113" t="s">
        <v>344</v>
      </c>
      <c r="B3" s="2029" t="s">
        <v>503</v>
      </c>
      <c r="C3" s="2144"/>
      <c r="D3" s="2145"/>
      <c r="E3" s="110"/>
      <c r="F3" s="110"/>
      <c r="G3" s="114" t="s">
        <v>10</v>
      </c>
      <c r="H3" s="177" t="s">
        <v>16</v>
      </c>
      <c r="J3" s="13" t="s">
        <v>73</v>
      </c>
    </row>
    <row r="4" spans="1:23" ht="15.75" thickBot="1">
      <c r="A4" s="114" t="s">
        <v>3</v>
      </c>
      <c r="B4" s="1823" t="s">
        <v>534</v>
      </c>
      <c r="C4" s="2144"/>
      <c r="D4" s="2145"/>
      <c r="E4" s="115"/>
      <c r="F4" s="110"/>
      <c r="G4" s="116" t="s">
        <v>26</v>
      </c>
      <c r="H4" s="190">
        <v>8</v>
      </c>
      <c r="J4" s="13"/>
    </row>
    <row r="5" spans="1:23" ht="15.75" customHeight="1" thickBot="1">
      <c r="A5" s="110"/>
      <c r="B5" s="110"/>
      <c r="C5" s="110"/>
      <c r="D5" s="110"/>
      <c r="E5" s="110"/>
      <c r="F5" s="110"/>
      <c r="G5" s="110"/>
      <c r="H5" s="110"/>
      <c r="J5" s="13" t="s">
        <v>381</v>
      </c>
    </row>
    <row r="6" spans="1:23" ht="150.75" thickBot="1">
      <c r="A6" s="109" t="s">
        <v>465</v>
      </c>
      <c r="B6" s="1823" t="s">
        <v>1591</v>
      </c>
      <c r="C6" s="2267"/>
      <c r="D6" s="2268"/>
      <c r="E6" s="110"/>
      <c r="F6" s="110"/>
      <c r="G6" s="118" t="s">
        <v>466</v>
      </c>
      <c r="H6" s="178" t="s">
        <v>535</v>
      </c>
    </row>
    <row r="7" spans="1:23" ht="15.75" thickBot="1">
      <c r="A7"/>
      <c r="B7" s="110"/>
      <c r="C7" s="110"/>
      <c r="D7" s="110"/>
      <c r="E7" s="110"/>
      <c r="F7" s="110"/>
      <c r="G7" s="120"/>
      <c r="H7" s="110"/>
    </row>
    <row r="8" spans="1:23" ht="30.75" thickBot="1">
      <c r="A8" s="121" t="s">
        <v>7</v>
      </c>
      <c r="B8" s="1823" t="s">
        <v>536</v>
      </c>
      <c r="C8" s="2144"/>
      <c r="D8" s="2145"/>
      <c r="E8" s="115"/>
      <c r="F8" s="122"/>
      <c r="G8" s="584" t="s">
        <v>469</v>
      </c>
      <c r="H8" s="123" t="s">
        <v>470</v>
      </c>
    </row>
    <row r="9" spans="1:23" ht="15.75" thickBot="1">
      <c r="A9" s="179"/>
      <c r="B9" s="180"/>
      <c r="C9" s="181"/>
      <c r="D9" s="181"/>
      <c r="E9" s="115"/>
      <c r="F9" s="122"/>
      <c r="G9" s="585"/>
      <c r="H9" s="123"/>
    </row>
    <row r="10" spans="1:23" ht="15.75" thickBot="1">
      <c r="A10"/>
      <c r="B10" s="110"/>
      <c r="C10" s="110"/>
      <c r="D10" s="110"/>
      <c r="E10" s="110"/>
      <c r="F10" s="110"/>
      <c r="G10" s="585"/>
      <c r="H10" s="123"/>
      <c r="J10" s="1259"/>
    </row>
    <row r="11" spans="1:23" ht="219" customHeight="1">
      <c r="A11" s="2174" t="s">
        <v>471</v>
      </c>
      <c r="B11" s="2148"/>
      <c r="C11" s="1805" t="s">
        <v>538</v>
      </c>
      <c r="D11" s="1805"/>
      <c r="E11" s="1805"/>
      <c r="F11" s="1805"/>
      <c r="G11" s="1805"/>
      <c r="H11" s="1805"/>
    </row>
    <row r="12" spans="1:23">
      <c r="A12" s="126"/>
      <c r="B12" s="115"/>
      <c r="C12" s="115"/>
      <c r="D12" s="115"/>
      <c r="E12" s="115"/>
      <c r="F12" s="122"/>
      <c r="G12" s="125"/>
      <c r="H12" s="125"/>
    </row>
    <row r="13" spans="1:23">
      <c r="A13" s="126"/>
      <c r="B13" s="115"/>
      <c r="C13" s="115"/>
      <c r="D13" s="115"/>
      <c r="E13" s="2181" t="s">
        <v>473</v>
      </c>
      <c r="F13" s="2148"/>
      <c r="G13" s="2148"/>
      <c r="H13" s="2148"/>
    </row>
    <row r="14" spans="1:23" ht="15" customHeight="1">
      <c r="A14" s="110"/>
      <c r="B14" s="110"/>
      <c r="C14" s="110"/>
      <c r="D14" s="110"/>
      <c r="E14" s="2141"/>
      <c r="F14" s="2141"/>
      <c r="G14" s="2141"/>
      <c r="H14" s="2141"/>
      <c r="I14" s="2186">
        <v>2025</v>
      </c>
      <c r="J14" s="2097"/>
      <c r="K14" s="2097"/>
      <c r="L14" s="2097"/>
      <c r="M14" s="2098"/>
      <c r="N14" s="2186">
        <v>2026</v>
      </c>
      <c r="O14" s="2097"/>
      <c r="P14" s="2097"/>
      <c r="Q14" s="2097"/>
      <c r="R14" s="2098"/>
      <c r="S14" s="2186">
        <v>2027</v>
      </c>
      <c r="T14" s="2097"/>
      <c r="U14" s="2097"/>
      <c r="V14" s="2097"/>
      <c r="W14" s="2098"/>
    </row>
    <row r="15" spans="1:23" ht="63.75" customHeight="1" thickBot="1">
      <c r="A15" s="2184" t="s">
        <v>5</v>
      </c>
      <c r="B15" s="2137"/>
      <c r="C15" s="128" t="s">
        <v>1</v>
      </c>
      <c r="D15" s="128" t="s">
        <v>260</v>
      </c>
      <c r="E15" s="129" t="s">
        <v>474</v>
      </c>
      <c r="F15" s="2182" t="s">
        <v>6</v>
      </c>
      <c r="G15" s="2097"/>
      <c r="H15" s="2098"/>
      <c r="I15" s="615" t="s">
        <v>474</v>
      </c>
      <c r="J15" s="616" t="s">
        <v>944</v>
      </c>
      <c r="K15" s="617" t="s">
        <v>945</v>
      </c>
      <c r="L15" s="616" t="s">
        <v>946</v>
      </c>
      <c r="M15" s="618" t="s">
        <v>947</v>
      </c>
      <c r="N15" s="615" t="s">
        <v>474</v>
      </c>
      <c r="O15" s="616" t="s">
        <v>944</v>
      </c>
      <c r="P15" s="617" t="s">
        <v>945</v>
      </c>
      <c r="Q15" s="616" t="s">
        <v>946</v>
      </c>
      <c r="R15" s="618" t="s">
        <v>947</v>
      </c>
      <c r="S15" s="615" t="s">
        <v>474</v>
      </c>
      <c r="T15" s="616" t="s">
        <v>944</v>
      </c>
      <c r="U15" s="617" t="s">
        <v>945</v>
      </c>
      <c r="V15" s="616" t="s">
        <v>946</v>
      </c>
      <c r="W15" s="618" t="s">
        <v>947</v>
      </c>
    </row>
    <row r="16" spans="1:23" ht="41.25" customHeight="1">
      <c r="A16" s="2183" t="s">
        <v>17</v>
      </c>
      <c r="B16" s="2140"/>
      <c r="C16" s="130" t="s">
        <v>59</v>
      </c>
      <c r="D16" s="131" t="s">
        <v>251</v>
      </c>
      <c r="E16" s="132"/>
      <c r="F16" s="1828" t="s">
        <v>475</v>
      </c>
      <c r="G16" s="2140"/>
      <c r="H16" s="2137"/>
      <c r="I16" s="619"/>
      <c r="J16" s="620"/>
      <c r="K16" s="620"/>
      <c r="L16" s="620"/>
      <c r="M16" s="621"/>
      <c r="N16" s="619"/>
      <c r="O16" s="620"/>
      <c r="P16" s="620"/>
      <c r="Q16" s="620"/>
      <c r="R16" s="621"/>
      <c r="S16" s="619"/>
      <c r="T16" s="620"/>
      <c r="U16" s="620"/>
      <c r="V16" s="620"/>
      <c r="W16" s="622"/>
    </row>
    <row r="17" spans="1:23" ht="36" customHeight="1">
      <c r="A17" s="2148"/>
      <c r="B17" s="2148"/>
      <c r="C17" s="133" t="s">
        <v>18</v>
      </c>
      <c r="D17" s="134" t="s">
        <v>168</v>
      </c>
      <c r="E17" s="135"/>
      <c r="F17" s="1845"/>
      <c r="G17" s="1845"/>
      <c r="H17" s="2139"/>
      <c r="I17" s="623"/>
      <c r="J17" s="624"/>
      <c r="K17" s="624"/>
      <c r="L17" s="624"/>
      <c r="M17" s="624"/>
      <c r="N17" s="623"/>
      <c r="O17" s="624"/>
      <c r="P17" s="624"/>
      <c r="Q17" s="624"/>
      <c r="R17" s="624"/>
      <c r="S17" s="623"/>
      <c r="T17" s="624"/>
      <c r="U17" s="624"/>
      <c r="V17" s="624"/>
      <c r="W17" s="625"/>
    </row>
    <row r="18" spans="1:23" ht="29.25" customHeight="1" thickBot="1">
      <c r="A18" s="2141"/>
      <c r="B18" s="2141"/>
      <c r="C18" s="136" t="s">
        <v>19</v>
      </c>
      <c r="D18" s="137" t="s">
        <v>233</v>
      </c>
      <c r="E18" s="138"/>
      <c r="F18" s="2141"/>
      <c r="G18" s="2141"/>
      <c r="H18" s="2142"/>
      <c r="I18" s="326"/>
      <c r="J18" s="624"/>
      <c r="K18" s="624"/>
      <c r="L18" s="624"/>
      <c r="M18" s="624"/>
      <c r="N18" s="326"/>
      <c r="O18" s="624"/>
      <c r="P18" s="624"/>
      <c r="Q18" s="624"/>
      <c r="R18" s="624"/>
      <c r="S18" s="326"/>
      <c r="T18" s="624"/>
      <c r="U18" s="624"/>
      <c r="V18" s="624"/>
      <c r="W18" s="625"/>
    </row>
    <row r="19" spans="1:23" ht="33" customHeight="1">
      <c r="A19" s="2183" t="s">
        <v>20</v>
      </c>
      <c r="B19" s="2140"/>
      <c r="C19" s="130" t="s">
        <v>54</v>
      </c>
      <c r="D19" s="137" t="s">
        <v>261</v>
      </c>
      <c r="E19" s="138"/>
      <c r="F19" s="1828" t="s">
        <v>475</v>
      </c>
      <c r="G19" s="2140"/>
      <c r="H19" s="2137"/>
      <c r="I19" s="326"/>
      <c r="J19" s="624"/>
      <c r="K19" s="624"/>
      <c r="L19" s="624"/>
      <c r="M19" s="624"/>
      <c r="N19" s="326"/>
      <c r="O19" s="624"/>
      <c r="P19" s="624"/>
      <c r="Q19" s="624"/>
      <c r="R19" s="624"/>
      <c r="S19" s="326"/>
      <c r="T19" s="624"/>
      <c r="U19" s="624"/>
      <c r="V19" s="624"/>
      <c r="W19" s="625"/>
    </row>
    <row r="20" spans="1:23" ht="18" customHeight="1">
      <c r="A20" s="2148"/>
      <c r="B20" s="2148"/>
      <c r="C20" s="139" t="s">
        <v>21</v>
      </c>
      <c r="D20" s="137" t="s">
        <v>234</v>
      </c>
      <c r="E20" s="138"/>
      <c r="F20" s="1845"/>
      <c r="G20" s="1845"/>
      <c r="H20" s="2139"/>
      <c r="I20" s="326"/>
      <c r="J20" s="624"/>
      <c r="K20" s="624"/>
      <c r="L20" s="624"/>
      <c r="M20" s="624"/>
      <c r="N20" s="326"/>
      <c r="O20" s="624"/>
      <c r="P20" s="624"/>
      <c r="Q20" s="624"/>
      <c r="R20" s="624"/>
      <c r="S20" s="326"/>
      <c r="T20" s="624"/>
      <c r="U20" s="624"/>
      <c r="V20" s="624"/>
      <c r="W20" s="625"/>
    </row>
    <row r="21" spans="1:23" ht="32.25" customHeight="1" thickBot="1">
      <c r="A21" s="2148"/>
      <c r="B21" s="2148"/>
      <c r="C21" s="136" t="s">
        <v>22</v>
      </c>
      <c r="D21" s="137" t="s">
        <v>235</v>
      </c>
      <c r="E21" s="138"/>
      <c r="F21" s="2141"/>
      <c r="G21" s="2141"/>
      <c r="H21" s="2142"/>
      <c r="I21" s="326"/>
      <c r="J21" s="624"/>
      <c r="K21" s="624"/>
      <c r="L21" s="624"/>
      <c r="M21" s="624"/>
      <c r="N21" s="326"/>
      <c r="O21" s="624"/>
      <c r="P21" s="624"/>
      <c r="Q21" s="624"/>
      <c r="R21" s="624"/>
      <c r="S21" s="326"/>
      <c r="T21" s="624"/>
      <c r="U21" s="624"/>
      <c r="V21" s="624"/>
      <c r="W21" s="625"/>
    </row>
    <row r="22" spans="1:23" ht="30" customHeight="1">
      <c r="A22" s="2183" t="s">
        <v>23</v>
      </c>
      <c r="B22" s="2140"/>
      <c r="C22" s="140" t="s">
        <v>69</v>
      </c>
      <c r="D22" s="137" t="s">
        <v>267</v>
      </c>
      <c r="E22" s="138"/>
      <c r="F22" s="1828" t="s">
        <v>477</v>
      </c>
      <c r="G22" s="2140"/>
      <c r="H22" s="2137"/>
      <c r="I22" s="326"/>
      <c r="J22" s="624"/>
      <c r="K22" s="624"/>
      <c r="L22" s="624"/>
      <c r="M22" s="624"/>
      <c r="N22" s="326"/>
      <c r="O22" s="624"/>
      <c r="P22" s="624"/>
      <c r="Q22" s="624"/>
      <c r="R22" s="624"/>
      <c r="S22" s="326"/>
      <c r="T22" s="624"/>
      <c r="U22" s="624"/>
      <c r="V22" s="624"/>
      <c r="W22" s="625"/>
    </row>
    <row r="23" spans="1:23" ht="15.75" thickBot="1">
      <c r="A23" s="2141"/>
      <c r="B23" s="2141"/>
      <c r="C23" s="141" t="s">
        <v>24</v>
      </c>
      <c r="D23" s="142" t="s">
        <v>236</v>
      </c>
      <c r="E23" s="138"/>
      <c r="F23" s="2141"/>
      <c r="G23" s="2141"/>
      <c r="H23" s="2142"/>
      <c r="I23" s="326"/>
      <c r="J23" s="624"/>
      <c r="K23" s="624"/>
      <c r="L23" s="624"/>
      <c r="M23" s="624"/>
      <c r="N23" s="326"/>
      <c r="O23" s="624"/>
      <c r="P23" s="624"/>
      <c r="Q23" s="624"/>
      <c r="R23" s="624"/>
      <c r="S23" s="326"/>
      <c r="T23" s="624"/>
      <c r="U23" s="624"/>
      <c r="V23" s="624"/>
      <c r="W23" s="625"/>
    </row>
    <row r="24" spans="1:23" ht="15.75">
      <c r="A24" s="2136" t="s">
        <v>478</v>
      </c>
      <c r="B24" s="2137"/>
      <c r="C24" s="143" t="s">
        <v>360</v>
      </c>
      <c r="D24" s="142" t="s">
        <v>265</v>
      </c>
      <c r="E24" s="138"/>
      <c r="F24" s="1828" t="s">
        <v>477</v>
      </c>
      <c r="G24" s="2140"/>
      <c r="H24" s="2137"/>
      <c r="I24" s="326"/>
      <c r="J24" s="624"/>
      <c r="K24" s="624"/>
      <c r="L24" s="624"/>
      <c r="M24" s="624"/>
      <c r="N24" s="326"/>
      <c r="O24" s="624"/>
      <c r="P24" s="624"/>
      <c r="Q24" s="624"/>
      <c r="R24" s="624"/>
      <c r="S24" s="326"/>
      <c r="T24" s="624"/>
      <c r="U24" s="624"/>
      <c r="V24" s="624"/>
      <c r="W24" s="625"/>
    </row>
    <row r="25" spans="1:23" ht="15.75">
      <c r="A25" s="2138"/>
      <c r="B25" s="2139"/>
      <c r="C25" s="144" t="s">
        <v>361</v>
      </c>
      <c r="D25" s="142" t="s">
        <v>362</v>
      </c>
      <c r="E25" s="138"/>
      <c r="F25" s="1845"/>
      <c r="G25" s="1845"/>
      <c r="H25" s="2139"/>
      <c r="I25" s="326"/>
      <c r="J25" s="624"/>
      <c r="K25" s="624"/>
      <c r="L25" s="624"/>
      <c r="M25" s="624"/>
      <c r="N25" s="326"/>
      <c r="O25" s="624"/>
      <c r="P25" s="624"/>
      <c r="Q25" s="624"/>
      <c r="R25" s="624"/>
      <c r="S25" s="326"/>
      <c r="T25" s="624"/>
      <c r="U25" s="624"/>
      <c r="V25" s="624"/>
      <c r="W25" s="625"/>
    </row>
    <row r="26" spans="1:23" ht="16.5" thickBot="1">
      <c r="A26" s="2138"/>
      <c r="B26" s="2139"/>
      <c r="C26" s="145" t="s">
        <v>479</v>
      </c>
      <c r="D26" s="142" t="s">
        <v>480</v>
      </c>
      <c r="E26" s="138"/>
      <c r="F26" s="2141"/>
      <c r="G26" s="2141"/>
      <c r="H26" s="2142"/>
      <c r="I26" s="326"/>
      <c r="J26" s="624"/>
      <c r="K26" s="624"/>
      <c r="L26" s="624"/>
      <c r="M26" s="624"/>
      <c r="N26" s="326"/>
      <c r="O26" s="624"/>
      <c r="P26" s="624"/>
      <c r="Q26" s="624"/>
      <c r="R26" s="624"/>
      <c r="S26" s="326"/>
      <c r="T26" s="624"/>
      <c r="U26" s="624"/>
      <c r="V26" s="624"/>
      <c r="W26" s="625"/>
    </row>
    <row r="27" spans="1:23" ht="15.75" thickBot="1">
      <c r="A27" s="2143" t="s">
        <v>25</v>
      </c>
      <c r="B27" s="2144"/>
      <c r="C27" s="2145"/>
      <c r="D27" s="146" t="s">
        <v>270</v>
      </c>
      <c r="E27" s="138"/>
      <c r="F27" s="1818" t="s">
        <v>481</v>
      </c>
      <c r="G27" s="2097"/>
      <c r="H27" s="2098"/>
      <c r="I27" s="326"/>
      <c r="J27" s="624"/>
      <c r="K27" s="624"/>
      <c r="L27" s="624"/>
      <c r="M27" s="624"/>
      <c r="N27" s="326"/>
      <c r="O27" s="624"/>
      <c r="P27" s="624"/>
      <c r="Q27" s="624"/>
      <c r="R27" s="624"/>
      <c r="S27" s="326"/>
      <c r="T27" s="624"/>
      <c r="U27" s="624"/>
      <c r="V27" s="624"/>
      <c r="W27" s="625"/>
    </row>
    <row r="28" spans="1:23" ht="15.75">
      <c r="A28" s="2157" t="s">
        <v>153</v>
      </c>
      <c r="B28" s="2158"/>
      <c r="C28" s="147" t="s">
        <v>152</v>
      </c>
      <c r="D28" s="148" t="s">
        <v>268</v>
      </c>
      <c r="E28" s="138"/>
      <c r="F28" s="1828" t="s">
        <v>475</v>
      </c>
      <c r="G28" s="2140"/>
      <c r="H28" s="2137"/>
      <c r="I28" s="326"/>
      <c r="J28" s="624"/>
      <c r="K28" s="624"/>
      <c r="L28" s="624"/>
      <c r="M28" s="624"/>
      <c r="N28" s="326"/>
      <c r="O28" s="624"/>
      <c r="P28" s="624"/>
      <c r="Q28" s="624"/>
      <c r="R28" s="624"/>
      <c r="S28" s="326"/>
      <c r="T28" s="624"/>
      <c r="U28" s="624"/>
      <c r="V28" s="624"/>
      <c r="W28" s="625"/>
    </row>
    <row r="29" spans="1:23" ht="15.75">
      <c r="A29" s="2138"/>
      <c r="B29" s="2158"/>
      <c r="C29" s="149" t="s">
        <v>154</v>
      </c>
      <c r="D29" s="148" t="s">
        <v>392</v>
      </c>
      <c r="E29" s="138"/>
      <c r="F29" s="1845"/>
      <c r="G29" s="1845"/>
      <c r="H29" s="2139"/>
      <c r="I29" s="326"/>
      <c r="J29" s="624"/>
      <c r="K29" s="624"/>
      <c r="L29" s="624"/>
      <c r="M29" s="624"/>
      <c r="N29" s="326"/>
      <c r="O29" s="624"/>
      <c r="P29" s="624"/>
      <c r="Q29" s="624"/>
      <c r="R29" s="624"/>
      <c r="S29" s="326"/>
      <c r="T29" s="624"/>
      <c r="U29" s="624"/>
      <c r="V29" s="624"/>
      <c r="W29" s="625"/>
    </row>
    <row r="30" spans="1:23" ht="16.5" thickBot="1">
      <c r="A30" s="2149"/>
      <c r="B30" s="2152"/>
      <c r="C30" s="150" t="s">
        <v>400</v>
      </c>
      <c r="D30" s="148" t="s">
        <v>393</v>
      </c>
      <c r="E30" s="138"/>
      <c r="F30" s="2141"/>
      <c r="G30" s="2141"/>
      <c r="H30" s="2142"/>
      <c r="I30" s="326"/>
      <c r="J30" s="624"/>
      <c r="K30" s="624"/>
      <c r="L30" s="624"/>
      <c r="M30" s="624"/>
      <c r="N30" s="326"/>
      <c r="O30" s="624"/>
      <c r="P30" s="624"/>
      <c r="Q30" s="624"/>
      <c r="R30" s="624"/>
      <c r="S30" s="326"/>
      <c r="T30" s="624"/>
      <c r="U30" s="624"/>
      <c r="V30" s="624"/>
      <c r="W30" s="625"/>
    </row>
    <row r="31" spans="1:23" ht="15.75">
      <c r="A31" s="2159" t="s">
        <v>153</v>
      </c>
      <c r="B31" s="2151"/>
      <c r="C31" s="151" t="s">
        <v>155</v>
      </c>
      <c r="D31" s="148" t="s">
        <v>266</v>
      </c>
      <c r="E31" s="138"/>
      <c r="F31" s="1828" t="s">
        <v>475</v>
      </c>
      <c r="G31" s="2140"/>
      <c r="H31" s="2137"/>
      <c r="I31" s="326"/>
      <c r="J31" s="624"/>
      <c r="K31" s="624"/>
      <c r="L31" s="624"/>
      <c r="M31" s="624"/>
      <c r="N31" s="326"/>
      <c r="O31" s="624"/>
      <c r="P31" s="624"/>
      <c r="Q31" s="624"/>
      <c r="R31" s="624"/>
      <c r="S31" s="326"/>
      <c r="T31" s="624"/>
      <c r="U31" s="624"/>
      <c r="V31" s="624"/>
      <c r="W31" s="625"/>
    </row>
    <row r="32" spans="1:23" ht="15.75">
      <c r="A32" s="2138"/>
      <c r="B32" s="2158"/>
      <c r="C32" s="149" t="s">
        <v>156</v>
      </c>
      <c r="D32" s="148" t="s">
        <v>394</v>
      </c>
      <c r="E32" s="138"/>
      <c r="F32" s="1845"/>
      <c r="G32" s="1845"/>
      <c r="H32" s="2139"/>
      <c r="I32" s="326"/>
      <c r="J32" s="624"/>
      <c r="K32" s="624"/>
      <c r="L32" s="624"/>
      <c r="M32" s="624"/>
      <c r="N32" s="326"/>
      <c r="O32" s="624"/>
      <c r="P32" s="624"/>
      <c r="Q32" s="624"/>
      <c r="R32" s="624"/>
      <c r="S32" s="326"/>
      <c r="T32" s="624"/>
      <c r="U32" s="624"/>
      <c r="V32" s="624"/>
      <c r="W32" s="625"/>
    </row>
    <row r="33" spans="1:23" ht="16.5" thickBot="1">
      <c r="A33" s="2149"/>
      <c r="B33" s="2152"/>
      <c r="C33" s="150" t="s">
        <v>399</v>
      </c>
      <c r="D33" s="148" t="s">
        <v>395</v>
      </c>
      <c r="E33" s="138"/>
      <c r="F33" s="2141"/>
      <c r="G33" s="2141"/>
      <c r="H33" s="2142"/>
      <c r="I33" s="326"/>
      <c r="J33" s="624"/>
      <c r="K33" s="624"/>
      <c r="L33" s="624"/>
      <c r="M33" s="624"/>
      <c r="N33" s="326"/>
      <c r="O33" s="624"/>
      <c r="P33" s="624"/>
      <c r="Q33" s="624"/>
      <c r="R33" s="624"/>
      <c r="S33" s="326"/>
      <c r="T33" s="624"/>
      <c r="U33" s="624"/>
      <c r="V33" s="624"/>
      <c r="W33" s="625"/>
    </row>
    <row r="34" spans="1:23" ht="16.5" thickBot="1">
      <c r="A34" s="2159" t="s">
        <v>482</v>
      </c>
      <c r="B34" s="2151"/>
      <c r="C34" s="151" t="s">
        <v>365</v>
      </c>
      <c r="D34" s="148" t="s">
        <v>252</v>
      </c>
      <c r="E34" s="138"/>
      <c r="F34" s="1828" t="s">
        <v>483</v>
      </c>
      <c r="G34" s="2140"/>
      <c r="H34" s="2137"/>
      <c r="I34" s="326"/>
      <c r="J34" s="624"/>
      <c r="K34" s="624"/>
      <c r="L34" s="624"/>
      <c r="M34" s="624"/>
      <c r="N34" s="326"/>
      <c r="O34" s="624"/>
      <c r="P34" s="624"/>
      <c r="Q34" s="624"/>
      <c r="R34" s="624"/>
      <c r="S34" s="326"/>
      <c r="T34" s="624"/>
      <c r="U34" s="624"/>
      <c r="V34" s="624"/>
      <c r="W34" s="625"/>
    </row>
    <row r="35" spans="1:23" ht="16.5" thickBot="1">
      <c r="A35" s="2159" t="s">
        <v>484</v>
      </c>
      <c r="B35" s="2151"/>
      <c r="C35" s="151" t="s">
        <v>485</v>
      </c>
      <c r="D35" s="148" t="s">
        <v>264</v>
      </c>
      <c r="E35" s="138"/>
      <c r="F35" s="2160"/>
      <c r="G35" s="2140"/>
      <c r="H35" s="2137"/>
      <c r="I35" s="326"/>
      <c r="J35" s="624"/>
      <c r="K35" s="624"/>
      <c r="L35" s="624"/>
      <c r="M35" s="624"/>
      <c r="N35" s="326"/>
      <c r="O35" s="624"/>
      <c r="P35" s="624"/>
      <c r="Q35" s="624"/>
      <c r="R35" s="624"/>
      <c r="S35" s="326"/>
      <c r="T35" s="624"/>
      <c r="U35" s="624"/>
      <c r="V35" s="624"/>
      <c r="W35" s="625"/>
    </row>
    <row r="36" spans="1:23" ht="15.75">
      <c r="A36" s="2161" t="s">
        <v>486</v>
      </c>
      <c r="B36" s="2151"/>
      <c r="C36" s="152" t="s">
        <v>43</v>
      </c>
      <c r="D36" s="153" t="s">
        <v>256</v>
      </c>
      <c r="E36" s="138"/>
      <c r="F36" s="1828" t="s">
        <v>487</v>
      </c>
      <c r="G36" s="2140"/>
      <c r="H36" s="2137"/>
      <c r="I36" s="326"/>
      <c r="J36" s="624"/>
      <c r="K36" s="624"/>
      <c r="L36" s="624"/>
      <c r="M36" s="624"/>
      <c r="N36" s="326"/>
      <c r="O36" s="624"/>
      <c r="P36" s="624"/>
      <c r="Q36" s="624"/>
      <c r="R36" s="624"/>
      <c r="S36" s="326"/>
      <c r="T36" s="624"/>
      <c r="U36" s="624"/>
      <c r="V36" s="624"/>
      <c r="W36" s="625"/>
    </row>
    <row r="37" spans="1:23" ht="16.5" thickBot="1">
      <c r="A37" s="2149"/>
      <c r="B37" s="2152"/>
      <c r="C37" s="154" t="s">
        <v>60</v>
      </c>
      <c r="D37" s="153" t="s">
        <v>257</v>
      </c>
      <c r="E37" s="138"/>
      <c r="F37" s="2141"/>
      <c r="G37" s="2141"/>
      <c r="H37" s="2142"/>
      <c r="I37" s="326"/>
      <c r="J37" s="624"/>
      <c r="K37" s="624"/>
      <c r="L37" s="624"/>
      <c r="M37" s="624"/>
      <c r="N37" s="326"/>
      <c r="O37" s="624"/>
      <c r="P37" s="624"/>
      <c r="Q37" s="624"/>
      <c r="R37" s="624"/>
      <c r="S37" s="326"/>
      <c r="T37" s="624"/>
      <c r="U37" s="624"/>
      <c r="V37" s="624"/>
      <c r="W37" s="625"/>
    </row>
    <row r="38" spans="1:23" ht="30">
      <c r="A38" s="2165" t="s">
        <v>33</v>
      </c>
      <c r="B38" s="2140"/>
      <c r="C38" s="155" t="s">
        <v>30</v>
      </c>
      <c r="D38" s="156" t="s">
        <v>170</v>
      </c>
      <c r="E38" s="138"/>
      <c r="F38" s="1820" t="s">
        <v>510</v>
      </c>
      <c r="G38" s="2140"/>
      <c r="H38" s="2137"/>
      <c r="I38" s="326"/>
      <c r="J38" s="624"/>
      <c r="K38" s="624"/>
      <c r="L38" s="624"/>
      <c r="M38" s="624"/>
      <c r="N38" s="326"/>
      <c r="O38" s="624"/>
      <c r="P38" s="624"/>
      <c r="Q38" s="624"/>
      <c r="R38" s="624"/>
      <c r="S38" s="326"/>
      <c r="T38" s="624"/>
      <c r="U38" s="624"/>
      <c r="V38" s="624"/>
      <c r="W38" s="625"/>
    </row>
    <row r="39" spans="1:23" ht="30">
      <c r="A39" s="2138"/>
      <c r="B39" s="2148"/>
      <c r="C39" s="157" t="s">
        <v>31</v>
      </c>
      <c r="D39" s="156" t="s">
        <v>169</v>
      </c>
      <c r="E39" s="138"/>
      <c r="F39" s="1820" t="s">
        <v>539</v>
      </c>
      <c r="G39" s="2140"/>
      <c r="H39" s="2137"/>
      <c r="I39" s="326"/>
      <c r="J39" s="624"/>
      <c r="K39" s="624"/>
      <c r="L39" s="624"/>
      <c r="M39" s="624"/>
      <c r="N39" s="326"/>
      <c r="O39" s="624"/>
      <c r="P39" s="624"/>
      <c r="Q39" s="624"/>
      <c r="R39" s="624"/>
      <c r="S39" s="326"/>
      <c r="T39" s="624"/>
      <c r="U39" s="624"/>
      <c r="V39" s="624"/>
      <c r="W39" s="625"/>
    </row>
    <row r="40" spans="1:23" ht="30.75" thickBot="1">
      <c r="A40" s="2138"/>
      <c r="B40" s="2148"/>
      <c r="C40" s="158" t="s">
        <v>32</v>
      </c>
      <c r="D40" s="156" t="s">
        <v>250</v>
      </c>
      <c r="E40" s="138"/>
      <c r="F40" s="2141"/>
      <c r="G40" s="2141"/>
      <c r="H40" s="2142"/>
      <c r="I40" s="326"/>
      <c r="J40" s="624"/>
      <c r="K40" s="624"/>
      <c r="L40" s="624"/>
      <c r="M40" s="624"/>
      <c r="N40" s="326"/>
      <c r="O40" s="624"/>
      <c r="P40" s="624"/>
      <c r="Q40" s="624"/>
      <c r="R40" s="624"/>
      <c r="S40" s="326"/>
      <c r="T40" s="624"/>
      <c r="U40" s="624"/>
      <c r="V40" s="624"/>
      <c r="W40" s="625"/>
    </row>
    <row r="41" spans="1:23" ht="15.75">
      <c r="A41" s="2169" t="s">
        <v>491</v>
      </c>
      <c r="B41" s="2170"/>
      <c r="C41" s="159" t="s">
        <v>144</v>
      </c>
      <c r="D41" s="160" t="s">
        <v>253</v>
      </c>
      <c r="E41" s="138"/>
      <c r="F41" s="1828" t="s">
        <v>492</v>
      </c>
      <c r="G41" s="2140"/>
      <c r="H41" s="2137"/>
      <c r="I41" s="326"/>
      <c r="J41" s="624"/>
      <c r="K41" s="624"/>
      <c r="L41" s="624"/>
      <c r="M41" s="624"/>
      <c r="N41" s="326"/>
      <c r="O41" s="624"/>
      <c r="P41" s="624"/>
      <c r="Q41" s="624"/>
      <c r="R41" s="624"/>
      <c r="S41" s="326"/>
      <c r="T41" s="624"/>
      <c r="U41" s="624"/>
      <c r="V41" s="624"/>
      <c r="W41" s="625"/>
    </row>
    <row r="42" spans="1:23" ht="16.5" thickBot="1">
      <c r="A42" s="2148"/>
      <c r="B42" s="2158"/>
      <c r="C42" s="161" t="s">
        <v>145</v>
      </c>
      <c r="D42" s="160" t="s">
        <v>254</v>
      </c>
      <c r="E42" s="138"/>
      <c r="F42" s="2141"/>
      <c r="G42" s="2141"/>
      <c r="H42" s="2142"/>
      <c r="I42" s="326"/>
      <c r="J42" s="624"/>
      <c r="K42" s="624"/>
      <c r="L42" s="624"/>
      <c r="M42" s="624"/>
      <c r="N42" s="326"/>
      <c r="O42" s="624"/>
      <c r="P42" s="624"/>
      <c r="Q42" s="624"/>
      <c r="R42" s="624"/>
      <c r="S42" s="326"/>
      <c r="T42" s="624"/>
      <c r="U42" s="624"/>
      <c r="V42" s="624"/>
      <c r="W42" s="625"/>
    </row>
    <row r="43" spans="1:23" ht="48" thickBot="1">
      <c r="A43" s="2171"/>
      <c r="B43" s="2172"/>
      <c r="C43" s="162" t="s">
        <v>128</v>
      </c>
      <c r="D43" s="160" t="s">
        <v>262</v>
      </c>
      <c r="E43" s="183" t="s">
        <v>277</v>
      </c>
      <c r="F43" s="2173"/>
      <c r="G43" s="2097"/>
      <c r="H43" s="2098"/>
      <c r="I43" s="183" t="s">
        <v>277</v>
      </c>
      <c r="J43" s="624">
        <v>1</v>
      </c>
      <c r="K43" s="624"/>
      <c r="L43" s="624">
        <v>2</v>
      </c>
      <c r="M43" s="640">
        <f>(L43*72)*5</f>
        <v>720</v>
      </c>
      <c r="N43" s="183" t="s">
        <v>277</v>
      </c>
      <c r="O43" s="624">
        <v>1</v>
      </c>
      <c r="P43" s="624"/>
      <c r="Q43" s="624">
        <v>2</v>
      </c>
      <c r="R43" s="640">
        <f>(Q43*72)*5</f>
        <v>720</v>
      </c>
      <c r="S43" s="183" t="s">
        <v>277</v>
      </c>
      <c r="T43" s="624">
        <v>1</v>
      </c>
      <c r="U43" s="624"/>
      <c r="V43" s="624">
        <v>2</v>
      </c>
      <c r="W43" s="640">
        <f>(V43*72)*5</f>
        <v>720</v>
      </c>
    </row>
    <row r="44" spans="1:23" ht="39.75" customHeight="1" thickBot="1">
      <c r="A44" s="2146" t="s">
        <v>493</v>
      </c>
      <c r="B44" s="2144"/>
      <c r="C44" s="2145"/>
      <c r="D44" s="163" t="s">
        <v>237</v>
      </c>
      <c r="E44" s="183" t="s">
        <v>277</v>
      </c>
      <c r="F44" s="1818" t="s">
        <v>540</v>
      </c>
      <c r="G44" s="2097"/>
      <c r="H44" s="2098"/>
      <c r="I44" s="183" t="s">
        <v>277</v>
      </c>
      <c r="J44" s="624">
        <v>2</v>
      </c>
      <c r="K44" s="624"/>
      <c r="L44" s="624">
        <v>3</v>
      </c>
      <c r="M44" s="640">
        <f>(L44*652)*5</f>
        <v>9780</v>
      </c>
      <c r="N44" s="183" t="s">
        <v>277</v>
      </c>
      <c r="O44" s="624">
        <v>2</v>
      </c>
      <c r="P44" s="624"/>
      <c r="Q44" s="624">
        <v>3</v>
      </c>
      <c r="R44" s="640">
        <f>(Q44*652)*5</f>
        <v>9780</v>
      </c>
      <c r="S44" s="183" t="s">
        <v>277</v>
      </c>
      <c r="T44" s="624">
        <v>2</v>
      </c>
      <c r="U44" s="624"/>
      <c r="V44" s="624">
        <v>3</v>
      </c>
      <c r="W44" s="640">
        <f>(V44*652)*5</f>
        <v>9780</v>
      </c>
    </row>
    <row r="45" spans="1:23" ht="15.75" thickBot="1">
      <c r="A45" s="2146" t="s">
        <v>133</v>
      </c>
      <c r="B45" s="2144"/>
      <c r="C45" s="2145"/>
      <c r="D45" s="163" t="s">
        <v>238</v>
      </c>
      <c r="E45" s="183" t="s">
        <v>277</v>
      </c>
      <c r="F45" s="1818" t="s">
        <v>541</v>
      </c>
      <c r="G45" s="2097"/>
      <c r="H45" s="2098"/>
      <c r="I45" s="183" t="s">
        <v>277</v>
      </c>
      <c r="J45" s="624">
        <v>1</v>
      </c>
      <c r="K45" s="624"/>
      <c r="L45" s="624">
        <v>2</v>
      </c>
      <c r="M45" s="640">
        <f>(L45*358)*5</f>
        <v>3580</v>
      </c>
      <c r="N45" s="183" t="s">
        <v>277</v>
      </c>
      <c r="O45" s="624">
        <v>1</v>
      </c>
      <c r="P45" s="624"/>
      <c r="Q45" s="624">
        <v>2</v>
      </c>
      <c r="R45" s="640">
        <f>(Q45*358)*5</f>
        <v>3580</v>
      </c>
      <c r="S45" s="183" t="s">
        <v>277</v>
      </c>
      <c r="T45" s="624">
        <v>1</v>
      </c>
      <c r="U45" s="624"/>
      <c r="V45" s="624">
        <v>2</v>
      </c>
      <c r="W45" s="640">
        <f>(V45*358)*5</f>
        <v>3580</v>
      </c>
    </row>
    <row r="46" spans="1:23">
      <c r="A46" s="2147" t="s">
        <v>41</v>
      </c>
      <c r="B46" s="2148"/>
      <c r="C46" s="164" t="s">
        <v>50</v>
      </c>
      <c r="D46" s="165" t="s">
        <v>246</v>
      </c>
      <c r="E46" s="138"/>
      <c r="F46" s="1785" t="s">
        <v>542</v>
      </c>
      <c r="G46" s="2097"/>
      <c r="H46" s="2098"/>
      <c r="I46" s="138"/>
      <c r="J46" s="624"/>
      <c r="K46" s="624"/>
      <c r="L46" s="624"/>
      <c r="M46" s="640"/>
      <c r="N46" s="138"/>
      <c r="O46" s="624"/>
      <c r="P46" s="624"/>
      <c r="Q46" s="624"/>
      <c r="R46" s="640"/>
      <c r="S46" s="138"/>
      <c r="T46" s="624"/>
      <c r="U46" s="624"/>
      <c r="V46" s="624"/>
      <c r="W46" s="640"/>
    </row>
    <row r="47" spans="1:23">
      <c r="A47" s="2138"/>
      <c r="B47" s="2148"/>
      <c r="C47" s="166" t="s">
        <v>51</v>
      </c>
      <c r="D47" s="165" t="s">
        <v>247</v>
      </c>
      <c r="E47" s="184" t="s">
        <v>277</v>
      </c>
      <c r="F47" s="1785" t="s">
        <v>543</v>
      </c>
      <c r="G47" s="2097"/>
      <c r="H47" s="2098"/>
      <c r="I47" s="184" t="s">
        <v>277</v>
      </c>
      <c r="J47" s="624">
        <v>1</v>
      </c>
      <c r="K47" s="624"/>
      <c r="L47" s="624">
        <v>4</v>
      </c>
      <c r="M47" s="640">
        <f>(L47*145)*5</f>
        <v>2900</v>
      </c>
      <c r="N47" s="184" t="s">
        <v>277</v>
      </c>
      <c r="O47" s="624">
        <v>1</v>
      </c>
      <c r="P47" s="624"/>
      <c r="Q47" s="624">
        <v>4</v>
      </c>
      <c r="R47" s="640">
        <f>(Q47*145)*5</f>
        <v>2900</v>
      </c>
      <c r="S47" s="184" t="s">
        <v>277</v>
      </c>
      <c r="T47" s="624">
        <v>1</v>
      </c>
      <c r="U47" s="624"/>
      <c r="V47" s="624">
        <v>4</v>
      </c>
      <c r="W47" s="640">
        <f>(V47*145)*5</f>
        <v>2900</v>
      </c>
    </row>
    <row r="48" spans="1:23">
      <c r="A48" s="2138"/>
      <c r="B48" s="2148"/>
      <c r="C48" s="166" t="s">
        <v>39</v>
      </c>
      <c r="D48" s="165" t="s">
        <v>248</v>
      </c>
      <c r="E48" s="138"/>
      <c r="F48" s="1785" t="s">
        <v>498</v>
      </c>
      <c r="G48" s="2097"/>
      <c r="H48" s="2098"/>
      <c r="I48" s="138"/>
      <c r="J48" s="624"/>
      <c r="K48" s="624"/>
      <c r="L48" s="624"/>
      <c r="M48" s="640"/>
      <c r="N48" s="138"/>
      <c r="O48" s="624"/>
      <c r="P48" s="624"/>
      <c r="Q48" s="624"/>
      <c r="R48" s="640"/>
      <c r="S48" s="138"/>
      <c r="T48" s="624"/>
      <c r="U48" s="624"/>
      <c r="V48" s="624"/>
      <c r="W48" s="640"/>
    </row>
    <row r="49" spans="1:23" ht="42.75" customHeight="1" thickBot="1">
      <c r="A49" s="2149"/>
      <c r="B49" s="2141"/>
      <c r="C49" s="167" t="s">
        <v>40</v>
      </c>
      <c r="D49" s="165" t="s">
        <v>249</v>
      </c>
      <c r="E49" s="184" t="s">
        <v>277</v>
      </c>
      <c r="F49" s="1785" t="s">
        <v>544</v>
      </c>
      <c r="G49" s="2097"/>
      <c r="H49" s="2098"/>
      <c r="I49" s="184" t="s">
        <v>277</v>
      </c>
      <c r="J49" s="624">
        <v>1</v>
      </c>
      <c r="K49" s="624"/>
      <c r="L49" s="624">
        <v>10</v>
      </c>
      <c r="M49" s="640">
        <f>(L49*254)*5</f>
        <v>12700</v>
      </c>
      <c r="N49" s="184" t="s">
        <v>277</v>
      </c>
      <c r="O49" s="624">
        <v>1</v>
      </c>
      <c r="P49" s="624" t="s">
        <v>16</v>
      </c>
      <c r="Q49" s="624">
        <v>10</v>
      </c>
      <c r="R49" s="640">
        <f>(Q49*254)*5</f>
        <v>12700</v>
      </c>
      <c r="S49" s="184" t="s">
        <v>277</v>
      </c>
      <c r="T49" s="624">
        <v>1</v>
      </c>
      <c r="U49" s="624" t="s">
        <v>16</v>
      </c>
      <c r="V49" s="624">
        <v>10</v>
      </c>
      <c r="W49" s="640">
        <f>(V49*254)*5</f>
        <v>12700</v>
      </c>
    </row>
    <row r="50" spans="1:23" ht="15.75">
      <c r="A50" s="2150" t="s">
        <v>130</v>
      </c>
      <c r="B50" s="2151"/>
      <c r="C50" s="159" t="s">
        <v>131</v>
      </c>
      <c r="D50" s="160" t="s">
        <v>255</v>
      </c>
      <c r="E50" s="183" t="s">
        <v>277</v>
      </c>
      <c r="F50" s="2153"/>
      <c r="G50" s="2097"/>
      <c r="H50" s="2098"/>
      <c r="I50" s="183" t="s">
        <v>277</v>
      </c>
      <c r="J50" s="624">
        <v>1</v>
      </c>
      <c r="K50" s="624"/>
      <c r="L50" s="624">
        <v>5</v>
      </c>
      <c r="M50" s="640">
        <f>(L50*153)*5</f>
        <v>3825</v>
      </c>
      <c r="N50" s="183" t="s">
        <v>277</v>
      </c>
      <c r="O50" s="624">
        <v>1</v>
      </c>
      <c r="P50" s="624"/>
      <c r="Q50" s="624">
        <v>5</v>
      </c>
      <c r="R50" s="640">
        <f>(Q50*153)*5</f>
        <v>3825</v>
      </c>
      <c r="S50" s="183" t="s">
        <v>277</v>
      </c>
      <c r="T50" s="624">
        <v>1</v>
      </c>
      <c r="U50" s="624"/>
      <c r="V50" s="624">
        <v>5</v>
      </c>
      <c r="W50" s="640">
        <f>(V50*153)*5</f>
        <v>3825</v>
      </c>
    </row>
    <row r="51" spans="1:23" ht="48" thickBot="1">
      <c r="A51" s="2149"/>
      <c r="B51" s="2152"/>
      <c r="C51" s="168" t="s">
        <v>132</v>
      </c>
      <c r="D51" s="160" t="s">
        <v>263</v>
      </c>
      <c r="E51" s="183" t="s">
        <v>277</v>
      </c>
      <c r="F51" s="2153"/>
      <c r="G51" s="2097"/>
      <c r="H51" s="2098"/>
      <c r="I51" s="183" t="s">
        <v>277</v>
      </c>
      <c r="J51" s="624">
        <v>3</v>
      </c>
      <c r="K51" s="624"/>
      <c r="L51" s="624">
        <v>15</v>
      </c>
      <c r="M51" s="640">
        <f>(L51*204)*5</f>
        <v>15300</v>
      </c>
      <c r="N51" s="183" t="s">
        <v>277</v>
      </c>
      <c r="O51" s="624">
        <v>5</v>
      </c>
      <c r="P51" s="624" t="s">
        <v>887</v>
      </c>
      <c r="Q51" s="624">
        <v>50</v>
      </c>
      <c r="R51" s="640">
        <f>(Q51*204)*5</f>
        <v>51000</v>
      </c>
      <c r="S51" s="183" t="s">
        <v>277</v>
      </c>
      <c r="T51" s="624">
        <v>2</v>
      </c>
      <c r="U51" s="624" t="s">
        <v>16</v>
      </c>
      <c r="V51" s="624">
        <v>10</v>
      </c>
      <c r="W51" s="640">
        <f>(V51*204)*5</f>
        <v>10200</v>
      </c>
    </row>
    <row r="52" spans="1:23">
      <c r="A52" s="2154" t="s">
        <v>42</v>
      </c>
      <c r="B52" s="2140"/>
      <c r="C52" s="169" t="s">
        <v>38</v>
      </c>
      <c r="D52" s="170" t="s">
        <v>239</v>
      </c>
      <c r="E52" s="183" t="s">
        <v>277</v>
      </c>
      <c r="F52" s="1818" t="s">
        <v>545</v>
      </c>
      <c r="G52" s="2097"/>
      <c r="H52" s="2098"/>
      <c r="I52" s="183" t="s">
        <v>277</v>
      </c>
      <c r="J52" s="624">
        <v>1</v>
      </c>
      <c r="K52" s="624"/>
      <c r="L52" s="624">
        <v>500</v>
      </c>
      <c r="M52" s="640">
        <f>(L52*0.8)*5</f>
        <v>2000</v>
      </c>
      <c r="N52" s="183" t="s">
        <v>277</v>
      </c>
      <c r="O52" s="624">
        <v>1</v>
      </c>
      <c r="P52" s="624"/>
      <c r="Q52" s="624">
        <v>500</v>
      </c>
      <c r="R52" s="640">
        <f>(Q52*0.8)*5</f>
        <v>2000</v>
      </c>
      <c r="S52" s="183" t="s">
        <v>277</v>
      </c>
      <c r="T52" s="624">
        <v>1</v>
      </c>
      <c r="U52" s="624"/>
      <c r="V52" s="624">
        <v>500</v>
      </c>
      <c r="W52" s="640">
        <f>(V52*0.8)*5</f>
        <v>2000</v>
      </c>
    </row>
    <row r="53" spans="1:23">
      <c r="A53" s="2148"/>
      <c r="B53" s="2148"/>
      <c r="C53" s="171" t="s">
        <v>55</v>
      </c>
      <c r="D53" s="170" t="s">
        <v>240</v>
      </c>
      <c r="E53" s="138"/>
      <c r="F53" s="2155"/>
      <c r="G53" s="2097"/>
      <c r="H53" s="2098"/>
      <c r="I53" s="138"/>
      <c r="J53" s="624"/>
      <c r="K53" s="624"/>
      <c r="L53" s="624"/>
      <c r="M53" s="624"/>
      <c r="N53" s="138"/>
      <c r="O53" s="624"/>
      <c r="P53" s="624"/>
      <c r="Q53" s="624"/>
      <c r="R53" s="640"/>
      <c r="S53" s="138"/>
      <c r="T53" s="624"/>
      <c r="U53" s="624"/>
      <c r="V53" s="624"/>
      <c r="W53" s="625"/>
    </row>
    <row r="54" spans="1:23" ht="16.5" thickBot="1">
      <c r="A54" s="2148"/>
      <c r="B54" s="2148"/>
      <c r="C54" s="161" t="s">
        <v>48</v>
      </c>
      <c r="D54" s="172" t="s">
        <v>241</v>
      </c>
      <c r="E54" s="138"/>
      <c r="F54" s="2156"/>
      <c r="G54" s="2097"/>
      <c r="H54" s="2098"/>
      <c r="I54" s="138"/>
      <c r="J54" s="624"/>
      <c r="K54" s="624"/>
      <c r="L54" s="624"/>
      <c r="M54" s="624"/>
      <c r="N54" s="138"/>
      <c r="O54" s="624"/>
      <c r="P54" s="624"/>
      <c r="Q54" s="624"/>
      <c r="R54" s="640"/>
      <c r="S54" s="138"/>
      <c r="T54" s="624"/>
      <c r="U54" s="624"/>
      <c r="V54" s="624"/>
      <c r="W54" s="625"/>
    </row>
    <row r="55" spans="1:23" ht="16.5" thickBot="1">
      <c r="A55" s="2135" t="s">
        <v>500</v>
      </c>
      <c r="B55" s="2097"/>
      <c r="C55" s="173" t="s">
        <v>134</v>
      </c>
      <c r="D55" s="174" t="s">
        <v>269</v>
      </c>
      <c r="E55" s="175"/>
      <c r="F55" s="1818" t="s">
        <v>501</v>
      </c>
      <c r="G55" s="2097"/>
      <c r="H55" s="2098"/>
      <c r="I55" s="175"/>
      <c r="J55" s="627"/>
      <c r="K55" s="627"/>
      <c r="L55" s="627"/>
      <c r="M55" s="627"/>
      <c r="N55" s="175"/>
      <c r="O55" s="627"/>
      <c r="P55" s="627"/>
      <c r="Q55" s="627"/>
      <c r="R55" s="641"/>
      <c r="S55" s="175"/>
      <c r="T55" s="627"/>
      <c r="U55" s="627"/>
      <c r="V55" s="627"/>
      <c r="W55" s="628"/>
    </row>
    <row r="57" spans="1:23">
      <c r="M57" s="1014">
        <f>SUM(M43:M53)</f>
        <v>50805</v>
      </c>
    </row>
    <row r="58" spans="1:23" ht="60">
      <c r="A58" s="630" t="s">
        <v>948</v>
      </c>
      <c r="B58" s="630" t="s">
        <v>949</v>
      </c>
      <c r="C58" s="630" t="s">
        <v>950</v>
      </c>
      <c r="D58" s="630" t="s">
        <v>951</v>
      </c>
      <c r="E58" s="630" t="s">
        <v>952</v>
      </c>
      <c r="F58" s="636" t="s">
        <v>975</v>
      </c>
    </row>
    <row r="59" spans="1:23" ht="90">
      <c r="A59" s="634" t="s">
        <v>953</v>
      </c>
      <c r="B59" s="624" t="s">
        <v>16</v>
      </c>
      <c r="C59" s="624">
        <v>2</v>
      </c>
      <c r="D59" s="624">
        <v>1</v>
      </c>
      <c r="E59" s="638" t="s">
        <v>977</v>
      </c>
      <c r="F59" s="639" t="s">
        <v>1174</v>
      </c>
    </row>
    <row r="60" spans="1:23">
      <c r="A60" s="634" t="s">
        <v>956</v>
      </c>
      <c r="B60" s="624" t="s">
        <v>16</v>
      </c>
      <c r="C60" s="624">
        <v>1</v>
      </c>
      <c r="D60" s="624">
        <v>1</v>
      </c>
      <c r="E60" s="638" t="s">
        <v>979</v>
      </c>
      <c r="F60" s="1094"/>
    </row>
    <row r="61" spans="1:23" ht="60">
      <c r="A61" s="634" t="s">
        <v>1175</v>
      </c>
      <c r="B61" s="624" t="s">
        <v>16</v>
      </c>
      <c r="C61" s="624"/>
      <c r="D61" s="624">
        <v>2.5</v>
      </c>
      <c r="E61" s="638"/>
      <c r="F61" s="639" t="s">
        <v>980</v>
      </c>
    </row>
    <row r="62" spans="1:23">
      <c r="A62" s="634" t="s">
        <v>1176</v>
      </c>
      <c r="B62" s="624" t="s">
        <v>16</v>
      </c>
      <c r="C62" s="624"/>
      <c r="D62" s="624">
        <v>2</v>
      </c>
      <c r="E62" s="638"/>
      <c r="F62" s="1094"/>
    </row>
    <row r="63" spans="1:23">
      <c r="A63" s="634" t="s">
        <v>961</v>
      </c>
      <c r="B63" s="624" t="s">
        <v>16</v>
      </c>
      <c r="C63" s="624">
        <v>10</v>
      </c>
      <c r="D63" s="624">
        <f>C63*0.5</f>
        <v>5</v>
      </c>
      <c r="E63" s="638" t="s">
        <v>981</v>
      </c>
      <c r="F63" s="1094"/>
    </row>
    <row r="64" spans="1:23">
      <c r="A64" s="634" t="s">
        <v>963</v>
      </c>
      <c r="B64" s="624" t="s">
        <v>16</v>
      </c>
      <c r="C64" s="624">
        <v>8</v>
      </c>
      <c r="D64" s="624">
        <f>C64*0.5</f>
        <v>4</v>
      </c>
      <c r="E64" s="638" t="s">
        <v>982</v>
      </c>
      <c r="F64" s="1094"/>
    </row>
    <row r="65" spans="1:6">
      <c r="A65" s="634" t="s">
        <v>965</v>
      </c>
      <c r="B65" s="624" t="s">
        <v>16</v>
      </c>
      <c r="C65" s="624">
        <v>10</v>
      </c>
      <c r="D65" s="624">
        <v>5</v>
      </c>
      <c r="E65" s="638" t="s">
        <v>983</v>
      </c>
      <c r="F65" s="1094"/>
    </row>
    <row r="66" spans="1:6">
      <c r="A66" s="634" t="s">
        <v>967</v>
      </c>
      <c r="B66" s="624" t="s">
        <v>52</v>
      </c>
      <c r="C66" s="624">
        <v>2</v>
      </c>
      <c r="D66" s="624">
        <v>4</v>
      </c>
      <c r="E66" s="638" t="s">
        <v>984</v>
      </c>
      <c r="F66" s="1094"/>
    </row>
    <row r="67" spans="1:6">
      <c r="A67" s="634" t="s">
        <v>969</v>
      </c>
      <c r="B67" s="624" t="s">
        <v>16</v>
      </c>
      <c r="C67" s="624">
        <v>3</v>
      </c>
      <c r="D67" s="624">
        <v>1.5</v>
      </c>
      <c r="E67" s="638"/>
      <c r="F67" s="1094"/>
    </row>
    <row r="68" spans="1:6" ht="75">
      <c r="A68" s="634" t="s">
        <v>971</v>
      </c>
      <c r="B68" s="624" t="s">
        <v>16</v>
      </c>
      <c r="C68" s="624">
        <v>10</v>
      </c>
      <c r="D68" s="624">
        <f>C68*0.3</f>
        <v>3</v>
      </c>
      <c r="E68" s="638"/>
      <c r="F68" s="639" t="s">
        <v>985</v>
      </c>
    </row>
    <row r="69" spans="1:6">
      <c r="A69" s="634" t="s">
        <v>986</v>
      </c>
      <c r="B69" s="624"/>
      <c r="C69" s="624"/>
      <c r="D69" s="624"/>
      <c r="E69" s="638"/>
      <c r="F69" s="1094"/>
    </row>
    <row r="70" spans="1:6">
      <c r="A70" s="634"/>
      <c r="B70" s="624"/>
      <c r="C70" s="624"/>
      <c r="D70" s="624"/>
      <c r="E70" s="638"/>
      <c r="F70" s="1094"/>
    </row>
    <row r="71" spans="1:6">
      <c r="A71" s="634"/>
      <c r="B71" s="624"/>
      <c r="C71" s="624"/>
      <c r="D71" s="624"/>
      <c r="E71" s="638"/>
      <c r="F71" s="1094"/>
    </row>
    <row r="72" spans="1:6">
      <c r="A72" s="1093"/>
      <c r="B72" s="1093"/>
      <c r="C72" s="1093"/>
      <c r="D72" s="1093">
        <f>SUM(D59:D71)</f>
        <v>29</v>
      </c>
      <c r="E72" s="1093"/>
      <c r="F72" s="1093"/>
    </row>
    <row r="75" spans="1:6">
      <c r="A75" s="2311" t="s">
        <v>1270</v>
      </c>
      <c r="B75" s="2312"/>
      <c r="C75" s="2312"/>
      <c r="D75" s="2312"/>
      <c r="E75" s="2312"/>
      <c r="F75" s="2312"/>
    </row>
    <row r="76" spans="1:6" ht="75">
      <c r="A76" s="1273" t="s">
        <v>1271</v>
      </c>
      <c r="B76" s="1273" t="s">
        <v>1272</v>
      </c>
      <c r="C76" s="1273" t="s">
        <v>1273</v>
      </c>
      <c r="D76" s="1273" t="s">
        <v>1274</v>
      </c>
      <c r="E76" s="1273" t="s">
        <v>1275</v>
      </c>
      <c r="F76" s="1273" t="s">
        <v>1276</v>
      </c>
    </row>
    <row r="77" spans="1:6" ht="120">
      <c r="A77" s="1698" t="s">
        <v>1312</v>
      </c>
      <c r="B77" s="1698" t="s">
        <v>1313</v>
      </c>
      <c r="C77" s="1272" t="s">
        <v>1314</v>
      </c>
      <c r="D77" s="1272" t="s">
        <v>52</v>
      </c>
      <c r="E77" s="1274" t="s">
        <v>1315</v>
      </c>
      <c r="F77" s="1272">
        <v>10</v>
      </c>
    </row>
    <row r="78" spans="1:6" ht="135">
      <c r="A78" s="1698" t="s">
        <v>1316</v>
      </c>
      <c r="B78" s="1698" t="s">
        <v>1317</v>
      </c>
      <c r="C78" s="1272" t="s">
        <v>1314</v>
      </c>
      <c r="D78" s="1272" t="s">
        <v>52</v>
      </c>
      <c r="E78" s="1274" t="s">
        <v>1315</v>
      </c>
      <c r="F78" s="1272">
        <v>10</v>
      </c>
    </row>
  </sheetData>
  <mergeCells count="58">
    <mergeCell ref="A75:F75"/>
    <mergeCell ref="C11:H11"/>
    <mergeCell ref="B2:D2"/>
    <mergeCell ref="B3:D3"/>
    <mergeCell ref="B4:D4"/>
    <mergeCell ref="B6:D6"/>
    <mergeCell ref="B8:D8"/>
    <mergeCell ref="A11:B11"/>
    <mergeCell ref="E13:H14"/>
    <mergeCell ref="A15:B15"/>
    <mergeCell ref="F15:H15"/>
    <mergeCell ref="A16:B18"/>
    <mergeCell ref="F16:H18"/>
    <mergeCell ref="A19:B21"/>
    <mergeCell ref="F19:H21"/>
    <mergeCell ref="A22:B23"/>
    <mergeCell ref="F22:H23"/>
    <mergeCell ref="A24:B26"/>
    <mergeCell ref="F24:H26"/>
    <mergeCell ref="A27:C27"/>
    <mergeCell ref="F27:H27"/>
    <mergeCell ref="A28:B30"/>
    <mergeCell ref="F28:H30"/>
    <mergeCell ref="A31:B33"/>
    <mergeCell ref="F31:H33"/>
    <mergeCell ref="A34:B34"/>
    <mergeCell ref="F34:H34"/>
    <mergeCell ref="A35:B35"/>
    <mergeCell ref="F35:H35"/>
    <mergeCell ref="A36:B37"/>
    <mergeCell ref="F36:H37"/>
    <mergeCell ref="A38:B40"/>
    <mergeCell ref="F38:H38"/>
    <mergeCell ref="F39:H40"/>
    <mergeCell ref="A41:B43"/>
    <mergeCell ref="F41:H42"/>
    <mergeCell ref="F43:H43"/>
    <mergeCell ref="A46:B49"/>
    <mergeCell ref="F46:H46"/>
    <mergeCell ref="F47:H47"/>
    <mergeCell ref="F48:H48"/>
    <mergeCell ref="F49:H49"/>
    <mergeCell ref="I14:M14"/>
    <mergeCell ref="N14:R14"/>
    <mergeCell ref="S14:W14"/>
    <mergeCell ref="A55:B55"/>
    <mergeCell ref="F55:H55"/>
    <mergeCell ref="A50:B51"/>
    <mergeCell ref="F50:H50"/>
    <mergeCell ref="F51:H51"/>
    <mergeCell ref="A52:B54"/>
    <mergeCell ref="F52:H52"/>
    <mergeCell ref="F53:H53"/>
    <mergeCell ref="F54:H54"/>
    <mergeCell ref="A44:C44"/>
    <mergeCell ref="F44:H44"/>
    <mergeCell ref="A45:C45"/>
    <mergeCell ref="F45:H45"/>
  </mergeCells>
  <dataValidations count="3">
    <dataValidation type="list" allowBlank="1" showErrorMessage="1" sqref="H8:H10">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3" location="SOMMAIRE!A1" display="Retour sommaire"/>
    <hyperlink ref="J5" location="SYNTHESE!A1" display="Retour synthèse"/>
  </hyperlinks>
  <pageMargins left="0.7" right="0.7" top="0.75" bottom="0.75" header="0.3" footer="0.3"/>
  <pageSetup paperSize="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W63"/>
  <sheetViews>
    <sheetView topLeftCell="A36" zoomScale="80" zoomScaleNormal="80" workbookViewId="0">
      <selection activeCell="H61" sqref="H61"/>
    </sheetView>
  </sheetViews>
  <sheetFormatPr baseColWidth="10" defaultRowHeight="15"/>
  <cols>
    <col min="3" max="3" width="52.28515625" customWidth="1"/>
    <col min="8" max="8" width="23.140625" customWidth="1"/>
  </cols>
  <sheetData>
    <row r="1" spans="1:23" ht="15.75" thickBot="1"/>
    <row r="2" spans="1:23" ht="15.75" thickBot="1">
      <c r="A2" s="109" t="s">
        <v>0</v>
      </c>
      <c r="B2" s="2029" t="s">
        <v>503</v>
      </c>
      <c r="C2" s="2144"/>
      <c r="D2" s="2145"/>
      <c r="E2" s="110"/>
      <c r="F2" s="110"/>
      <c r="G2" s="111" t="s">
        <v>462</v>
      </c>
      <c r="H2" s="185"/>
      <c r="J2" s="13" t="s">
        <v>73</v>
      </c>
      <c r="K2" s="1251"/>
    </row>
    <row r="3" spans="1:23" ht="15.75" thickBot="1">
      <c r="A3" s="113" t="s">
        <v>344</v>
      </c>
      <c r="B3" s="2029" t="s">
        <v>503</v>
      </c>
      <c r="C3" s="2144"/>
      <c r="D3" s="2145"/>
      <c r="E3" s="110"/>
      <c r="F3" s="110"/>
      <c r="G3" s="114" t="s">
        <v>10</v>
      </c>
      <c r="H3" s="177" t="s">
        <v>16</v>
      </c>
      <c r="J3" s="13"/>
      <c r="K3" s="1251"/>
    </row>
    <row r="4" spans="1:23" ht="15.75" thickBot="1">
      <c r="A4" s="114" t="s">
        <v>3</v>
      </c>
      <c r="B4" s="1823" t="s">
        <v>534</v>
      </c>
      <c r="C4" s="2144"/>
      <c r="D4" s="2145"/>
      <c r="E4" s="115"/>
      <c r="F4" s="110"/>
      <c r="G4" s="116" t="s">
        <v>26</v>
      </c>
      <c r="H4" s="190">
        <v>8</v>
      </c>
      <c r="J4" s="13" t="s">
        <v>381</v>
      </c>
      <c r="K4" s="1251"/>
    </row>
    <row r="5" spans="1:23" ht="15.75" thickBot="1">
      <c r="A5" s="110"/>
      <c r="B5" s="110"/>
      <c r="C5" s="110"/>
      <c r="D5" s="110"/>
      <c r="E5" s="110"/>
      <c r="F5" s="110"/>
      <c r="G5" s="110"/>
      <c r="H5" s="110"/>
    </row>
    <row r="6" spans="1:23" ht="150.75" thickBot="1">
      <c r="A6" s="109" t="s">
        <v>465</v>
      </c>
      <c r="B6" s="1823" t="s">
        <v>1592</v>
      </c>
      <c r="C6" s="2267"/>
      <c r="D6" s="2268"/>
      <c r="E6" s="110"/>
      <c r="F6" s="110"/>
      <c r="G6" s="118" t="s">
        <v>466</v>
      </c>
      <c r="H6" s="178" t="s">
        <v>535</v>
      </c>
    </row>
    <row r="7" spans="1:23" ht="15.75" thickBot="1">
      <c r="B7" s="110"/>
      <c r="C7" s="110"/>
      <c r="D7" s="110"/>
      <c r="E7" s="110"/>
      <c r="F7" s="110"/>
      <c r="G7" s="120"/>
      <c r="H7" s="110"/>
    </row>
    <row r="8" spans="1:23" ht="60.75" thickBot="1">
      <c r="A8" s="121" t="s">
        <v>7</v>
      </c>
      <c r="B8" s="1823" t="s">
        <v>536</v>
      </c>
      <c r="C8" s="2144"/>
      <c r="D8" s="2145"/>
      <c r="E8" s="115"/>
      <c r="F8" s="122"/>
      <c r="G8" s="584" t="s">
        <v>469</v>
      </c>
      <c r="H8" s="123" t="s">
        <v>508</v>
      </c>
    </row>
    <row r="9" spans="1:23" ht="15.75" thickBot="1">
      <c r="A9" s="179"/>
      <c r="B9" s="180"/>
      <c r="C9" s="181"/>
      <c r="D9" s="181"/>
      <c r="E9" s="115"/>
      <c r="F9" s="122"/>
      <c r="G9" s="585"/>
      <c r="H9" s="123"/>
    </row>
    <row r="10" spans="1:23" ht="15.75" thickBot="1">
      <c r="B10" s="110"/>
      <c r="C10" s="110"/>
      <c r="D10" s="110"/>
      <c r="E10" s="110"/>
      <c r="F10" s="110"/>
      <c r="G10" s="585"/>
      <c r="H10" s="123"/>
    </row>
    <row r="11" spans="1:23" ht="189.75" customHeight="1">
      <c r="A11" s="2174" t="s">
        <v>471</v>
      </c>
      <c r="B11" s="2148"/>
      <c r="C11" s="1805" t="s">
        <v>538</v>
      </c>
      <c r="D11" s="1805"/>
      <c r="E11" s="1805"/>
      <c r="F11" s="1805"/>
      <c r="G11" s="1805"/>
      <c r="H11" s="1805"/>
    </row>
    <row r="12" spans="1:23">
      <c r="A12" s="126"/>
      <c r="B12" s="115"/>
      <c r="C12" s="115"/>
      <c r="D12" s="115"/>
      <c r="E12" s="115"/>
      <c r="F12" s="122"/>
      <c r="G12" s="125"/>
      <c r="H12" s="125"/>
    </row>
    <row r="13" spans="1:23">
      <c r="A13" s="126"/>
      <c r="B13" s="115"/>
      <c r="C13" s="115"/>
      <c r="D13" s="115"/>
      <c r="E13" s="2181" t="s">
        <v>473</v>
      </c>
      <c r="F13" s="2148"/>
      <c r="G13" s="2148"/>
      <c r="H13" s="2148"/>
    </row>
    <row r="14" spans="1:23">
      <c r="A14" s="110"/>
      <c r="B14" s="110"/>
      <c r="C14" s="110"/>
      <c r="D14" s="110"/>
      <c r="E14" s="2141"/>
      <c r="F14" s="2141"/>
      <c r="G14" s="2141"/>
      <c r="H14" s="2141"/>
      <c r="I14" s="2186">
        <v>2025</v>
      </c>
      <c r="J14" s="2097"/>
      <c r="K14" s="2097"/>
      <c r="L14" s="2097"/>
      <c r="M14" s="2098"/>
      <c r="N14" s="2186">
        <v>2026</v>
      </c>
      <c r="O14" s="2097"/>
      <c r="P14" s="2097"/>
      <c r="Q14" s="2097"/>
      <c r="R14" s="2098"/>
      <c r="S14" s="2186">
        <v>2027</v>
      </c>
      <c r="T14" s="2097"/>
      <c r="U14" s="2097"/>
      <c r="V14" s="2097"/>
      <c r="W14" s="2098"/>
    </row>
    <row r="15" spans="1:23" ht="45.75" thickBot="1">
      <c r="A15" s="2184" t="s">
        <v>5</v>
      </c>
      <c r="B15" s="2137"/>
      <c r="C15" s="128" t="s">
        <v>1</v>
      </c>
      <c r="D15" s="128" t="s">
        <v>260</v>
      </c>
      <c r="E15" s="129" t="s">
        <v>474</v>
      </c>
      <c r="F15" s="2182" t="s">
        <v>6</v>
      </c>
      <c r="G15" s="2097"/>
      <c r="H15" s="2098"/>
      <c r="I15" s="615" t="s">
        <v>474</v>
      </c>
      <c r="J15" s="616" t="s">
        <v>944</v>
      </c>
      <c r="K15" s="617" t="s">
        <v>945</v>
      </c>
      <c r="L15" s="616" t="s">
        <v>946</v>
      </c>
      <c r="M15" s="618" t="s">
        <v>947</v>
      </c>
      <c r="N15" s="615" t="s">
        <v>474</v>
      </c>
      <c r="O15" s="616" t="s">
        <v>944</v>
      </c>
      <c r="P15" s="617" t="s">
        <v>945</v>
      </c>
      <c r="Q15" s="616" t="s">
        <v>946</v>
      </c>
      <c r="R15" s="618" t="s">
        <v>947</v>
      </c>
      <c r="S15" s="615" t="s">
        <v>474</v>
      </c>
      <c r="T15" s="616" t="s">
        <v>944</v>
      </c>
      <c r="U15" s="617" t="s">
        <v>945</v>
      </c>
      <c r="V15" s="616" t="s">
        <v>946</v>
      </c>
      <c r="W15" s="618" t="s">
        <v>947</v>
      </c>
    </row>
    <row r="16" spans="1:23">
      <c r="A16" s="2183" t="s">
        <v>17</v>
      </c>
      <c r="B16" s="2140"/>
      <c r="C16" s="130" t="s">
        <v>59</v>
      </c>
      <c r="D16" s="131" t="s">
        <v>251</v>
      </c>
      <c r="E16" s="132"/>
      <c r="F16" s="1828" t="s">
        <v>475</v>
      </c>
      <c r="G16" s="2140"/>
      <c r="H16" s="2137"/>
      <c r="I16" s="619"/>
      <c r="J16" s="620"/>
      <c r="K16" s="620"/>
      <c r="L16" s="620"/>
      <c r="M16" s="621"/>
      <c r="N16" s="619"/>
      <c r="O16" s="620"/>
      <c r="P16" s="620"/>
      <c r="Q16" s="620"/>
      <c r="R16" s="621"/>
      <c r="S16" s="619"/>
      <c r="T16" s="620"/>
      <c r="U16" s="620"/>
      <c r="V16" s="620"/>
      <c r="W16" s="622"/>
    </row>
    <row r="17" spans="1:23">
      <c r="A17" s="2148"/>
      <c r="B17" s="2148"/>
      <c r="C17" s="133" t="s">
        <v>18</v>
      </c>
      <c r="D17" s="134" t="s">
        <v>168</v>
      </c>
      <c r="E17" s="135"/>
      <c r="F17" s="1845"/>
      <c r="G17" s="1845"/>
      <c r="H17" s="2139"/>
      <c r="I17" s="623"/>
      <c r="J17" s="624"/>
      <c r="K17" s="624"/>
      <c r="L17" s="624"/>
      <c r="M17" s="624"/>
      <c r="N17" s="623"/>
      <c r="O17" s="624"/>
      <c r="P17" s="624"/>
      <c r="Q17" s="624"/>
      <c r="R17" s="624"/>
      <c r="S17" s="623"/>
      <c r="T17" s="624"/>
      <c r="U17" s="624"/>
      <c r="V17" s="624"/>
      <c r="W17" s="625"/>
    </row>
    <row r="18" spans="1:23" ht="15.75" thickBot="1">
      <c r="A18" s="2141"/>
      <c r="B18" s="2141"/>
      <c r="C18" s="136" t="s">
        <v>19</v>
      </c>
      <c r="D18" s="137" t="s">
        <v>233</v>
      </c>
      <c r="E18" s="138"/>
      <c r="F18" s="2141"/>
      <c r="G18" s="2141"/>
      <c r="H18" s="2142"/>
      <c r="I18" s="326"/>
      <c r="J18" s="624"/>
      <c r="K18" s="624"/>
      <c r="L18" s="624"/>
      <c r="M18" s="624"/>
      <c r="N18" s="326"/>
      <c r="O18" s="624"/>
      <c r="P18" s="624"/>
      <c r="Q18" s="624"/>
      <c r="R18" s="624"/>
      <c r="S18" s="326"/>
      <c r="T18" s="624"/>
      <c r="U18" s="624"/>
      <c r="V18" s="624"/>
      <c r="W18" s="625"/>
    </row>
    <row r="19" spans="1:23">
      <c r="A19" s="2183" t="s">
        <v>20</v>
      </c>
      <c r="B19" s="2140"/>
      <c r="C19" s="130" t="s">
        <v>54</v>
      </c>
      <c r="D19" s="137" t="s">
        <v>261</v>
      </c>
      <c r="E19" s="138"/>
      <c r="F19" s="1828" t="s">
        <v>475</v>
      </c>
      <c r="G19" s="2140"/>
      <c r="H19" s="2137"/>
      <c r="I19" s="326"/>
      <c r="J19" s="624"/>
      <c r="K19" s="624"/>
      <c r="L19" s="624"/>
      <c r="M19" s="624"/>
      <c r="N19" s="326"/>
      <c r="O19" s="624"/>
      <c r="P19" s="624"/>
      <c r="Q19" s="624"/>
      <c r="R19" s="624"/>
      <c r="S19" s="326"/>
      <c r="T19" s="624"/>
      <c r="U19" s="624"/>
      <c r="V19" s="624"/>
      <c r="W19" s="625"/>
    </row>
    <row r="20" spans="1:23">
      <c r="A20" s="2148"/>
      <c r="B20" s="2148"/>
      <c r="C20" s="139" t="s">
        <v>21</v>
      </c>
      <c r="D20" s="137" t="s">
        <v>234</v>
      </c>
      <c r="E20" s="138"/>
      <c r="F20" s="1845"/>
      <c r="G20" s="1845"/>
      <c r="H20" s="2139"/>
      <c r="I20" s="326"/>
      <c r="J20" s="624"/>
      <c r="K20" s="624"/>
      <c r="L20" s="624"/>
      <c r="M20" s="624"/>
      <c r="N20" s="326"/>
      <c r="O20" s="624"/>
      <c r="P20" s="624"/>
      <c r="Q20" s="624"/>
      <c r="R20" s="624"/>
      <c r="S20" s="326"/>
      <c r="T20" s="624"/>
      <c r="U20" s="624"/>
      <c r="V20" s="624"/>
      <c r="W20" s="625"/>
    </row>
    <row r="21" spans="1:23" ht="15.75" thickBot="1">
      <c r="A21" s="2148"/>
      <c r="B21" s="2148"/>
      <c r="C21" s="136" t="s">
        <v>22</v>
      </c>
      <c r="D21" s="137" t="s">
        <v>235</v>
      </c>
      <c r="E21" s="138"/>
      <c r="F21" s="2141"/>
      <c r="G21" s="2141"/>
      <c r="H21" s="2142"/>
      <c r="I21" s="326"/>
      <c r="J21" s="624"/>
      <c r="K21" s="624"/>
      <c r="L21" s="624"/>
      <c r="M21" s="624"/>
      <c r="N21" s="326"/>
      <c r="O21" s="624"/>
      <c r="P21" s="624"/>
      <c r="Q21" s="624"/>
      <c r="R21" s="624"/>
      <c r="S21" s="326"/>
      <c r="T21" s="624"/>
      <c r="U21" s="624"/>
      <c r="V21" s="624"/>
      <c r="W21" s="625"/>
    </row>
    <row r="22" spans="1:23">
      <c r="A22" s="2183" t="s">
        <v>23</v>
      </c>
      <c r="B22" s="2140"/>
      <c r="C22" s="140" t="s">
        <v>69</v>
      </c>
      <c r="D22" s="137" t="s">
        <v>267</v>
      </c>
      <c r="E22" s="138"/>
      <c r="F22" s="1828" t="s">
        <v>477</v>
      </c>
      <c r="G22" s="2140"/>
      <c r="H22" s="2137"/>
      <c r="I22" s="326"/>
      <c r="J22" s="624"/>
      <c r="K22" s="624"/>
      <c r="L22" s="624"/>
      <c r="M22" s="624"/>
      <c r="N22" s="326"/>
      <c r="O22" s="624"/>
      <c r="P22" s="624"/>
      <c r="Q22" s="624"/>
      <c r="R22" s="624"/>
      <c r="S22" s="326"/>
      <c r="T22" s="624"/>
      <c r="U22" s="624"/>
      <c r="V22" s="624"/>
      <c r="W22" s="625"/>
    </row>
    <row r="23" spans="1:23" ht="15.75" thickBot="1">
      <c r="A23" s="2141"/>
      <c r="B23" s="2141"/>
      <c r="C23" s="141" t="s">
        <v>24</v>
      </c>
      <c r="D23" s="142" t="s">
        <v>236</v>
      </c>
      <c r="E23" s="138"/>
      <c r="F23" s="2141"/>
      <c r="G23" s="2141"/>
      <c r="H23" s="2142"/>
      <c r="I23" s="326"/>
      <c r="J23" s="624"/>
      <c r="K23" s="624"/>
      <c r="L23" s="624"/>
      <c r="M23" s="624"/>
      <c r="N23" s="326"/>
      <c r="O23" s="624"/>
      <c r="P23" s="624"/>
      <c r="Q23" s="624"/>
      <c r="R23" s="624"/>
      <c r="S23" s="326"/>
      <c r="T23" s="624"/>
      <c r="U23" s="624"/>
      <c r="V23" s="624"/>
      <c r="W23" s="625"/>
    </row>
    <row r="24" spans="1:23" ht="15.75">
      <c r="A24" s="2136" t="s">
        <v>478</v>
      </c>
      <c r="B24" s="2137"/>
      <c r="C24" s="143" t="s">
        <v>360</v>
      </c>
      <c r="D24" s="142" t="s">
        <v>265</v>
      </c>
      <c r="E24" s="138"/>
      <c r="F24" s="1828" t="s">
        <v>477</v>
      </c>
      <c r="G24" s="2140"/>
      <c r="H24" s="2137"/>
      <c r="I24" s="326"/>
      <c r="J24" s="624"/>
      <c r="K24" s="624"/>
      <c r="L24" s="624"/>
      <c r="M24" s="624"/>
      <c r="N24" s="326"/>
      <c r="O24" s="624"/>
      <c r="P24" s="624"/>
      <c r="Q24" s="624"/>
      <c r="R24" s="624"/>
      <c r="S24" s="326"/>
      <c r="T24" s="624"/>
      <c r="U24" s="624"/>
      <c r="V24" s="624"/>
      <c r="W24" s="625"/>
    </row>
    <row r="25" spans="1:23" ht="15.75">
      <c r="A25" s="2138"/>
      <c r="B25" s="2139"/>
      <c r="C25" s="144" t="s">
        <v>361</v>
      </c>
      <c r="D25" s="142" t="s">
        <v>362</v>
      </c>
      <c r="E25" s="138"/>
      <c r="F25" s="1845"/>
      <c r="G25" s="1845"/>
      <c r="H25" s="2139"/>
      <c r="I25" s="326"/>
      <c r="J25" s="624"/>
      <c r="K25" s="624"/>
      <c r="L25" s="624"/>
      <c r="M25" s="624"/>
      <c r="N25" s="326"/>
      <c r="O25" s="624"/>
      <c r="P25" s="624"/>
      <c r="Q25" s="624"/>
      <c r="R25" s="624"/>
      <c r="S25" s="326"/>
      <c r="T25" s="624"/>
      <c r="U25" s="624"/>
      <c r="V25" s="624"/>
      <c r="W25" s="625"/>
    </row>
    <row r="26" spans="1:23" ht="16.5" thickBot="1">
      <c r="A26" s="2138"/>
      <c r="B26" s="2139"/>
      <c r="C26" s="145" t="s">
        <v>479</v>
      </c>
      <c r="D26" s="142" t="s">
        <v>480</v>
      </c>
      <c r="E26" s="138"/>
      <c r="F26" s="2141"/>
      <c r="G26" s="2141"/>
      <c r="H26" s="2142"/>
      <c r="I26" s="326"/>
      <c r="J26" s="624"/>
      <c r="K26" s="624"/>
      <c r="L26" s="624"/>
      <c r="M26" s="624"/>
      <c r="N26" s="326"/>
      <c r="O26" s="624"/>
      <c r="P26" s="624"/>
      <c r="Q26" s="624"/>
      <c r="R26" s="624"/>
      <c r="S26" s="326"/>
      <c r="T26" s="624"/>
      <c r="U26" s="624"/>
      <c r="V26" s="624"/>
      <c r="W26" s="625"/>
    </row>
    <row r="27" spans="1:23" ht="15.75" thickBot="1">
      <c r="A27" s="2143" t="s">
        <v>25</v>
      </c>
      <c r="B27" s="2144"/>
      <c r="C27" s="2145"/>
      <c r="D27" s="146" t="s">
        <v>270</v>
      </c>
      <c r="E27" s="138"/>
      <c r="F27" s="1818" t="s">
        <v>481</v>
      </c>
      <c r="G27" s="2097"/>
      <c r="H27" s="2098"/>
      <c r="I27" s="326"/>
      <c r="J27" s="624"/>
      <c r="K27" s="624"/>
      <c r="L27" s="624"/>
      <c r="M27" s="624"/>
      <c r="N27" s="326"/>
      <c r="O27" s="624"/>
      <c r="P27" s="624"/>
      <c r="Q27" s="624"/>
      <c r="R27" s="624"/>
      <c r="S27" s="326"/>
      <c r="T27" s="624"/>
      <c r="U27" s="624"/>
      <c r="V27" s="624"/>
      <c r="W27" s="625"/>
    </row>
    <row r="28" spans="1:23" ht="15.75">
      <c r="A28" s="2157" t="s">
        <v>153</v>
      </c>
      <c r="B28" s="2158"/>
      <c r="C28" s="147" t="s">
        <v>152</v>
      </c>
      <c r="D28" s="148" t="s">
        <v>268</v>
      </c>
      <c r="E28" s="138"/>
      <c r="F28" s="1828" t="s">
        <v>475</v>
      </c>
      <c r="G28" s="2140"/>
      <c r="H28" s="2137"/>
      <c r="I28" s="326"/>
      <c r="J28" s="624"/>
      <c r="K28" s="624"/>
      <c r="L28" s="624"/>
      <c r="M28" s="624"/>
      <c r="N28" s="326"/>
      <c r="O28" s="624"/>
      <c r="P28" s="624"/>
      <c r="Q28" s="624"/>
      <c r="R28" s="624"/>
      <c r="S28" s="326"/>
      <c r="T28" s="624"/>
      <c r="U28" s="624"/>
      <c r="V28" s="624"/>
      <c r="W28" s="625"/>
    </row>
    <row r="29" spans="1:23" ht="15.75">
      <c r="A29" s="2138"/>
      <c r="B29" s="2158"/>
      <c r="C29" s="149" t="s">
        <v>154</v>
      </c>
      <c r="D29" s="148" t="s">
        <v>392</v>
      </c>
      <c r="E29" s="138"/>
      <c r="F29" s="1845"/>
      <c r="G29" s="1845"/>
      <c r="H29" s="2139"/>
      <c r="I29" s="326"/>
      <c r="J29" s="624"/>
      <c r="K29" s="624"/>
      <c r="L29" s="624"/>
      <c r="M29" s="624"/>
      <c r="N29" s="326"/>
      <c r="O29" s="624"/>
      <c r="P29" s="624"/>
      <c r="Q29" s="624"/>
      <c r="R29" s="624"/>
      <c r="S29" s="326"/>
      <c r="T29" s="624"/>
      <c r="U29" s="624"/>
      <c r="V29" s="624"/>
      <c r="W29" s="625"/>
    </row>
    <row r="30" spans="1:23" ht="16.5" thickBot="1">
      <c r="A30" s="2149"/>
      <c r="B30" s="2152"/>
      <c r="C30" s="150" t="s">
        <v>400</v>
      </c>
      <c r="D30" s="148" t="s">
        <v>393</v>
      </c>
      <c r="E30" s="138"/>
      <c r="F30" s="2141"/>
      <c r="G30" s="2141"/>
      <c r="H30" s="2142"/>
      <c r="I30" s="326"/>
      <c r="J30" s="624"/>
      <c r="K30" s="624"/>
      <c r="L30" s="624"/>
      <c r="M30" s="624"/>
      <c r="N30" s="326"/>
      <c r="O30" s="624"/>
      <c r="P30" s="624"/>
      <c r="Q30" s="624"/>
      <c r="R30" s="624"/>
      <c r="S30" s="326"/>
      <c r="T30" s="624"/>
      <c r="U30" s="624"/>
      <c r="V30" s="624"/>
      <c r="W30" s="625"/>
    </row>
    <row r="31" spans="1:23" ht="15.75">
      <c r="A31" s="2159" t="s">
        <v>153</v>
      </c>
      <c r="B31" s="2151"/>
      <c r="C31" s="151" t="s">
        <v>155</v>
      </c>
      <c r="D31" s="148" t="s">
        <v>266</v>
      </c>
      <c r="E31" s="138"/>
      <c r="F31" s="1828" t="s">
        <v>475</v>
      </c>
      <c r="G31" s="2140"/>
      <c r="H31" s="2137"/>
      <c r="I31" s="326"/>
      <c r="J31" s="624"/>
      <c r="K31" s="624"/>
      <c r="L31" s="624"/>
      <c r="M31" s="624"/>
      <c r="N31" s="326"/>
      <c r="O31" s="624"/>
      <c r="P31" s="624"/>
      <c r="Q31" s="624"/>
      <c r="R31" s="624"/>
      <c r="S31" s="326"/>
      <c r="T31" s="624"/>
      <c r="U31" s="624"/>
      <c r="V31" s="624"/>
      <c r="W31" s="625"/>
    </row>
    <row r="32" spans="1:23" ht="15.75">
      <c r="A32" s="2138"/>
      <c r="B32" s="2158"/>
      <c r="C32" s="149" t="s">
        <v>156</v>
      </c>
      <c r="D32" s="148" t="s">
        <v>394</v>
      </c>
      <c r="E32" s="138"/>
      <c r="F32" s="1845"/>
      <c r="G32" s="1845"/>
      <c r="H32" s="2139"/>
      <c r="I32" s="326"/>
      <c r="J32" s="624"/>
      <c r="K32" s="624"/>
      <c r="L32" s="624"/>
      <c r="M32" s="624"/>
      <c r="N32" s="326"/>
      <c r="O32" s="624"/>
      <c r="P32" s="624"/>
      <c r="Q32" s="624"/>
      <c r="R32" s="624"/>
      <c r="S32" s="326"/>
      <c r="T32" s="624"/>
      <c r="U32" s="624"/>
      <c r="V32" s="624"/>
      <c r="W32" s="625"/>
    </row>
    <row r="33" spans="1:23" ht="16.5" thickBot="1">
      <c r="A33" s="2149"/>
      <c r="B33" s="2152"/>
      <c r="C33" s="150" t="s">
        <v>399</v>
      </c>
      <c r="D33" s="148" t="s">
        <v>395</v>
      </c>
      <c r="E33" s="138"/>
      <c r="F33" s="2141"/>
      <c r="G33" s="2141"/>
      <c r="H33" s="2142"/>
      <c r="I33" s="326"/>
      <c r="J33" s="624"/>
      <c r="K33" s="624"/>
      <c r="L33" s="624"/>
      <c r="M33" s="624"/>
      <c r="N33" s="326"/>
      <c r="O33" s="624"/>
      <c r="P33" s="624"/>
      <c r="Q33" s="624"/>
      <c r="R33" s="624"/>
      <c r="S33" s="326"/>
      <c r="T33" s="624"/>
      <c r="U33" s="624"/>
      <c r="V33" s="624"/>
      <c r="W33" s="625"/>
    </row>
    <row r="34" spans="1:23" ht="16.5" thickBot="1">
      <c r="A34" s="2159" t="s">
        <v>482</v>
      </c>
      <c r="B34" s="2151"/>
      <c r="C34" s="151" t="s">
        <v>365</v>
      </c>
      <c r="D34" s="148" t="s">
        <v>252</v>
      </c>
      <c r="E34" s="138"/>
      <c r="F34" s="1828" t="s">
        <v>483</v>
      </c>
      <c r="G34" s="2140"/>
      <c r="H34" s="2137"/>
      <c r="I34" s="326"/>
      <c r="J34" s="624"/>
      <c r="K34" s="624"/>
      <c r="L34" s="624"/>
      <c r="M34" s="624"/>
      <c r="N34" s="326"/>
      <c r="O34" s="624"/>
      <c r="P34" s="624"/>
      <c r="Q34" s="624"/>
      <c r="R34" s="624"/>
      <c r="S34" s="326"/>
      <c r="T34" s="624"/>
      <c r="U34" s="624"/>
      <c r="V34" s="624"/>
      <c r="W34" s="625"/>
    </row>
    <row r="35" spans="1:23" ht="16.5" thickBot="1">
      <c r="A35" s="2159" t="s">
        <v>484</v>
      </c>
      <c r="B35" s="2151"/>
      <c r="C35" s="151" t="s">
        <v>485</v>
      </c>
      <c r="D35" s="148" t="s">
        <v>264</v>
      </c>
      <c r="E35" s="138"/>
      <c r="F35" s="2160"/>
      <c r="G35" s="2140"/>
      <c r="H35" s="2137"/>
      <c r="I35" s="326"/>
      <c r="J35" s="624"/>
      <c r="K35" s="624"/>
      <c r="L35" s="624"/>
      <c r="M35" s="624"/>
      <c r="N35" s="326"/>
      <c r="O35" s="624"/>
      <c r="P35" s="624"/>
      <c r="Q35" s="624"/>
      <c r="R35" s="624"/>
      <c r="S35" s="326"/>
      <c r="T35" s="624"/>
      <c r="U35" s="624"/>
      <c r="V35" s="624"/>
      <c r="W35" s="625"/>
    </row>
    <row r="36" spans="1:23" ht="15.75">
      <c r="A36" s="2161" t="s">
        <v>486</v>
      </c>
      <c r="B36" s="2151"/>
      <c r="C36" s="152" t="s">
        <v>43</v>
      </c>
      <c r="D36" s="153" t="s">
        <v>256</v>
      </c>
      <c r="E36" s="138"/>
      <c r="F36" s="1828" t="s">
        <v>487</v>
      </c>
      <c r="G36" s="2140"/>
      <c r="H36" s="2137"/>
      <c r="I36" s="326"/>
      <c r="J36" s="624"/>
      <c r="K36" s="624"/>
      <c r="L36" s="624"/>
      <c r="M36" s="624"/>
      <c r="N36" s="326"/>
      <c r="O36" s="624"/>
      <c r="P36" s="624"/>
      <c r="Q36" s="624"/>
      <c r="R36" s="624"/>
      <c r="S36" s="326"/>
      <c r="T36" s="624"/>
      <c r="U36" s="624"/>
      <c r="V36" s="624"/>
      <c r="W36" s="625"/>
    </row>
    <row r="37" spans="1:23" ht="16.5" thickBot="1">
      <c r="A37" s="2149"/>
      <c r="B37" s="2152"/>
      <c r="C37" s="154" t="s">
        <v>60</v>
      </c>
      <c r="D37" s="153" t="s">
        <v>257</v>
      </c>
      <c r="E37" s="138"/>
      <c r="F37" s="2141"/>
      <c r="G37" s="2141"/>
      <c r="H37" s="2142"/>
      <c r="I37" s="326"/>
      <c r="J37" s="624"/>
      <c r="K37" s="624"/>
      <c r="L37" s="624"/>
      <c r="M37" s="624"/>
      <c r="N37" s="326"/>
      <c r="O37" s="624"/>
      <c r="P37" s="624"/>
      <c r="Q37" s="624"/>
      <c r="R37" s="624"/>
      <c r="S37" s="326"/>
      <c r="T37" s="624"/>
      <c r="U37" s="624"/>
      <c r="V37" s="624"/>
      <c r="W37" s="625"/>
    </row>
    <row r="38" spans="1:23" ht="30">
      <c r="A38" s="2165" t="s">
        <v>33</v>
      </c>
      <c r="B38" s="2140"/>
      <c r="C38" s="155" t="s">
        <v>30</v>
      </c>
      <c r="D38" s="156" t="s">
        <v>170</v>
      </c>
      <c r="E38" s="138"/>
      <c r="F38" s="1820" t="s">
        <v>510</v>
      </c>
      <c r="G38" s="2140"/>
      <c r="H38" s="2137"/>
      <c r="I38" s="326"/>
      <c r="J38" s="624"/>
      <c r="K38" s="624"/>
      <c r="L38" s="624"/>
      <c r="M38" s="624"/>
      <c r="N38" s="326"/>
      <c r="O38" s="624"/>
      <c r="P38" s="624"/>
      <c r="Q38" s="624"/>
      <c r="R38" s="624"/>
      <c r="S38" s="326"/>
      <c r="T38" s="624"/>
      <c r="U38" s="624"/>
      <c r="V38" s="624"/>
      <c r="W38" s="625"/>
    </row>
    <row r="39" spans="1:23" ht="30">
      <c r="A39" s="2138"/>
      <c r="B39" s="2148"/>
      <c r="C39" s="157" t="s">
        <v>31</v>
      </c>
      <c r="D39" s="156" t="s">
        <v>169</v>
      </c>
      <c r="E39" s="138"/>
      <c r="F39" s="1820" t="s">
        <v>539</v>
      </c>
      <c r="G39" s="2140"/>
      <c r="H39" s="2137"/>
      <c r="I39" s="326"/>
      <c r="J39" s="624"/>
      <c r="K39" s="624"/>
      <c r="L39" s="624"/>
      <c r="M39" s="624"/>
      <c r="N39" s="326"/>
      <c r="O39" s="624"/>
      <c r="P39" s="624"/>
      <c r="Q39" s="624"/>
      <c r="R39" s="624"/>
      <c r="S39" s="326"/>
      <c r="T39" s="624"/>
      <c r="U39" s="624"/>
      <c r="V39" s="624"/>
      <c r="W39" s="625"/>
    </row>
    <row r="40" spans="1:23" ht="30.75" thickBot="1">
      <c r="A40" s="2138"/>
      <c r="B40" s="2148"/>
      <c r="C40" s="158" t="s">
        <v>32</v>
      </c>
      <c r="D40" s="156" t="s">
        <v>250</v>
      </c>
      <c r="E40" s="138"/>
      <c r="F40" s="2141"/>
      <c r="G40" s="2141"/>
      <c r="H40" s="2142"/>
      <c r="I40" s="326"/>
      <c r="J40" s="624"/>
      <c r="K40" s="624"/>
      <c r="L40" s="624"/>
      <c r="M40" s="624"/>
      <c r="N40" s="326"/>
      <c r="O40" s="624"/>
      <c r="P40" s="624"/>
      <c r="Q40" s="624"/>
      <c r="R40" s="624"/>
      <c r="S40" s="326"/>
      <c r="T40" s="624"/>
      <c r="U40" s="624"/>
      <c r="V40" s="624"/>
      <c r="W40" s="625"/>
    </row>
    <row r="41" spans="1:23" ht="15.75">
      <c r="A41" s="2169" t="s">
        <v>491</v>
      </c>
      <c r="B41" s="2170"/>
      <c r="C41" s="159" t="s">
        <v>144</v>
      </c>
      <c r="D41" s="160" t="s">
        <v>253</v>
      </c>
      <c r="E41" s="138"/>
      <c r="F41" s="1828" t="s">
        <v>492</v>
      </c>
      <c r="G41" s="2140"/>
      <c r="H41" s="2137"/>
      <c r="I41" s="326"/>
      <c r="J41" s="624"/>
      <c r="K41" s="624"/>
      <c r="L41" s="624"/>
      <c r="M41" s="624"/>
      <c r="N41" s="326"/>
      <c r="O41" s="624"/>
      <c r="P41" s="624"/>
      <c r="Q41" s="624"/>
      <c r="R41" s="624"/>
      <c r="S41" s="326"/>
      <c r="T41" s="624"/>
      <c r="U41" s="624"/>
      <c r="V41" s="624"/>
      <c r="W41" s="625"/>
    </row>
    <row r="42" spans="1:23" ht="16.5" thickBot="1">
      <c r="A42" s="2148"/>
      <c r="B42" s="2158"/>
      <c r="C42" s="161" t="s">
        <v>145</v>
      </c>
      <c r="D42" s="160" t="s">
        <v>254</v>
      </c>
      <c r="E42" s="138"/>
      <c r="F42" s="2141"/>
      <c r="G42" s="2141"/>
      <c r="H42" s="2142"/>
      <c r="I42" s="326"/>
      <c r="J42" s="624"/>
      <c r="K42" s="624"/>
      <c r="L42" s="624"/>
      <c r="M42" s="624"/>
      <c r="N42" s="326"/>
      <c r="O42" s="624"/>
      <c r="P42" s="624"/>
      <c r="Q42" s="624"/>
      <c r="R42" s="624"/>
      <c r="S42" s="326"/>
      <c r="T42" s="624"/>
      <c r="U42" s="624"/>
      <c r="V42" s="624"/>
      <c r="W42" s="625"/>
    </row>
    <row r="43" spans="1:23" ht="32.25" thickBot="1">
      <c r="A43" s="2171"/>
      <c r="B43" s="2172"/>
      <c r="C43" s="162" t="s">
        <v>128</v>
      </c>
      <c r="D43" s="160" t="s">
        <v>262</v>
      </c>
      <c r="E43" s="183" t="s">
        <v>277</v>
      </c>
      <c r="F43" s="2173"/>
      <c r="G43" s="2097"/>
      <c r="H43" s="2098"/>
      <c r="I43" s="183" t="s">
        <v>277</v>
      </c>
      <c r="J43" s="624">
        <v>1</v>
      </c>
      <c r="K43" s="624"/>
      <c r="L43" s="624">
        <v>2</v>
      </c>
      <c r="M43" s="640">
        <f>(L43*72)*5</f>
        <v>720</v>
      </c>
      <c r="N43" s="183" t="s">
        <v>277</v>
      </c>
      <c r="O43" s="624">
        <v>1</v>
      </c>
      <c r="P43" s="624"/>
      <c r="Q43" s="624">
        <v>2</v>
      </c>
      <c r="R43" s="640">
        <f>(Q43*72)*5</f>
        <v>720</v>
      </c>
      <c r="S43" s="183" t="s">
        <v>277</v>
      </c>
      <c r="T43" s="624">
        <v>1</v>
      </c>
      <c r="U43" s="624"/>
      <c r="V43" s="624">
        <v>2</v>
      </c>
      <c r="W43" s="640">
        <f>(V43*72)*5</f>
        <v>720</v>
      </c>
    </row>
    <row r="44" spans="1:23" ht="15.75" thickBot="1">
      <c r="A44" s="2146" t="s">
        <v>493</v>
      </c>
      <c r="B44" s="2144"/>
      <c r="C44" s="2145"/>
      <c r="D44" s="163" t="s">
        <v>237</v>
      </c>
      <c r="E44" s="183" t="s">
        <v>277</v>
      </c>
      <c r="F44" s="1818" t="s">
        <v>540</v>
      </c>
      <c r="G44" s="2097"/>
      <c r="H44" s="2098"/>
      <c r="I44" s="183" t="s">
        <v>277</v>
      </c>
      <c r="J44" s="624">
        <v>1</v>
      </c>
      <c r="K44" s="624"/>
      <c r="L44" s="624">
        <v>1</v>
      </c>
      <c r="M44" s="640">
        <f>(L44*652)*5</f>
        <v>3260</v>
      </c>
      <c r="N44" s="183" t="s">
        <v>277</v>
      </c>
      <c r="O44" s="624">
        <v>1</v>
      </c>
      <c r="P44" s="624"/>
      <c r="Q44" s="624">
        <v>1</v>
      </c>
      <c r="R44" s="640">
        <f>(Q44*652)*5</f>
        <v>3260</v>
      </c>
      <c r="S44" s="183" t="s">
        <v>277</v>
      </c>
      <c r="T44" s="624">
        <v>1</v>
      </c>
      <c r="U44" s="624"/>
      <c r="V44" s="624">
        <v>1</v>
      </c>
      <c r="W44" s="640">
        <f>(V44*652)*5</f>
        <v>3260</v>
      </c>
    </row>
    <row r="45" spans="1:23" ht="15.75" thickBot="1">
      <c r="A45" s="2146" t="s">
        <v>133</v>
      </c>
      <c r="B45" s="2144"/>
      <c r="C45" s="2145"/>
      <c r="D45" s="163" t="s">
        <v>238</v>
      </c>
      <c r="E45" s="183" t="s">
        <v>277</v>
      </c>
      <c r="F45" s="1818" t="s">
        <v>541</v>
      </c>
      <c r="G45" s="2097"/>
      <c r="H45" s="2098"/>
      <c r="I45" s="183" t="s">
        <v>277</v>
      </c>
      <c r="J45" s="624">
        <v>1</v>
      </c>
      <c r="K45" s="624"/>
      <c r="L45" s="624">
        <v>1</v>
      </c>
      <c r="M45" s="640">
        <f>(L45*358)*5</f>
        <v>1790</v>
      </c>
      <c r="N45" s="183" t="s">
        <v>277</v>
      </c>
      <c r="O45" s="624">
        <v>1</v>
      </c>
      <c r="P45" s="624"/>
      <c r="Q45" s="624">
        <v>1</v>
      </c>
      <c r="R45" s="640">
        <f>(Q45*358)*5</f>
        <v>1790</v>
      </c>
      <c r="S45" s="183" t="s">
        <v>277</v>
      </c>
      <c r="T45" s="624">
        <v>1</v>
      </c>
      <c r="U45" s="624"/>
      <c r="V45" s="624">
        <v>1</v>
      </c>
      <c r="W45" s="640">
        <f>(V45*358)*5</f>
        <v>1790</v>
      </c>
    </row>
    <row r="46" spans="1:23">
      <c r="A46" s="2147" t="s">
        <v>41</v>
      </c>
      <c r="B46" s="2148"/>
      <c r="C46" s="164" t="s">
        <v>50</v>
      </c>
      <c r="D46" s="165" t="s">
        <v>246</v>
      </c>
      <c r="E46" s="138"/>
      <c r="F46" s="1785" t="s">
        <v>542</v>
      </c>
      <c r="G46" s="2097"/>
      <c r="H46" s="2098"/>
      <c r="I46" s="138"/>
      <c r="J46" s="624"/>
      <c r="K46" s="624"/>
      <c r="L46" s="624"/>
      <c r="M46" s="640"/>
      <c r="N46" s="138"/>
      <c r="O46" s="624"/>
      <c r="P46" s="624"/>
      <c r="Q46" s="624"/>
      <c r="R46" s="640"/>
      <c r="S46" s="138"/>
      <c r="T46" s="624"/>
      <c r="U46" s="624"/>
      <c r="V46" s="624"/>
      <c r="W46" s="640"/>
    </row>
    <row r="47" spans="1:23">
      <c r="A47" s="2138"/>
      <c r="B47" s="2148"/>
      <c r="C47" s="166" t="s">
        <v>51</v>
      </c>
      <c r="D47" s="165" t="s">
        <v>247</v>
      </c>
      <c r="E47" s="184" t="s">
        <v>277</v>
      </c>
      <c r="F47" s="1785" t="s">
        <v>543</v>
      </c>
      <c r="G47" s="2097"/>
      <c r="H47" s="2098"/>
      <c r="I47" s="184" t="s">
        <v>277</v>
      </c>
      <c r="J47" s="624">
        <v>1</v>
      </c>
      <c r="K47" s="624"/>
      <c r="L47" s="624">
        <v>4</v>
      </c>
      <c r="M47" s="640">
        <f>(L47*145)*5</f>
        <v>2900</v>
      </c>
      <c r="N47" s="184" t="s">
        <v>277</v>
      </c>
      <c r="O47" s="624">
        <v>1</v>
      </c>
      <c r="P47" s="624"/>
      <c r="Q47" s="624">
        <v>4</v>
      </c>
      <c r="R47" s="640">
        <f>(Q47*145)*5</f>
        <v>2900</v>
      </c>
      <c r="S47" s="184" t="s">
        <v>277</v>
      </c>
      <c r="T47" s="624">
        <v>1</v>
      </c>
      <c r="U47" s="624"/>
      <c r="V47" s="624">
        <v>4</v>
      </c>
      <c r="W47" s="640">
        <f>(V47*145)*5</f>
        <v>2900</v>
      </c>
    </row>
    <row r="48" spans="1:23">
      <c r="A48" s="2138"/>
      <c r="B48" s="2148"/>
      <c r="C48" s="166" t="s">
        <v>39</v>
      </c>
      <c r="D48" s="165" t="s">
        <v>248</v>
      </c>
      <c r="E48" s="138"/>
      <c r="F48" s="1785" t="s">
        <v>498</v>
      </c>
      <c r="G48" s="2097"/>
      <c r="H48" s="2098"/>
      <c r="I48" s="138"/>
      <c r="J48" s="624"/>
      <c r="K48" s="624"/>
      <c r="L48" s="624"/>
      <c r="M48" s="640"/>
      <c r="N48" s="138"/>
      <c r="O48" s="624"/>
      <c r="P48" s="624"/>
      <c r="Q48" s="624"/>
      <c r="R48" s="640"/>
      <c r="S48" s="138"/>
      <c r="T48" s="624"/>
      <c r="U48" s="624"/>
      <c r="V48" s="624"/>
      <c r="W48" s="640"/>
    </row>
    <row r="49" spans="1:23" ht="15.75" thickBot="1">
      <c r="A49" s="2149"/>
      <c r="B49" s="2141"/>
      <c r="C49" s="167" t="s">
        <v>40</v>
      </c>
      <c r="D49" s="165" t="s">
        <v>249</v>
      </c>
      <c r="E49" s="184" t="s">
        <v>277</v>
      </c>
      <c r="F49" s="1785" t="s">
        <v>544</v>
      </c>
      <c r="G49" s="2097"/>
      <c r="H49" s="2098"/>
      <c r="I49" s="184" t="s">
        <v>277</v>
      </c>
      <c r="J49" s="624">
        <v>1</v>
      </c>
      <c r="K49" s="624"/>
      <c r="L49" s="624">
        <v>4</v>
      </c>
      <c r="M49" s="640">
        <f>(L49*254)*5</f>
        <v>5080</v>
      </c>
      <c r="N49" s="184" t="s">
        <v>277</v>
      </c>
      <c r="O49" s="624">
        <v>1</v>
      </c>
      <c r="P49" s="624"/>
      <c r="Q49" s="624">
        <v>4</v>
      </c>
      <c r="R49" s="640">
        <f>(Q49*254)*5</f>
        <v>5080</v>
      </c>
      <c r="S49" s="184" t="s">
        <v>277</v>
      </c>
      <c r="T49" s="624">
        <v>1</v>
      </c>
      <c r="U49" s="624"/>
      <c r="V49" s="624">
        <v>4</v>
      </c>
      <c r="W49" s="640">
        <f>(V49*254)*5</f>
        <v>5080</v>
      </c>
    </row>
    <row r="50" spans="1:23" ht="15.75">
      <c r="A50" s="2150" t="s">
        <v>130</v>
      </c>
      <c r="B50" s="2151"/>
      <c r="C50" s="159" t="s">
        <v>131</v>
      </c>
      <c r="D50" s="160" t="s">
        <v>255</v>
      </c>
      <c r="E50" s="183" t="s">
        <v>277</v>
      </c>
      <c r="F50" s="2153"/>
      <c r="G50" s="2097"/>
      <c r="H50" s="2098"/>
      <c r="I50" s="183" t="s">
        <v>277</v>
      </c>
      <c r="J50" s="624">
        <v>1</v>
      </c>
      <c r="K50" s="624"/>
      <c r="L50" s="624">
        <v>5</v>
      </c>
      <c r="M50" s="640">
        <f>(L50*153)*5</f>
        <v>3825</v>
      </c>
      <c r="N50" s="183" t="s">
        <v>277</v>
      </c>
      <c r="O50" s="624">
        <v>1</v>
      </c>
      <c r="P50" s="624"/>
      <c r="Q50" s="624">
        <v>5</v>
      </c>
      <c r="R50" s="640">
        <f>(Q50*153)*5</f>
        <v>3825</v>
      </c>
      <c r="S50" s="183" t="s">
        <v>277</v>
      </c>
      <c r="T50" s="624">
        <v>1</v>
      </c>
      <c r="U50" s="624"/>
      <c r="V50" s="624">
        <v>5</v>
      </c>
      <c r="W50" s="640">
        <f>(V50*153)*5</f>
        <v>3825</v>
      </c>
    </row>
    <row r="51" spans="1:23" ht="32.25" thickBot="1">
      <c r="A51" s="2149"/>
      <c r="B51" s="2152"/>
      <c r="C51" s="168" t="s">
        <v>132</v>
      </c>
      <c r="D51" s="160" t="s">
        <v>263</v>
      </c>
      <c r="E51" s="183" t="s">
        <v>277</v>
      </c>
      <c r="F51" s="2153"/>
      <c r="G51" s="2097"/>
      <c r="H51" s="2098"/>
      <c r="I51" s="183" t="s">
        <v>277</v>
      </c>
      <c r="J51" s="624">
        <v>2</v>
      </c>
      <c r="K51" s="624"/>
      <c r="L51" s="624">
        <v>5</v>
      </c>
      <c r="M51" s="640">
        <f>(L51*204)*5</f>
        <v>5100</v>
      </c>
      <c r="N51" s="183" t="s">
        <v>277</v>
      </c>
      <c r="O51" s="624">
        <v>2</v>
      </c>
      <c r="P51" s="624"/>
      <c r="Q51" s="624">
        <v>5</v>
      </c>
      <c r="R51" s="640">
        <f>(Q51*204)*5</f>
        <v>5100</v>
      </c>
      <c r="S51" s="183" t="s">
        <v>277</v>
      </c>
      <c r="T51" s="624">
        <v>2</v>
      </c>
      <c r="U51" s="624"/>
      <c r="V51" s="624">
        <v>5</v>
      </c>
      <c r="W51" s="640">
        <f>(V51*204)*5</f>
        <v>5100</v>
      </c>
    </row>
    <row r="52" spans="1:23">
      <c r="A52" s="2154" t="s">
        <v>42</v>
      </c>
      <c r="B52" s="2140"/>
      <c r="C52" s="169" t="s">
        <v>38</v>
      </c>
      <c r="D52" s="170" t="s">
        <v>239</v>
      </c>
      <c r="E52" s="183" t="s">
        <v>277</v>
      </c>
      <c r="F52" s="1818" t="s">
        <v>545</v>
      </c>
      <c r="G52" s="2097"/>
      <c r="H52" s="2098"/>
      <c r="I52" s="183" t="s">
        <v>277</v>
      </c>
      <c r="J52" s="624">
        <v>1</v>
      </c>
      <c r="K52" s="624"/>
      <c r="L52" s="624">
        <v>200</v>
      </c>
      <c r="M52" s="640">
        <f>(L52*0.8)*5</f>
        <v>800</v>
      </c>
      <c r="N52" s="183" t="s">
        <v>277</v>
      </c>
      <c r="O52" s="624">
        <v>1</v>
      </c>
      <c r="P52" s="624"/>
      <c r="Q52" s="624">
        <v>200</v>
      </c>
      <c r="R52" s="640">
        <f>(Q52*0.8)*5</f>
        <v>800</v>
      </c>
      <c r="S52" s="183" t="s">
        <v>277</v>
      </c>
      <c r="T52" s="624">
        <v>1</v>
      </c>
      <c r="U52" s="624"/>
      <c r="V52" s="624">
        <v>200</v>
      </c>
      <c r="W52" s="640">
        <f>(V52*0.8)*5</f>
        <v>800</v>
      </c>
    </row>
    <row r="53" spans="1:23">
      <c r="A53" s="2148"/>
      <c r="B53" s="2148"/>
      <c r="C53" s="171" t="s">
        <v>55</v>
      </c>
      <c r="D53" s="170" t="s">
        <v>240</v>
      </c>
      <c r="E53" s="138"/>
      <c r="F53" s="2155"/>
      <c r="G53" s="2097"/>
      <c r="H53" s="2098"/>
      <c r="I53" s="138"/>
      <c r="J53" s="624"/>
      <c r="K53" s="624"/>
      <c r="L53" s="624"/>
      <c r="M53" s="624"/>
      <c r="N53" s="138"/>
      <c r="O53" s="624"/>
      <c r="P53" s="624"/>
      <c r="Q53" s="624"/>
      <c r="R53" s="640"/>
      <c r="S53" s="138"/>
      <c r="T53" s="624"/>
      <c r="U53" s="624"/>
      <c r="V53" s="624"/>
      <c r="W53" s="625"/>
    </row>
    <row r="54" spans="1:23" ht="16.5" thickBot="1">
      <c r="A54" s="2148"/>
      <c r="B54" s="2148"/>
      <c r="C54" s="161" t="s">
        <v>48</v>
      </c>
      <c r="D54" s="172" t="s">
        <v>241</v>
      </c>
      <c r="E54" s="138"/>
      <c r="F54" s="2156"/>
      <c r="G54" s="2097"/>
      <c r="H54" s="2098"/>
      <c r="I54" s="138"/>
      <c r="J54" s="624"/>
      <c r="K54" s="624"/>
      <c r="L54" s="624"/>
      <c r="M54" s="624"/>
      <c r="N54" s="138"/>
      <c r="O54" s="624"/>
      <c r="P54" s="624"/>
      <c r="Q54" s="624"/>
      <c r="R54" s="640"/>
      <c r="S54" s="138"/>
      <c r="T54" s="624"/>
      <c r="U54" s="624"/>
      <c r="V54" s="624"/>
      <c r="W54" s="625"/>
    </row>
    <row r="55" spans="1:23" ht="16.5" thickBot="1">
      <c r="A55" s="2135" t="s">
        <v>500</v>
      </c>
      <c r="B55" s="2097"/>
      <c r="C55" s="173" t="s">
        <v>134</v>
      </c>
      <c r="D55" s="174" t="s">
        <v>269</v>
      </c>
      <c r="E55" s="175"/>
      <c r="F55" s="1818" t="s">
        <v>501</v>
      </c>
      <c r="G55" s="2097"/>
      <c r="H55" s="2098"/>
      <c r="I55" s="175"/>
      <c r="J55" s="627"/>
      <c r="K55" s="627"/>
      <c r="L55" s="627"/>
      <c r="M55" s="627"/>
      <c r="N55" s="175"/>
      <c r="O55" s="627"/>
      <c r="P55" s="627"/>
      <c r="Q55" s="627"/>
      <c r="R55" s="641"/>
      <c r="S55" s="175"/>
      <c r="T55" s="627"/>
      <c r="U55" s="627"/>
      <c r="V55" s="627"/>
      <c r="W55" s="628"/>
    </row>
    <row r="57" spans="1:23">
      <c r="M57" s="1014">
        <f>SUM(M43:M52)</f>
        <v>23475</v>
      </c>
    </row>
    <row r="60" spans="1:23">
      <c r="A60" s="2311" t="s">
        <v>1270</v>
      </c>
      <c r="B60" s="2312"/>
      <c r="C60" s="2312"/>
      <c r="D60" s="2312"/>
      <c r="E60" s="2312"/>
      <c r="F60" s="2312"/>
    </row>
    <row r="61" spans="1:23" ht="105">
      <c r="A61" s="1276" t="s">
        <v>1271</v>
      </c>
      <c r="B61" s="1276" t="s">
        <v>1272</v>
      </c>
      <c r="C61" s="1276" t="s">
        <v>1273</v>
      </c>
      <c r="D61" s="1276" t="s">
        <v>1274</v>
      </c>
      <c r="E61" s="1276" t="s">
        <v>1275</v>
      </c>
      <c r="F61" s="1276" t="s">
        <v>1276</v>
      </c>
    </row>
    <row r="62" spans="1:23" ht="150">
      <c r="A62" s="1698" t="s">
        <v>1312</v>
      </c>
      <c r="B62" s="1698" t="s">
        <v>1313</v>
      </c>
      <c r="C62" s="1275" t="s">
        <v>1314</v>
      </c>
      <c r="D62" s="1275" t="s">
        <v>52</v>
      </c>
      <c r="E62" s="1277" t="s">
        <v>1315</v>
      </c>
      <c r="F62" s="1275">
        <v>10</v>
      </c>
    </row>
    <row r="63" spans="1:23" ht="210">
      <c r="A63" s="1698" t="s">
        <v>1316</v>
      </c>
      <c r="B63" s="1698" t="s">
        <v>1317</v>
      </c>
      <c r="C63" s="1275" t="s">
        <v>1314</v>
      </c>
      <c r="D63" s="1275" t="s">
        <v>52</v>
      </c>
      <c r="E63" s="1277" t="s">
        <v>1315</v>
      </c>
      <c r="F63" s="1275">
        <v>10</v>
      </c>
    </row>
  </sheetData>
  <mergeCells count="58">
    <mergeCell ref="A60:F60"/>
    <mergeCell ref="C11:H11"/>
    <mergeCell ref="B2:D2"/>
    <mergeCell ref="B3:D3"/>
    <mergeCell ref="B4:D4"/>
    <mergeCell ref="B6:D6"/>
    <mergeCell ref="B8:D8"/>
    <mergeCell ref="A11:B11"/>
    <mergeCell ref="E13:H14"/>
    <mergeCell ref="A15:B15"/>
    <mergeCell ref="F15:H15"/>
    <mergeCell ref="A16:B18"/>
    <mergeCell ref="F16:H18"/>
    <mergeCell ref="A19:B21"/>
    <mergeCell ref="F19:H21"/>
    <mergeCell ref="A22:B23"/>
    <mergeCell ref="F22:H23"/>
    <mergeCell ref="A24:B26"/>
    <mergeCell ref="F24:H26"/>
    <mergeCell ref="A27:C27"/>
    <mergeCell ref="F27:H27"/>
    <mergeCell ref="A28:B30"/>
    <mergeCell ref="F28:H30"/>
    <mergeCell ref="A31:B33"/>
    <mergeCell ref="F31:H33"/>
    <mergeCell ref="A34:B34"/>
    <mergeCell ref="F34:H34"/>
    <mergeCell ref="A35:B35"/>
    <mergeCell ref="F35:H35"/>
    <mergeCell ref="A36:B37"/>
    <mergeCell ref="F36:H37"/>
    <mergeCell ref="A38:B40"/>
    <mergeCell ref="F38:H38"/>
    <mergeCell ref="F39:H40"/>
    <mergeCell ref="A41:B43"/>
    <mergeCell ref="F41:H42"/>
    <mergeCell ref="F43:H43"/>
    <mergeCell ref="A46:B49"/>
    <mergeCell ref="F46:H46"/>
    <mergeCell ref="F47:H47"/>
    <mergeCell ref="F48:H48"/>
    <mergeCell ref="F49:H49"/>
    <mergeCell ref="I14:M14"/>
    <mergeCell ref="N14:R14"/>
    <mergeCell ref="S14:W14"/>
    <mergeCell ref="A55:B55"/>
    <mergeCell ref="F55:H55"/>
    <mergeCell ref="A50:B51"/>
    <mergeCell ref="F50:H50"/>
    <mergeCell ref="F51:H51"/>
    <mergeCell ref="A52:B54"/>
    <mergeCell ref="F52:H52"/>
    <mergeCell ref="F53:H53"/>
    <mergeCell ref="F54:H54"/>
    <mergeCell ref="A44:C44"/>
    <mergeCell ref="F44:H44"/>
    <mergeCell ref="A45:C45"/>
    <mergeCell ref="F45:H45"/>
  </mergeCells>
  <dataValidations count="3">
    <dataValidation type="list" allowBlank="1" showErrorMessage="1" sqref="H3">
      <formula1>$N$4:$N$5</formula1>
    </dataValidation>
    <dataValidation type="list" allowBlank="1" showErrorMessage="1" sqref="H2">
      <formula1>$N$2:$N$3</formula1>
    </dataValidation>
    <dataValidation type="list" allowBlank="1" showErrorMessage="1" sqref="H8:H10">
      <formula1>"Enjeu EAU AESN,Enjeu EAU AEAP,Enjeu ZH et prairies AEAP,Enjeu Erosion AEAP,Enjeu Biodiversité MASA"</formula1>
    </dataValidation>
  </dataValidations>
  <hyperlinks>
    <hyperlink ref="J2" location="SOMMAIRE!A1" display="Retour sommaire"/>
    <hyperlink ref="J4" location="SYNTHESE!A1" display="Retour synthèse"/>
  </hyperlinks>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7E4FF"/>
  </sheetPr>
  <dimension ref="A1:W63"/>
  <sheetViews>
    <sheetView topLeftCell="A40" zoomScale="90" zoomScaleNormal="90" workbookViewId="0">
      <selection activeCell="I61" sqref="I61"/>
    </sheetView>
  </sheetViews>
  <sheetFormatPr baseColWidth="10" defaultRowHeight="15"/>
  <cols>
    <col min="3" max="3" width="45.5703125" customWidth="1"/>
    <col min="8" max="8" width="23.5703125" customWidth="1"/>
  </cols>
  <sheetData>
    <row r="1" spans="1:23" ht="15.75" thickBot="1"/>
    <row r="2" spans="1:23" ht="15.75" thickBot="1">
      <c r="A2" s="109" t="s">
        <v>0</v>
      </c>
      <c r="B2" s="2029" t="s">
        <v>503</v>
      </c>
      <c r="C2" s="2144"/>
      <c r="D2" s="2145"/>
      <c r="E2" s="110"/>
      <c r="F2" s="110"/>
      <c r="G2" s="111" t="s">
        <v>462</v>
      </c>
      <c r="H2" s="185"/>
      <c r="J2" s="13" t="s">
        <v>73</v>
      </c>
      <c r="K2" s="1251"/>
    </row>
    <row r="3" spans="1:23" ht="15.75" thickBot="1">
      <c r="A3" s="113" t="s">
        <v>344</v>
      </c>
      <c r="B3" s="2029" t="s">
        <v>503</v>
      </c>
      <c r="C3" s="2144"/>
      <c r="D3" s="2145"/>
      <c r="E3" s="110"/>
      <c r="F3" s="110"/>
      <c r="G3" s="114" t="s">
        <v>10</v>
      </c>
      <c r="H3" s="177" t="s">
        <v>16</v>
      </c>
      <c r="J3" s="13"/>
      <c r="K3" s="1251"/>
    </row>
    <row r="4" spans="1:23" ht="15.75" thickBot="1">
      <c r="A4" s="114" t="s">
        <v>3</v>
      </c>
      <c r="B4" s="1823" t="s">
        <v>534</v>
      </c>
      <c r="C4" s="2144"/>
      <c r="D4" s="2145"/>
      <c r="E4" s="115"/>
      <c r="F4" s="110"/>
      <c r="G4" s="116" t="s">
        <v>26</v>
      </c>
      <c r="H4" s="190">
        <v>8</v>
      </c>
      <c r="J4" s="13" t="s">
        <v>381</v>
      </c>
      <c r="K4" s="1251"/>
    </row>
    <row r="5" spans="1:23" ht="15.75" thickBot="1">
      <c r="A5" s="110"/>
      <c r="B5" s="110"/>
      <c r="C5" s="110"/>
      <c r="D5" s="110"/>
      <c r="E5" s="110"/>
      <c r="F5" s="110"/>
      <c r="G5" s="110"/>
      <c r="H5" s="110"/>
    </row>
    <row r="6" spans="1:23" ht="135.75" thickBot="1">
      <c r="A6" s="109" t="s">
        <v>465</v>
      </c>
      <c r="B6" s="1823" t="s">
        <v>1593</v>
      </c>
      <c r="C6" s="2267"/>
      <c r="D6" s="2268"/>
      <c r="E6" s="110"/>
      <c r="F6" s="110"/>
      <c r="G6" s="118" t="s">
        <v>466</v>
      </c>
      <c r="H6" s="178" t="s">
        <v>535</v>
      </c>
    </row>
    <row r="7" spans="1:23" ht="15.75" thickBot="1">
      <c r="B7" s="110"/>
      <c r="C7" s="110"/>
      <c r="D7" s="110"/>
      <c r="E7" s="110"/>
      <c r="F7" s="110"/>
      <c r="G7" s="120"/>
      <c r="H7" s="110"/>
    </row>
    <row r="8" spans="1:23" ht="60.75" thickBot="1">
      <c r="A8" s="121" t="s">
        <v>7</v>
      </c>
      <c r="B8" s="1823" t="s">
        <v>536</v>
      </c>
      <c r="C8" s="2144"/>
      <c r="D8" s="2145"/>
      <c r="E8" s="115"/>
      <c r="F8" s="122"/>
      <c r="G8" s="584" t="s">
        <v>469</v>
      </c>
      <c r="H8" s="123" t="s">
        <v>537</v>
      </c>
    </row>
    <row r="9" spans="1:23" ht="15.75" thickBot="1">
      <c r="A9" s="179"/>
      <c r="B9" s="180"/>
      <c r="C9" s="181"/>
      <c r="D9" s="181"/>
      <c r="E9" s="115"/>
      <c r="F9" s="122"/>
      <c r="G9" s="585"/>
      <c r="H9" s="123"/>
    </row>
    <row r="10" spans="1:23" ht="15.75" thickBot="1">
      <c r="B10" s="110"/>
      <c r="C10" s="110"/>
      <c r="D10" s="110"/>
      <c r="E10" s="110"/>
      <c r="F10" s="110"/>
      <c r="G10" s="585"/>
      <c r="H10" s="123"/>
    </row>
    <row r="11" spans="1:23" ht="219.75" customHeight="1">
      <c r="A11" s="2174" t="s">
        <v>471</v>
      </c>
      <c r="B11" s="2148"/>
      <c r="C11" s="1805" t="s">
        <v>538</v>
      </c>
      <c r="D11" s="1805"/>
      <c r="E11" s="1805"/>
      <c r="F11" s="1805"/>
      <c r="G11" s="1805"/>
      <c r="H11" s="1805"/>
    </row>
    <row r="12" spans="1:23">
      <c r="A12" s="126"/>
      <c r="B12" s="115"/>
      <c r="C12" s="115"/>
      <c r="D12" s="115"/>
      <c r="E12" s="115"/>
      <c r="F12" s="122"/>
      <c r="G12" s="125"/>
      <c r="H12" s="125"/>
    </row>
    <row r="13" spans="1:23">
      <c r="A13" s="126"/>
      <c r="B13" s="115"/>
      <c r="C13" s="115"/>
      <c r="D13" s="115"/>
      <c r="E13" s="2181" t="s">
        <v>473</v>
      </c>
      <c r="F13" s="2148"/>
      <c r="G13" s="2148"/>
      <c r="H13" s="2148"/>
    </row>
    <row r="14" spans="1:23">
      <c r="A14" s="110"/>
      <c r="B14" s="110"/>
      <c r="C14" s="110"/>
      <c r="D14" s="110"/>
      <c r="E14" s="2141"/>
      <c r="F14" s="2141"/>
      <c r="G14" s="2141"/>
      <c r="H14" s="2141"/>
      <c r="I14" s="2186">
        <v>2025</v>
      </c>
      <c r="J14" s="2097"/>
      <c r="K14" s="2097"/>
      <c r="L14" s="2097"/>
      <c r="M14" s="2098"/>
      <c r="N14" s="2186">
        <v>2026</v>
      </c>
      <c r="O14" s="2097"/>
      <c r="P14" s="2097"/>
      <c r="Q14" s="2097"/>
      <c r="R14" s="2098"/>
      <c r="S14" s="2186">
        <v>2027</v>
      </c>
      <c r="T14" s="2097"/>
      <c r="U14" s="2097"/>
      <c r="V14" s="2097"/>
      <c r="W14" s="2098"/>
    </row>
    <row r="15" spans="1:23" ht="45.75" thickBot="1">
      <c r="A15" s="2184" t="s">
        <v>5</v>
      </c>
      <c r="B15" s="2137"/>
      <c r="C15" s="128" t="s">
        <v>1</v>
      </c>
      <c r="D15" s="128" t="s">
        <v>260</v>
      </c>
      <c r="E15" s="129" t="s">
        <v>474</v>
      </c>
      <c r="F15" s="2182" t="s">
        <v>6</v>
      </c>
      <c r="G15" s="2097"/>
      <c r="H15" s="2098"/>
      <c r="I15" s="615" t="s">
        <v>474</v>
      </c>
      <c r="J15" s="616" t="s">
        <v>944</v>
      </c>
      <c r="K15" s="617" t="s">
        <v>945</v>
      </c>
      <c r="L15" s="616" t="s">
        <v>946</v>
      </c>
      <c r="M15" s="618" t="s">
        <v>947</v>
      </c>
      <c r="N15" s="615" t="s">
        <v>474</v>
      </c>
      <c r="O15" s="616" t="s">
        <v>944</v>
      </c>
      <c r="P15" s="617" t="s">
        <v>945</v>
      </c>
      <c r="Q15" s="616" t="s">
        <v>946</v>
      </c>
      <c r="R15" s="618" t="s">
        <v>947</v>
      </c>
      <c r="S15" s="615" t="s">
        <v>474</v>
      </c>
      <c r="T15" s="616" t="s">
        <v>944</v>
      </c>
      <c r="U15" s="617" t="s">
        <v>945</v>
      </c>
      <c r="V15" s="616" t="s">
        <v>946</v>
      </c>
      <c r="W15" s="618" t="s">
        <v>947</v>
      </c>
    </row>
    <row r="16" spans="1:23">
      <c r="A16" s="2183" t="s">
        <v>17</v>
      </c>
      <c r="B16" s="2140"/>
      <c r="C16" s="130" t="s">
        <v>59</v>
      </c>
      <c r="D16" s="131" t="s">
        <v>251</v>
      </c>
      <c r="E16" s="132"/>
      <c r="F16" s="1828" t="s">
        <v>475</v>
      </c>
      <c r="G16" s="2140"/>
      <c r="H16" s="2137"/>
      <c r="I16" s="619"/>
      <c r="J16" s="620"/>
      <c r="K16" s="620"/>
      <c r="L16" s="620"/>
      <c r="M16" s="621"/>
      <c r="N16" s="619"/>
      <c r="O16" s="620"/>
      <c r="P16" s="620"/>
      <c r="Q16" s="620"/>
      <c r="R16" s="621"/>
      <c r="S16" s="619"/>
      <c r="T16" s="620"/>
      <c r="U16" s="620"/>
      <c r="V16" s="620"/>
      <c r="W16" s="622"/>
    </row>
    <row r="17" spans="1:23">
      <c r="A17" s="2148"/>
      <c r="B17" s="2148"/>
      <c r="C17" s="133" t="s">
        <v>18</v>
      </c>
      <c r="D17" s="134" t="s">
        <v>168</v>
      </c>
      <c r="E17" s="135"/>
      <c r="F17" s="1845"/>
      <c r="G17" s="1845"/>
      <c r="H17" s="2139"/>
      <c r="I17" s="623"/>
      <c r="J17" s="624"/>
      <c r="K17" s="624"/>
      <c r="L17" s="624"/>
      <c r="M17" s="624"/>
      <c r="N17" s="623"/>
      <c r="O17" s="624"/>
      <c r="P17" s="624"/>
      <c r="Q17" s="624"/>
      <c r="R17" s="624"/>
      <c r="S17" s="623"/>
      <c r="T17" s="624"/>
      <c r="U17" s="624"/>
      <c r="V17" s="624"/>
      <c r="W17" s="625"/>
    </row>
    <row r="18" spans="1:23" ht="15.75" thickBot="1">
      <c r="A18" s="2141"/>
      <c r="B18" s="2141"/>
      <c r="C18" s="136" t="s">
        <v>19</v>
      </c>
      <c r="D18" s="137" t="s">
        <v>233</v>
      </c>
      <c r="E18" s="138"/>
      <c r="F18" s="2141"/>
      <c r="G18" s="2141"/>
      <c r="H18" s="2142"/>
      <c r="I18" s="326"/>
      <c r="J18" s="624"/>
      <c r="K18" s="624"/>
      <c r="L18" s="624"/>
      <c r="M18" s="624"/>
      <c r="N18" s="326"/>
      <c r="O18" s="624"/>
      <c r="P18" s="624"/>
      <c r="Q18" s="624"/>
      <c r="R18" s="624"/>
      <c r="S18" s="326"/>
      <c r="T18" s="624"/>
      <c r="U18" s="624"/>
      <c r="V18" s="624"/>
      <c r="W18" s="625"/>
    </row>
    <row r="19" spans="1:23">
      <c r="A19" s="2183" t="s">
        <v>20</v>
      </c>
      <c r="B19" s="2140"/>
      <c r="C19" s="130" t="s">
        <v>54</v>
      </c>
      <c r="D19" s="137" t="s">
        <v>261</v>
      </c>
      <c r="E19" s="138"/>
      <c r="F19" s="1828" t="s">
        <v>475</v>
      </c>
      <c r="G19" s="2140"/>
      <c r="H19" s="2137"/>
      <c r="I19" s="326"/>
      <c r="J19" s="624"/>
      <c r="K19" s="624"/>
      <c r="L19" s="624"/>
      <c r="M19" s="624"/>
      <c r="N19" s="326"/>
      <c r="O19" s="624"/>
      <c r="P19" s="624"/>
      <c r="Q19" s="624"/>
      <c r="R19" s="624"/>
      <c r="S19" s="326"/>
      <c r="T19" s="624"/>
      <c r="U19" s="624"/>
      <c r="V19" s="624"/>
      <c r="W19" s="625"/>
    </row>
    <row r="20" spans="1:23">
      <c r="A20" s="2148"/>
      <c r="B20" s="2148"/>
      <c r="C20" s="139" t="s">
        <v>21</v>
      </c>
      <c r="D20" s="137" t="s">
        <v>234</v>
      </c>
      <c r="E20" s="138"/>
      <c r="F20" s="1845"/>
      <c r="G20" s="1845"/>
      <c r="H20" s="2139"/>
      <c r="I20" s="326"/>
      <c r="J20" s="624"/>
      <c r="K20" s="624"/>
      <c r="L20" s="624"/>
      <c r="M20" s="624"/>
      <c r="N20" s="326"/>
      <c r="O20" s="624"/>
      <c r="P20" s="624"/>
      <c r="Q20" s="624"/>
      <c r="R20" s="624"/>
      <c r="S20" s="326"/>
      <c r="T20" s="624"/>
      <c r="U20" s="624"/>
      <c r="V20" s="624"/>
      <c r="W20" s="625"/>
    </row>
    <row r="21" spans="1:23" ht="15.75" thickBot="1">
      <c r="A21" s="2148"/>
      <c r="B21" s="2148"/>
      <c r="C21" s="136" t="s">
        <v>22</v>
      </c>
      <c r="D21" s="137" t="s">
        <v>235</v>
      </c>
      <c r="E21" s="138"/>
      <c r="F21" s="2141"/>
      <c r="G21" s="2141"/>
      <c r="H21" s="2142"/>
      <c r="I21" s="326"/>
      <c r="J21" s="624"/>
      <c r="K21" s="624"/>
      <c r="L21" s="624"/>
      <c r="M21" s="624"/>
      <c r="N21" s="326"/>
      <c r="O21" s="624"/>
      <c r="P21" s="624"/>
      <c r="Q21" s="624"/>
      <c r="R21" s="624"/>
      <c r="S21" s="326"/>
      <c r="T21" s="624"/>
      <c r="U21" s="624"/>
      <c r="V21" s="624"/>
      <c r="W21" s="625"/>
    </row>
    <row r="22" spans="1:23">
      <c r="A22" s="2183" t="s">
        <v>23</v>
      </c>
      <c r="B22" s="2140"/>
      <c r="C22" s="140" t="s">
        <v>69</v>
      </c>
      <c r="D22" s="137" t="s">
        <v>267</v>
      </c>
      <c r="E22" s="138"/>
      <c r="F22" s="1828" t="s">
        <v>477</v>
      </c>
      <c r="G22" s="2140"/>
      <c r="H22" s="2137"/>
      <c r="I22" s="326"/>
      <c r="J22" s="624"/>
      <c r="K22" s="624"/>
      <c r="L22" s="624"/>
      <c r="M22" s="624"/>
      <c r="N22" s="326"/>
      <c r="O22" s="624"/>
      <c r="P22" s="624"/>
      <c r="Q22" s="624"/>
      <c r="R22" s="624"/>
      <c r="S22" s="326"/>
      <c r="T22" s="624"/>
      <c r="U22" s="624"/>
      <c r="V22" s="624"/>
      <c r="W22" s="625"/>
    </row>
    <row r="23" spans="1:23" ht="15.75" thickBot="1">
      <c r="A23" s="2141"/>
      <c r="B23" s="2141"/>
      <c r="C23" s="141" t="s">
        <v>24</v>
      </c>
      <c r="D23" s="142" t="s">
        <v>236</v>
      </c>
      <c r="E23" s="138"/>
      <c r="F23" s="2141"/>
      <c r="G23" s="2141"/>
      <c r="H23" s="2142"/>
      <c r="I23" s="326"/>
      <c r="J23" s="624"/>
      <c r="K23" s="624"/>
      <c r="L23" s="624"/>
      <c r="M23" s="624"/>
      <c r="N23" s="326"/>
      <c r="O23" s="624"/>
      <c r="P23" s="624"/>
      <c r="Q23" s="624"/>
      <c r="R23" s="624"/>
      <c r="S23" s="326"/>
      <c r="T23" s="624"/>
      <c r="U23" s="624"/>
      <c r="V23" s="624"/>
      <c r="W23" s="625"/>
    </row>
    <row r="24" spans="1:23" ht="15.75">
      <c r="A24" s="2136" t="s">
        <v>478</v>
      </c>
      <c r="B24" s="2137"/>
      <c r="C24" s="143" t="s">
        <v>360</v>
      </c>
      <c r="D24" s="142" t="s">
        <v>265</v>
      </c>
      <c r="E24" s="138"/>
      <c r="F24" s="1828" t="s">
        <v>477</v>
      </c>
      <c r="G24" s="2140"/>
      <c r="H24" s="2137"/>
      <c r="I24" s="326"/>
      <c r="J24" s="624"/>
      <c r="K24" s="624"/>
      <c r="L24" s="624"/>
      <c r="M24" s="624"/>
      <c r="N24" s="326"/>
      <c r="O24" s="624"/>
      <c r="P24" s="624"/>
      <c r="Q24" s="624"/>
      <c r="R24" s="624"/>
      <c r="S24" s="326"/>
      <c r="T24" s="624"/>
      <c r="U24" s="624"/>
      <c r="V24" s="624"/>
      <c r="W24" s="625"/>
    </row>
    <row r="25" spans="1:23" ht="15.75">
      <c r="A25" s="2138"/>
      <c r="B25" s="2139"/>
      <c r="C25" s="144" t="s">
        <v>361</v>
      </c>
      <c r="D25" s="142" t="s">
        <v>362</v>
      </c>
      <c r="E25" s="138"/>
      <c r="F25" s="1845"/>
      <c r="G25" s="1845"/>
      <c r="H25" s="2139"/>
      <c r="I25" s="326"/>
      <c r="J25" s="624"/>
      <c r="K25" s="624"/>
      <c r="L25" s="624"/>
      <c r="M25" s="624"/>
      <c r="N25" s="326"/>
      <c r="O25" s="624"/>
      <c r="P25" s="624"/>
      <c r="Q25" s="624"/>
      <c r="R25" s="624"/>
      <c r="S25" s="326"/>
      <c r="T25" s="624"/>
      <c r="U25" s="624"/>
      <c r="V25" s="624"/>
      <c r="W25" s="625"/>
    </row>
    <row r="26" spans="1:23" ht="16.5" thickBot="1">
      <c r="A26" s="2138"/>
      <c r="B26" s="2139"/>
      <c r="C26" s="145" t="s">
        <v>479</v>
      </c>
      <c r="D26" s="142" t="s">
        <v>480</v>
      </c>
      <c r="E26" s="138"/>
      <c r="F26" s="2141"/>
      <c r="G26" s="2141"/>
      <c r="H26" s="2142"/>
      <c r="I26" s="326"/>
      <c r="J26" s="624"/>
      <c r="K26" s="624"/>
      <c r="L26" s="624"/>
      <c r="M26" s="624"/>
      <c r="N26" s="326"/>
      <c r="O26" s="624"/>
      <c r="P26" s="624"/>
      <c r="Q26" s="624"/>
      <c r="R26" s="624"/>
      <c r="S26" s="326"/>
      <c r="T26" s="624"/>
      <c r="U26" s="624"/>
      <c r="V26" s="624"/>
      <c r="W26" s="625"/>
    </row>
    <row r="27" spans="1:23" ht="15.75" thickBot="1">
      <c r="A27" s="2143" t="s">
        <v>25</v>
      </c>
      <c r="B27" s="2144"/>
      <c r="C27" s="2145"/>
      <c r="D27" s="146" t="s">
        <v>270</v>
      </c>
      <c r="E27" s="138"/>
      <c r="F27" s="1818" t="s">
        <v>481</v>
      </c>
      <c r="G27" s="2097"/>
      <c r="H27" s="2098"/>
      <c r="I27" s="326"/>
      <c r="J27" s="624"/>
      <c r="K27" s="624"/>
      <c r="L27" s="624"/>
      <c r="M27" s="624"/>
      <c r="N27" s="326"/>
      <c r="O27" s="624"/>
      <c r="P27" s="624"/>
      <c r="Q27" s="624"/>
      <c r="R27" s="624"/>
      <c r="S27" s="326"/>
      <c r="T27" s="624"/>
      <c r="U27" s="624"/>
      <c r="V27" s="624"/>
      <c r="W27" s="625"/>
    </row>
    <row r="28" spans="1:23" ht="15.75">
      <c r="A28" s="2157" t="s">
        <v>153</v>
      </c>
      <c r="B28" s="2158"/>
      <c r="C28" s="147" t="s">
        <v>152</v>
      </c>
      <c r="D28" s="148" t="s">
        <v>268</v>
      </c>
      <c r="E28" s="138"/>
      <c r="F28" s="1828" t="s">
        <v>475</v>
      </c>
      <c r="G28" s="2140"/>
      <c r="H28" s="2137"/>
      <c r="I28" s="326"/>
      <c r="J28" s="624"/>
      <c r="K28" s="624"/>
      <c r="L28" s="624"/>
      <c r="M28" s="624"/>
      <c r="N28" s="326"/>
      <c r="O28" s="624"/>
      <c r="P28" s="624"/>
      <c r="Q28" s="624"/>
      <c r="R28" s="624"/>
      <c r="S28" s="326"/>
      <c r="T28" s="624"/>
      <c r="U28" s="624"/>
      <c r="V28" s="624"/>
      <c r="W28" s="625"/>
    </row>
    <row r="29" spans="1:23" ht="15.75">
      <c r="A29" s="2138"/>
      <c r="B29" s="2158"/>
      <c r="C29" s="149" t="s">
        <v>154</v>
      </c>
      <c r="D29" s="148" t="s">
        <v>392</v>
      </c>
      <c r="E29" s="138"/>
      <c r="F29" s="1845"/>
      <c r="G29" s="1845"/>
      <c r="H29" s="2139"/>
      <c r="I29" s="326"/>
      <c r="J29" s="624"/>
      <c r="K29" s="624"/>
      <c r="L29" s="624"/>
      <c r="M29" s="624"/>
      <c r="N29" s="326"/>
      <c r="O29" s="624"/>
      <c r="P29" s="624"/>
      <c r="Q29" s="624"/>
      <c r="R29" s="624"/>
      <c r="S29" s="326"/>
      <c r="T29" s="624"/>
      <c r="U29" s="624"/>
      <c r="V29" s="624"/>
      <c r="W29" s="625"/>
    </row>
    <row r="30" spans="1:23" ht="16.5" thickBot="1">
      <c r="A30" s="2149"/>
      <c r="B30" s="2152"/>
      <c r="C30" s="150" t="s">
        <v>400</v>
      </c>
      <c r="D30" s="148" t="s">
        <v>393</v>
      </c>
      <c r="E30" s="138"/>
      <c r="F30" s="2141"/>
      <c r="G30" s="2141"/>
      <c r="H30" s="2142"/>
      <c r="I30" s="326"/>
      <c r="J30" s="624"/>
      <c r="K30" s="624"/>
      <c r="L30" s="624"/>
      <c r="M30" s="624"/>
      <c r="N30" s="326"/>
      <c r="O30" s="624"/>
      <c r="P30" s="624"/>
      <c r="Q30" s="624"/>
      <c r="R30" s="624"/>
      <c r="S30" s="326"/>
      <c r="T30" s="624"/>
      <c r="U30" s="624"/>
      <c r="V30" s="624"/>
      <c r="W30" s="625"/>
    </row>
    <row r="31" spans="1:23" ht="15.75">
      <c r="A31" s="2159" t="s">
        <v>153</v>
      </c>
      <c r="B31" s="2151"/>
      <c r="C31" s="151" t="s">
        <v>155</v>
      </c>
      <c r="D31" s="148" t="s">
        <v>266</v>
      </c>
      <c r="E31" s="138"/>
      <c r="F31" s="1828" t="s">
        <v>475</v>
      </c>
      <c r="G31" s="2140"/>
      <c r="H31" s="2137"/>
      <c r="I31" s="326"/>
      <c r="J31" s="624"/>
      <c r="K31" s="624"/>
      <c r="L31" s="624"/>
      <c r="M31" s="624"/>
      <c r="N31" s="326"/>
      <c r="O31" s="624"/>
      <c r="P31" s="624"/>
      <c r="Q31" s="624"/>
      <c r="R31" s="624"/>
      <c r="S31" s="326"/>
      <c r="T31" s="624"/>
      <c r="U31" s="624"/>
      <c r="V31" s="624"/>
      <c r="W31" s="625"/>
    </row>
    <row r="32" spans="1:23" ht="15.75">
      <c r="A32" s="2138"/>
      <c r="B32" s="2158"/>
      <c r="C32" s="149" t="s">
        <v>156</v>
      </c>
      <c r="D32" s="148" t="s">
        <v>394</v>
      </c>
      <c r="E32" s="138"/>
      <c r="F32" s="1845"/>
      <c r="G32" s="1845"/>
      <c r="H32" s="2139"/>
      <c r="I32" s="326"/>
      <c r="J32" s="624"/>
      <c r="K32" s="624"/>
      <c r="L32" s="624"/>
      <c r="M32" s="624"/>
      <c r="N32" s="326"/>
      <c r="O32" s="624"/>
      <c r="P32" s="624"/>
      <c r="Q32" s="624"/>
      <c r="R32" s="624"/>
      <c r="S32" s="326"/>
      <c r="T32" s="624"/>
      <c r="U32" s="624"/>
      <c r="V32" s="624"/>
      <c r="W32" s="625"/>
    </row>
    <row r="33" spans="1:23" ht="16.5" thickBot="1">
      <c r="A33" s="2149"/>
      <c r="B33" s="2152"/>
      <c r="C33" s="150" t="s">
        <v>399</v>
      </c>
      <c r="D33" s="148" t="s">
        <v>395</v>
      </c>
      <c r="E33" s="138"/>
      <c r="F33" s="2141"/>
      <c r="G33" s="2141"/>
      <c r="H33" s="2142"/>
      <c r="I33" s="326"/>
      <c r="J33" s="624"/>
      <c r="K33" s="624"/>
      <c r="L33" s="624"/>
      <c r="M33" s="624"/>
      <c r="N33" s="326"/>
      <c r="O33" s="624"/>
      <c r="P33" s="624"/>
      <c r="Q33" s="624"/>
      <c r="R33" s="624"/>
      <c r="S33" s="326"/>
      <c r="T33" s="624"/>
      <c r="U33" s="624"/>
      <c r="V33" s="624"/>
      <c r="W33" s="625"/>
    </row>
    <row r="34" spans="1:23" ht="16.5" thickBot="1">
      <c r="A34" s="2159" t="s">
        <v>482</v>
      </c>
      <c r="B34" s="2151"/>
      <c r="C34" s="151" t="s">
        <v>365</v>
      </c>
      <c r="D34" s="148" t="s">
        <v>252</v>
      </c>
      <c r="E34" s="138"/>
      <c r="F34" s="1828" t="s">
        <v>483</v>
      </c>
      <c r="G34" s="2140"/>
      <c r="H34" s="2137"/>
      <c r="I34" s="326"/>
      <c r="J34" s="624"/>
      <c r="K34" s="624"/>
      <c r="L34" s="624"/>
      <c r="M34" s="624"/>
      <c r="N34" s="326"/>
      <c r="O34" s="624"/>
      <c r="P34" s="624"/>
      <c r="Q34" s="624"/>
      <c r="R34" s="624"/>
      <c r="S34" s="326"/>
      <c r="T34" s="624"/>
      <c r="U34" s="624"/>
      <c r="V34" s="624"/>
      <c r="W34" s="625"/>
    </row>
    <row r="35" spans="1:23" ht="16.5" thickBot="1">
      <c r="A35" s="2159" t="s">
        <v>484</v>
      </c>
      <c r="B35" s="2151"/>
      <c r="C35" s="151" t="s">
        <v>485</v>
      </c>
      <c r="D35" s="148" t="s">
        <v>264</v>
      </c>
      <c r="E35" s="138"/>
      <c r="F35" s="2160"/>
      <c r="G35" s="2140"/>
      <c r="H35" s="2137"/>
      <c r="I35" s="326"/>
      <c r="J35" s="624"/>
      <c r="K35" s="624"/>
      <c r="L35" s="624"/>
      <c r="M35" s="624"/>
      <c r="N35" s="326"/>
      <c r="O35" s="624"/>
      <c r="P35" s="624"/>
      <c r="Q35" s="624"/>
      <c r="R35" s="624"/>
      <c r="S35" s="326"/>
      <c r="T35" s="624"/>
      <c r="U35" s="624"/>
      <c r="V35" s="624"/>
      <c r="W35" s="625"/>
    </row>
    <row r="36" spans="1:23" ht="15.75">
      <c r="A36" s="2161" t="s">
        <v>486</v>
      </c>
      <c r="B36" s="2151"/>
      <c r="C36" s="152" t="s">
        <v>43</v>
      </c>
      <c r="D36" s="153" t="s">
        <v>256</v>
      </c>
      <c r="E36" s="138"/>
      <c r="F36" s="1828" t="s">
        <v>487</v>
      </c>
      <c r="G36" s="2140"/>
      <c r="H36" s="2137"/>
      <c r="I36" s="326"/>
      <c r="J36" s="624"/>
      <c r="K36" s="624"/>
      <c r="L36" s="624"/>
      <c r="M36" s="624"/>
      <c r="N36" s="326"/>
      <c r="O36" s="624"/>
      <c r="P36" s="624"/>
      <c r="Q36" s="624"/>
      <c r="R36" s="624"/>
      <c r="S36" s="326"/>
      <c r="T36" s="624"/>
      <c r="U36" s="624"/>
      <c r="V36" s="624"/>
      <c r="W36" s="625"/>
    </row>
    <row r="37" spans="1:23" ht="16.5" thickBot="1">
      <c r="A37" s="2149"/>
      <c r="B37" s="2152"/>
      <c r="C37" s="154" t="s">
        <v>60</v>
      </c>
      <c r="D37" s="153" t="s">
        <v>257</v>
      </c>
      <c r="E37" s="138"/>
      <c r="F37" s="2141"/>
      <c r="G37" s="2141"/>
      <c r="H37" s="2142"/>
      <c r="I37" s="326"/>
      <c r="J37" s="624"/>
      <c r="K37" s="624"/>
      <c r="L37" s="624"/>
      <c r="M37" s="624"/>
      <c r="N37" s="326"/>
      <c r="O37" s="624"/>
      <c r="P37" s="624"/>
      <c r="Q37" s="624"/>
      <c r="R37" s="624"/>
      <c r="S37" s="326"/>
      <c r="T37" s="624"/>
      <c r="U37" s="624"/>
      <c r="V37" s="624"/>
      <c r="W37" s="625"/>
    </row>
    <row r="38" spans="1:23" ht="30">
      <c r="A38" s="2165" t="s">
        <v>33</v>
      </c>
      <c r="B38" s="2140"/>
      <c r="C38" s="155" t="s">
        <v>30</v>
      </c>
      <c r="D38" s="156" t="s">
        <v>170</v>
      </c>
      <c r="E38" s="138"/>
      <c r="F38" s="1820" t="s">
        <v>510</v>
      </c>
      <c r="G38" s="2140"/>
      <c r="H38" s="2137"/>
      <c r="I38" s="326"/>
      <c r="J38" s="624"/>
      <c r="K38" s="624"/>
      <c r="L38" s="624"/>
      <c r="M38" s="624"/>
      <c r="N38" s="326"/>
      <c r="O38" s="624"/>
      <c r="P38" s="624"/>
      <c r="Q38" s="624"/>
      <c r="R38" s="624"/>
      <c r="S38" s="326"/>
      <c r="T38" s="624"/>
      <c r="U38" s="624"/>
      <c r="V38" s="624"/>
      <c r="W38" s="625"/>
    </row>
    <row r="39" spans="1:23" ht="30">
      <c r="A39" s="2138"/>
      <c r="B39" s="2148"/>
      <c r="C39" s="157" t="s">
        <v>31</v>
      </c>
      <c r="D39" s="156" t="s">
        <v>169</v>
      </c>
      <c r="E39" s="138"/>
      <c r="F39" s="1820" t="s">
        <v>539</v>
      </c>
      <c r="G39" s="2140"/>
      <c r="H39" s="2137"/>
      <c r="I39" s="326"/>
      <c r="J39" s="624"/>
      <c r="K39" s="624"/>
      <c r="L39" s="624"/>
      <c r="M39" s="624"/>
      <c r="N39" s="326"/>
      <c r="O39" s="624"/>
      <c r="P39" s="624"/>
      <c r="Q39" s="624"/>
      <c r="R39" s="624"/>
      <c r="S39" s="326"/>
      <c r="T39" s="624"/>
      <c r="U39" s="624"/>
      <c r="V39" s="624"/>
      <c r="W39" s="625"/>
    </row>
    <row r="40" spans="1:23" ht="30.75" thickBot="1">
      <c r="A40" s="2138"/>
      <c r="B40" s="2148"/>
      <c r="C40" s="158" t="s">
        <v>32</v>
      </c>
      <c r="D40" s="156" t="s">
        <v>250</v>
      </c>
      <c r="E40" s="138"/>
      <c r="F40" s="2141"/>
      <c r="G40" s="2141"/>
      <c r="H40" s="2142"/>
      <c r="I40" s="326"/>
      <c r="J40" s="624"/>
      <c r="K40" s="624"/>
      <c r="L40" s="624"/>
      <c r="M40" s="624"/>
      <c r="N40" s="326"/>
      <c r="O40" s="624"/>
      <c r="P40" s="624"/>
      <c r="Q40" s="624"/>
      <c r="R40" s="624"/>
      <c r="S40" s="326"/>
      <c r="T40" s="624"/>
      <c r="U40" s="624"/>
      <c r="V40" s="624"/>
      <c r="W40" s="625"/>
    </row>
    <row r="41" spans="1:23" ht="15.75">
      <c r="A41" s="2169" t="s">
        <v>491</v>
      </c>
      <c r="B41" s="2170"/>
      <c r="C41" s="159" t="s">
        <v>144</v>
      </c>
      <c r="D41" s="160" t="s">
        <v>253</v>
      </c>
      <c r="E41" s="138"/>
      <c r="F41" s="1828" t="s">
        <v>492</v>
      </c>
      <c r="G41" s="2140"/>
      <c r="H41" s="2137"/>
      <c r="I41" s="326"/>
      <c r="J41" s="624"/>
      <c r="K41" s="624"/>
      <c r="L41" s="624"/>
      <c r="M41" s="624"/>
      <c r="N41" s="326"/>
      <c r="O41" s="624"/>
      <c r="P41" s="624"/>
      <c r="Q41" s="624"/>
      <c r="R41" s="624"/>
      <c r="S41" s="326"/>
      <c r="T41" s="624"/>
      <c r="U41" s="624"/>
      <c r="V41" s="624"/>
      <c r="W41" s="625"/>
    </row>
    <row r="42" spans="1:23" ht="16.5" thickBot="1">
      <c r="A42" s="2148"/>
      <c r="B42" s="2158"/>
      <c r="C42" s="161" t="s">
        <v>145</v>
      </c>
      <c r="D42" s="160" t="s">
        <v>254</v>
      </c>
      <c r="E42" s="138"/>
      <c r="F42" s="2141"/>
      <c r="G42" s="2141"/>
      <c r="H42" s="2142"/>
      <c r="I42" s="326"/>
      <c r="J42" s="624"/>
      <c r="K42" s="624"/>
      <c r="L42" s="624"/>
      <c r="M42" s="624"/>
      <c r="N42" s="326"/>
      <c r="O42" s="624"/>
      <c r="P42" s="624"/>
      <c r="Q42" s="624"/>
      <c r="R42" s="624"/>
      <c r="S42" s="326"/>
      <c r="T42" s="624"/>
      <c r="U42" s="624"/>
      <c r="V42" s="624"/>
      <c r="W42" s="625"/>
    </row>
    <row r="43" spans="1:23" ht="48" thickBot="1">
      <c r="A43" s="2171"/>
      <c r="B43" s="2172"/>
      <c r="C43" s="162" t="s">
        <v>128</v>
      </c>
      <c r="D43" s="160" t="s">
        <v>262</v>
      </c>
      <c r="E43" s="183" t="s">
        <v>277</v>
      </c>
      <c r="F43" s="2173"/>
      <c r="G43" s="2097"/>
      <c r="H43" s="2098"/>
      <c r="I43" s="183" t="s">
        <v>277</v>
      </c>
      <c r="J43" s="624">
        <v>1</v>
      </c>
      <c r="K43" s="624"/>
      <c r="L43" s="624">
        <v>1</v>
      </c>
      <c r="M43" s="640">
        <f>(L43*72)*5</f>
        <v>360</v>
      </c>
      <c r="N43" s="183" t="s">
        <v>277</v>
      </c>
      <c r="O43" s="624">
        <v>1</v>
      </c>
      <c r="P43" s="624"/>
      <c r="Q43" s="624">
        <v>1</v>
      </c>
      <c r="R43" s="640">
        <f>(Q43*72)*5</f>
        <v>360</v>
      </c>
      <c r="S43" s="183" t="s">
        <v>277</v>
      </c>
      <c r="T43" s="624">
        <v>1</v>
      </c>
      <c r="U43" s="624"/>
      <c r="V43" s="624">
        <v>1</v>
      </c>
      <c r="W43" s="640">
        <f>(V43*72)*5</f>
        <v>360</v>
      </c>
    </row>
    <row r="44" spans="1:23" s="61" customFormat="1" ht="15.75" customHeight="1" thickBot="1">
      <c r="A44" s="2169" t="s">
        <v>493</v>
      </c>
      <c r="B44" s="2170"/>
      <c r="C44" s="1676"/>
      <c r="D44" s="160" t="s">
        <v>237</v>
      </c>
      <c r="E44" s="1685"/>
      <c r="F44" s="1855" t="s">
        <v>540</v>
      </c>
      <c r="G44" s="2416"/>
      <c r="H44" s="2417"/>
      <c r="I44" s="1685" t="s">
        <v>277</v>
      </c>
      <c r="J44" s="1686">
        <v>1</v>
      </c>
      <c r="K44" s="1686"/>
      <c r="L44" s="1686">
        <v>1</v>
      </c>
      <c r="M44" s="1687">
        <f>(L44*652)*5</f>
        <v>3260</v>
      </c>
      <c r="N44" s="1685" t="s">
        <v>277</v>
      </c>
      <c r="O44" s="1686">
        <v>1</v>
      </c>
      <c r="P44" s="1686"/>
      <c r="Q44" s="1686">
        <v>1</v>
      </c>
      <c r="R44" s="1687">
        <f>(Q44*652)*5</f>
        <v>3260</v>
      </c>
      <c r="S44" s="1685" t="s">
        <v>277</v>
      </c>
      <c r="T44" s="1686">
        <v>1</v>
      </c>
      <c r="U44" s="1686"/>
      <c r="V44" s="1686">
        <v>1</v>
      </c>
      <c r="W44" s="1687">
        <f>(V44*652)*5</f>
        <v>3260</v>
      </c>
    </row>
    <row r="45" spans="1:23" ht="15.75" thickBot="1">
      <c r="A45" s="2146" t="s">
        <v>133</v>
      </c>
      <c r="B45" s="2144"/>
      <c r="C45" s="2145"/>
      <c r="D45" s="163" t="s">
        <v>238</v>
      </c>
      <c r="E45" s="183" t="s">
        <v>277</v>
      </c>
      <c r="F45" s="1818" t="s">
        <v>541</v>
      </c>
      <c r="G45" s="2097"/>
      <c r="H45" s="2098"/>
      <c r="I45" s="183" t="s">
        <v>277</v>
      </c>
      <c r="J45" s="624">
        <v>1</v>
      </c>
      <c r="K45" s="624"/>
      <c r="L45" s="624">
        <v>1</v>
      </c>
      <c r="M45" s="640">
        <f>(L45*358)*5</f>
        <v>1790</v>
      </c>
      <c r="N45" s="183" t="s">
        <v>277</v>
      </c>
      <c r="O45" s="624">
        <v>1</v>
      </c>
      <c r="P45" s="624"/>
      <c r="Q45" s="624">
        <v>1</v>
      </c>
      <c r="R45" s="640">
        <f>(Q45*358)*5</f>
        <v>1790</v>
      </c>
      <c r="S45" s="183" t="s">
        <v>277</v>
      </c>
      <c r="T45" s="624">
        <v>1</v>
      </c>
      <c r="U45" s="624"/>
      <c r="V45" s="624">
        <v>1</v>
      </c>
      <c r="W45" s="640">
        <f>(V45*358)*5</f>
        <v>1790</v>
      </c>
    </row>
    <row r="46" spans="1:23">
      <c r="A46" s="2147" t="s">
        <v>41</v>
      </c>
      <c r="B46" s="2148"/>
      <c r="C46" s="164" t="s">
        <v>50</v>
      </c>
      <c r="D46" s="165" t="s">
        <v>246</v>
      </c>
      <c r="E46" s="138"/>
      <c r="F46" s="1785" t="s">
        <v>542</v>
      </c>
      <c r="G46" s="2097"/>
      <c r="H46" s="2098"/>
      <c r="I46" s="138"/>
      <c r="J46" s="624"/>
      <c r="K46" s="624"/>
      <c r="L46" s="624"/>
      <c r="M46" s="640"/>
      <c r="N46" s="138"/>
      <c r="O46" s="624"/>
      <c r="P46" s="624"/>
      <c r="Q46" s="624"/>
      <c r="R46" s="640"/>
      <c r="S46" s="138"/>
      <c r="T46" s="624"/>
      <c r="U46" s="624"/>
      <c r="V46" s="624"/>
      <c r="W46" s="640"/>
    </row>
    <row r="47" spans="1:23">
      <c r="A47" s="2138"/>
      <c r="B47" s="2148"/>
      <c r="C47" s="166" t="s">
        <v>51</v>
      </c>
      <c r="D47" s="165" t="s">
        <v>247</v>
      </c>
      <c r="E47" s="184" t="s">
        <v>277</v>
      </c>
      <c r="F47" s="1785" t="s">
        <v>543</v>
      </c>
      <c r="G47" s="2097"/>
      <c r="H47" s="2098"/>
      <c r="I47" s="184" t="s">
        <v>277</v>
      </c>
      <c r="J47" s="624">
        <v>1</v>
      </c>
      <c r="K47" s="624"/>
      <c r="L47" s="624">
        <v>4</v>
      </c>
      <c r="M47" s="640">
        <f>(L47*145)*5</f>
        <v>2900</v>
      </c>
      <c r="N47" s="184" t="s">
        <v>277</v>
      </c>
      <c r="O47" s="624">
        <v>1</v>
      </c>
      <c r="P47" s="624"/>
      <c r="Q47" s="624">
        <v>4</v>
      </c>
      <c r="R47" s="640">
        <f>(Q47*145)*5</f>
        <v>2900</v>
      </c>
      <c r="S47" s="184" t="s">
        <v>277</v>
      </c>
      <c r="T47" s="624">
        <v>1</v>
      </c>
      <c r="U47" s="624"/>
      <c r="V47" s="624">
        <v>4</v>
      </c>
      <c r="W47" s="640">
        <f>(V47*145)*5</f>
        <v>2900</v>
      </c>
    </row>
    <row r="48" spans="1:23">
      <c r="A48" s="2138"/>
      <c r="B48" s="2148"/>
      <c r="C48" s="166" t="s">
        <v>39</v>
      </c>
      <c r="D48" s="165" t="s">
        <v>248</v>
      </c>
      <c r="E48" s="138"/>
      <c r="F48" s="1785" t="s">
        <v>498</v>
      </c>
      <c r="G48" s="2097"/>
      <c r="H48" s="2098"/>
      <c r="I48" s="138"/>
      <c r="J48" s="624"/>
      <c r="K48" s="624"/>
      <c r="L48" s="624"/>
      <c r="M48" s="640"/>
      <c r="N48" s="138"/>
      <c r="O48" s="624"/>
      <c r="P48" s="624"/>
      <c r="Q48" s="624"/>
      <c r="R48" s="640"/>
      <c r="S48" s="138"/>
      <c r="T48" s="624"/>
      <c r="U48" s="624"/>
      <c r="V48" s="624"/>
      <c r="W48" s="640"/>
    </row>
    <row r="49" spans="1:23" ht="15.75" thickBot="1">
      <c r="A49" s="2149"/>
      <c r="B49" s="2141"/>
      <c r="C49" s="167" t="s">
        <v>40</v>
      </c>
      <c r="D49" s="165" t="s">
        <v>249</v>
      </c>
      <c r="E49" s="184" t="s">
        <v>277</v>
      </c>
      <c r="F49" s="1785" t="s">
        <v>544</v>
      </c>
      <c r="G49" s="2097"/>
      <c r="H49" s="2098"/>
      <c r="I49" s="184" t="s">
        <v>277</v>
      </c>
      <c r="J49" s="624">
        <v>1</v>
      </c>
      <c r="K49" s="624"/>
      <c r="L49" s="624">
        <v>4</v>
      </c>
      <c r="M49" s="640">
        <f>(L49*254)*5</f>
        <v>5080</v>
      </c>
      <c r="N49" s="184" t="s">
        <v>277</v>
      </c>
      <c r="O49" s="624">
        <v>1</v>
      </c>
      <c r="P49" s="624"/>
      <c r="Q49" s="624">
        <v>4</v>
      </c>
      <c r="R49" s="640">
        <f>(Q49*254)*5</f>
        <v>5080</v>
      </c>
      <c r="S49" s="184" t="s">
        <v>277</v>
      </c>
      <c r="T49" s="624">
        <v>1</v>
      </c>
      <c r="U49" s="624"/>
      <c r="V49" s="624">
        <v>4</v>
      </c>
      <c r="W49" s="640">
        <f>(V49*254)*5</f>
        <v>5080</v>
      </c>
    </row>
    <row r="50" spans="1:23" ht="15.75">
      <c r="A50" s="2150" t="s">
        <v>130</v>
      </c>
      <c r="B50" s="2151"/>
      <c r="C50" s="159" t="s">
        <v>131</v>
      </c>
      <c r="D50" s="160" t="s">
        <v>255</v>
      </c>
      <c r="E50" s="183" t="s">
        <v>277</v>
      </c>
      <c r="F50" s="2153"/>
      <c r="G50" s="2097"/>
      <c r="H50" s="2098"/>
      <c r="I50" s="183" t="s">
        <v>277</v>
      </c>
      <c r="J50" s="624">
        <v>1</v>
      </c>
      <c r="K50" s="624"/>
      <c r="L50" s="624">
        <v>5</v>
      </c>
      <c r="M50" s="640">
        <f>(L50*153)*5</f>
        <v>3825</v>
      </c>
      <c r="N50" s="183" t="s">
        <v>277</v>
      </c>
      <c r="O50" s="624">
        <v>1</v>
      </c>
      <c r="P50" s="624"/>
      <c r="Q50" s="624">
        <v>5</v>
      </c>
      <c r="R50" s="640">
        <f>(Q50*153)*5</f>
        <v>3825</v>
      </c>
      <c r="S50" s="183" t="s">
        <v>277</v>
      </c>
      <c r="T50" s="624">
        <v>1</v>
      </c>
      <c r="U50" s="624"/>
      <c r="V50" s="624">
        <v>5</v>
      </c>
      <c r="W50" s="640">
        <f>(V50*153)*5</f>
        <v>3825</v>
      </c>
    </row>
    <row r="51" spans="1:23" ht="48" thickBot="1">
      <c r="A51" s="2149"/>
      <c r="B51" s="2152"/>
      <c r="C51" s="168" t="s">
        <v>132</v>
      </c>
      <c r="D51" s="160" t="s">
        <v>263</v>
      </c>
      <c r="E51" s="183" t="s">
        <v>277</v>
      </c>
      <c r="F51" s="2153"/>
      <c r="G51" s="2097"/>
      <c r="H51" s="2098"/>
      <c r="I51" s="183" t="s">
        <v>277</v>
      </c>
      <c r="J51" s="624">
        <v>2</v>
      </c>
      <c r="K51" s="624"/>
      <c r="L51" s="624">
        <v>10</v>
      </c>
      <c r="M51" s="640">
        <f>(L51*204)*5</f>
        <v>10200</v>
      </c>
      <c r="N51" s="183" t="s">
        <v>277</v>
      </c>
      <c r="O51" s="624">
        <v>2</v>
      </c>
      <c r="P51" s="624"/>
      <c r="Q51" s="624">
        <v>10</v>
      </c>
      <c r="R51" s="640">
        <f>(Q51*204)*5</f>
        <v>10200</v>
      </c>
      <c r="S51" s="183" t="s">
        <v>277</v>
      </c>
      <c r="T51" s="624">
        <v>2</v>
      </c>
      <c r="U51" s="624"/>
      <c r="V51" s="624">
        <v>10</v>
      </c>
      <c r="W51" s="640">
        <f>(V51*204)*5</f>
        <v>10200</v>
      </c>
    </row>
    <row r="52" spans="1:23">
      <c r="A52" s="2154" t="s">
        <v>42</v>
      </c>
      <c r="B52" s="2140"/>
      <c r="C52" s="169" t="s">
        <v>38</v>
      </c>
      <c r="D52" s="170" t="s">
        <v>239</v>
      </c>
      <c r="E52" s="183" t="s">
        <v>277</v>
      </c>
      <c r="F52" s="1818" t="s">
        <v>545</v>
      </c>
      <c r="G52" s="2097"/>
      <c r="H52" s="2098"/>
      <c r="I52" s="183" t="s">
        <v>277</v>
      </c>
      <c r="J52" s="624">
        <v>1</v>
      </c>
      <c r="K52" s="624"/>
      <c r="L52" s="624">
        <v>200</v>
      </c>
      <c r="M52" s="640">
        <f>(L52*0.8)*5</f>
        <v>800</v>
      </c>
      <c r="N52" s="183" t="s">
        <v>277</v>
      </c>
      <c r="O52" s="624">
        <v>1</v>
      </c>
      <c r="P52" s="624"/>
      <c r="Q52" s="624">
        <v>200</v>
      </c>
      <c r="R52" s="640">
        <f>(Q52*0.8)*5</f>
        <v>800</v>
      </c>
      <c r="S52" s="183" t="s">
        <v>277</v>
      </c>
      <c r="T52" s="624">
        <v>1</v>
      </c>
      <c r="U52" s="624"/>
      <c r="V52" s="624">
        <v>200</v>
      </c>
      <c r="W52" s="640">
        <f>(V52*0.8)*5</f>
        <v>800</v>
      </c>
    </row>
    <row r="53" spans="1:23">
      <c r="A53" s="2148"/>
      <c r="B53" s="2148"/>
      <c r="C53" s="171" t="s">
        <v>55</v>
      </c>
      <c r="D53" s="170" t="s">
        <v>240</v>
      </c>
      <c r="E53" s="138"/>
      <c r="F53" s="2155"/>
      <c r="G53" s="2097"/>
      <c r="H53" s="2098"/>
      <c r="I53" s="138"/>
      <c r="J53" s="624"/>
      <c r="K53" s="624"/>
      <c r="L53" s="624"/>
      <c r="M53" s="624"/>
      <c r="N53" s="138"/>
      <c r="O53" s="624"/>
      <c r="P53" s="624"/>
      <c r="Q53" s="624"/>
      <c r="R53" s="640"/>
      <c r="S53" s="138"/>
      <c r="T53" s="624"/>
      <c r="U53" s="624"/>
      <c r="V53" s="624"/>
      <c r="W53" s="625"/>
    </row>
    <row r="54" spans="1:23" ht="16.5" thickBot="1">
      <c r="A54" s="2148"/>
      <c r="B54" s="2148"/>
      <c r="C54" s="161" t="s">
        <v>48</v>
      </c>
      <c r="D54" s="172" t="s">
        <v>241</v>
      </c>
      <c r="E54" s="138"/>
      <c r="F54" s="2156"/>
      <c r="G54" s="2097"/>
      <c r="H54" s="2098"/>
      <c r="I54" s="138"/>
      <c r="J54" s="624"/>
      <c r="K54" s="624"/>
      <c r="L54" s="624"/>
      <c r="M54" s="624"/>
      <c r="N54" s="138"/>
      <c r="O54" s="624"/>
      <c r="P54" s="624"/>
      <c r="Q54" s="624"/>
      <c r="R54" s="640"/>
      <c r="S54" s="138"/>
      <c r="T54" s="624"/>
      <c r="U54" s="624"/>
      <c r="V54" s="624"/>
      <c r="W54" s="625"/>
    </row>
    <row r="55" spans="1:23" ht="16.5" thickBot="1">
      <c r="A55" s="2135" t="s">
        <v>500</v>
      </c>
      <c r="B55" s="2097"/>
      <c r="C55" s="173" t="s">
        <v>134</v>
      </c>
      <c r="D55" s="174" t="s">
        <v>269</v>
      </c>
      <c r="E55" s="175"/>
      <c r="F55" s="1818" t="s">
        <v>501</v>
      </c>
      <c r="G55" s="2097"/>
      <c r="H55" s="2098"/>
      <c r="I55" s="175"/>
      <c r="J55" s="627"/>
      <c r="K55" s="627"/>
      <c r="L55" s="627"/>
      <c r="M55" s="627"/>
      <c r="N55" s="175"/>
      <c r="O55" s="627"/>
      <c r="P55" s="627"/>
      <c r="Q55" s="627"/>
      <c r="R55" s="641"/>
      <c r="S55" s="175"/>
      <c r="T55" s="627"/>
      <c r="U55" s="627"/>
      <c r="V55" s="627"/>
      <c r="W55" s="628"/>
    </row>
    <row r="57" spans="1:23">
      <c r="M57" s="1014">
        <f>SUM(M43:M54)</f>
        <v>28215</v>
      </c>
    </row>
    <row r="60" spans="1:23">
      <c r="D60" s="2311" t="s">
        <v>1270</v>
      </c>
      <c r="E60" s="2312"/>
      <c r="F60" s="2312"/>
      <c r="G60" s="2312"/>
      <c r="H60" s="2312"/>
      <c r="I60" s="2312"/>
    </row>
    <row r="61" spans="1:23" ht="105">
      <c r="D61" s="1279" t="s">
        <v>1271</v>
      </c>
      <c r="E61" s="1279" t="s">
        <v>1272</v>
      </c>
      <c r="F61" s="1279" t="s">
        <v>1273</v>
      </c>
      <c r="G61" s="1279" t="s">
        <v>1274</v>
      </c>
      <c r="H61" s="1279" t="s">
        <v>1275</v>
      </c>
      <c r="I61" s="1279" t="s">
        <v>1276</v>
      </c>
    </row>
    <row r="62" spans="1:23" ht="150">
      <c r="D62" s="1280" t="s">
        <v>1312</v>
      </c>
      <c r="E62" s="1280" t="s">
        <v>1313</v>
      </c>
      <c r="F62" s="1278" t="s">
        <v>1314</v>
      </c>
      <c r="G62" s="1278" t="s">
        <v>52</v>
      </c>
      <c r="H62" s="1280" t="s">
        <v>1315</v>
      </c>
      <c r="I62" s="1278">
        <v>10</v>
      </c>
    </row>
    <row r="63" spans="1:23" ht="210">
      <c r="D63" s="1280" t="s">
        <v>1316</v>
      </c>
      <c r="E63" s="1280" t="s">
        <v>1317</v>
      </c>
      <c r="F63" s="1278" t="s">
        <v>1314</v>
      </c>
      <c r="G63" s="1278" t="s">
        <v>52</v>
      </c>
      <c r="H63" s="1280" t="s">
        <v>1315</v>
      </c>
      <c r="I63" s="1278">
        <v>10</v>
      </c>
    </row>
  </sheetData>
  <mergeCells count="58">
    <mergeCell ref="D60:I60"/>
    <mergeCell ref="C11:H11"/>
    <mergeCell ref="B2:D2"/>
    <mergeCell ref="B3:D3"/>
    <mergeCell ref="B4:D4"/>
    <mergeCell ref="B6:D6"/>
    <mergeCell ref="B8:D8"/>
    <mergeCell ref="A11:B11"/>
    <mergeCell ref="E13:H14"/>
    <mergeCell ref="A15:B15"/>
    <mergeCell ref="F15:H15"/>
    <mergeCell ref="A16:B18"/>
    <mergeCell ref="F16:H18"/>
    <mergeCell ref="A19:B21"/>
    <mergeCell ref="F19:H21"/>
    <mergeCell ref="A22:B23"/>
    <mergeCell ref="F22:H23"/>
    <mergeCell ref="A24:B26"/>
    <mergeCell ref="F24:H26"/>
    <mergeCell ref="A27:C27"/>
    <mergeCell ref="F27:H27"/>
    <mergeCell ref="A28:B30"/>
    <mergeCell ref="F28:H30"/>
    <mergeCell ref="A31:B33"/>
    <mergeCell ref="F31:H33"/>
    <mergeCell ref="A34:B34"/>
    <mergeCell ref="F34:H34"/>
    <mergeCell ref="A35:B35"/>
    <mergeCell ref="F35:H35"/>
    <mergeCell ref="A36:B37"/>
    <mergeCell ref="F36:H37"/>
    <mergeCell ref="A38:B40"/>
    <mergeCell ref="F38:H38"/>
    <mergeCell ref="F39:H40"/>
    <mergeCell ref="F41:H42"/>
    <mergeCell ref="F43:H43"/>
    <mergeCell ref="A46:B49"/>
    <mergeCell ref="F46:H46"/>
    <mergeCell ref="F47:H47"/>
    <mergeCell ref="F48:H48"/>
    <mergeCell ref="F49:H49"/>
    <mergeCell ref="A44:B44"/>
    <mergeCell ref="I14:M14"/>
    <mergeCell ref="N14:R14"/>
    <mergeCell ref="S14:W14"/>
    <mergeCell ref="A55:B55"/>
    <mergeCell ref="F55:H55"/>
    <mergeCell ref="A50:B51"/>
    <mergeCell ref="F50:H50"/>
    <mergeCell ref="F51:H51"/>
    <mergeCell ref="A52:B54"/>
    <mergeCell ref="F52:H52"/>
    <mergeCell ref="F53:H53"/>
    <mergeCell ref="F54:H54"/>
    <mergeCell ref="F44:H44"/>
    <mergeCell ref="A45:C45"/>
    <mergeCell ref="F45:H45"/>
    <mergeCell ref="A41:B43"/>
  </mergeCells>
  <dataValidations count="3">
    <dataValidation type="list" allowBlank="1" showErrorMessage="1" sqref="H3">
      <formula1>$N$4:$N$5</formula1>
    </dataValidation>
    <dataValidation type="list" allowBlank="1" showErrorMessage="1" sqref="H2">
      <formula1>$N$2:$N$3</formula1>
    </dataValidation>
    <dataValidation type="list" allowBlank="1" showErrorMessage="1" sqref="H8:H10">
      <formula1>"Enjeu EAU AESN,Enjeu EAU AEAP,Enjeu ZH et prairies AEAP,Enjeu Erosion AEAP,Enjeu Biodiversité MASA"</formula1>
    </dataValidation>
  </dataValidations>
  <hyperlinks>
    <hyperlink ref="J2" location="SOMMAIRE!A1" display="Retour sommaire"/>
    <hyperlink ref="J4" location="SYNTHESE!A1" display="Retour synthèse"/>
  </hyperlink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W64"/>
  <sheetViews>
    <sheetView topLeftCell="A43" zoomScale="70" zoomScaleNormal="70" workbookViewId="0">
      <selection activeCell="F49" sqref="F49:H49"/>
    </sheetView>
  </sheetViews>
  <sheetFormatPr baseColWidth="10" defaultRowHeight="15"/>
  <cols>
    <col min="4" max="4" width="25.140625" customWidth="1"/>
    <col min="8" max="8" width="17.140625" customWidth="1"/>
  </cols>
  <sheetData>
    <row r="1" spans="1:23" ht="15.75" thickBot="1">
      <c r="A1" s="570"/>
      <c r="B1" s="570"/>
      <c r="C1" s="570"/>
      <c r="D1" s="570"/>
      <c r="E1" s="570"/>
      <c r="F1" s="570"/>
      <c r="G1" s="570"/>
      <c r="H1" s="570"/>
    </row>
    <row r="2" spans="1:23" ht="15.75" thickBot="1">
      <c r="A2" s="109" t="s">
        <v>0</v>
      </c>
      <c r="B2" s="2029" t="s">
        <v>503</v>
      </c>
      <c r="C2" s="2144"/>
      <c r="D2" s="2145"/>
      <c r="E2" s="110"/>
      <c r="F2" s="110"/>
      <c r="G2" s="111" t="s">
        <v>462</v>
      </c>
      <c r="H2" s="185"/>
      <c r="J2" s="13" t="s">
        <v>73</v>
      </c>
      <c r="K2" s="1251"/>
    </row>
    <row r="3" spans="1:23" ht="15.75" thickBot="1">
      <c r="A3" s="113" t="s">
        <v>344</v>
      </c>
      <c r="B3" s="2029" t="s">
        <v>503</v>
      </c>
      <c r="C3" s="2144"/>
      <c r="D3" s="2145"/>
      <c r="E3" s="110"/>
      <c r="F3" s="110"/>
      <c r="G3" s="114" t="s">
        <v>10</v>
      </c>
      <c r="H3" s="177" t="s">
        <v>16</v>
      </c>
      <c r="J3" s="13"/>
      <c r="K3" s="1251"/>
    </row>
    <row r="4" spans="1:23" ht="15.75" thickBot="1">
      <c r="A4" s="114" t="s">
        <v>3</v>
      </c>
      <c r="B4" s="1823" t="s">
        <v>534</v>
      </c>
      <c r="C4" s="2144"/>
      <c r="D4" s="2145"/>
      <c r="E4" s="115"/>
      <c r="F4" s="110"/>
      <c r="G4" s="116" t="s">
        <v>26</v>
      </c>
      <c r="H4" s="190">
        <v>8</v>
      </c>
      <c r="J4" s="13" t="s">
        <v>381</v>
      </c>
      <c r="K4" s="1251"/>
    </row>
    <row r="5" spans="1:23" ht="15.75" thickBot="1">
      <c r="A5" s="110"/>
      <c r="B5" s="110"/>
      <c r="C5" s="110"/>
      <c r="D5" s="110"/>
      <c r="E5" s="110"/>
      <c r="F5" s="110"/>
      <c r="G5" s="110"/>
      <c r="H5" s="110"/>
    </row>
    <row r="6" spans="1:23" ht="210.75" thickBot="1">
      <c r="A6" s="109" t="s">
        <v>465</v>
      </c>
      <c r="B6" s="1823" t="s">
        <v>1594</v>
      </c>
      <c r="C6" s="2267"/>
      <c r="D6" s="2268"/>
      <c r="E6" s="110"/>
      <c r="F6" s="110"/>
      <c r="G6" s="118" t="s">
        <v>466</v>
      </c>
      <c r="H6" s="178" t="s">
        <v>535</v>
      </c>
    </row>
    <row r="7" spans="1:23" ht="15.75" thickBot="1">
      <c r="A7" s="570"/>
      <c r="B7" s="110"/>
      <c r="C7" s="110"/>
      <c r="D7" s="110"/>
      <c r="E7" s="110"/>
      <c r="F7" s="110"/>
      <c r="G7" s="120"/>
      <c r="H7" s="110"/>
    </row>
    <row r="8" spans="1:23" ht="60.75" thickBot="1">
      <c r="A8" s="121" t="s">
        <v>7</v>
      </c>
      <c r="B8" s="1823" t="s">
        <v>536</v>
      </c>
      <c r="C8" s="2144"/>
      <c r="D8" s="2145"/>
      <c r="E8" s="115"/>
      <c r="F8" s="122"/>
      <c r="G8" s="584" t="s">
        <v>469</v>
      </c>
      <c r="H8" s="123" t="s">
        <v>551</v>
      </c>
    </row>
    <row r="9" spans="1:23" ht="15.75" thickBot="1">
      <c r="A9" s="179"/>
      <c r="B9" s="180"/>
      <c r="C9" s="572"/>
      <c r="D9" s="572"/>
      <c r="E9" s="115"/>
      <c r="F9" s="122"/>
      <c r="G9" s="585"/>
      <c r="H9" s="123"/>
    </row>
    <row r="10" spans="1:23" ht="15.75" thickBot="1">
      <c r="A10" s="570"/>
      <c r="B10" s="110"/>
      <c r="C10" s="110"/>
      <c r="D10" s="110"/>
      <c r="E10" s="110"/>
      <c r="F10" s="110"/>
      <c r="G10" s="585"/>
      <c r="H10" s="123"/>
    </row>
    <row r="11" spans="1:23">
      <c r="A11" s="2174" t="s">
        <v>471</v>
      </c>
      <c r="B11" s="2148"/>
      <c r="C11" s="1805" t="s">
        <v>538</v>
      </c>
      <c r="D11" s="1805"/>
      <c r="E11" s="1805"/>
      <c r="F11" s="1805"/>
      <c r="G11" s="1805"/>
      <c r="H11" s="1805"/>
    </row>
    <row r="12" spans="1:23">
      <c r="A12" s="126"/>
      <c r="B12" s="115"/>
      <c r="C12" s="115"/>
      <c r="D12" s="115"/>
      <c r="E12" s="115"/>
      <c r="F12" s="122"/>
      <c r="G12" s="125"/>
      <c r="H12" s="125"/>
    </row>
    <row r="13" spans="1:23">
      <c r="A13" s="126"/>
      <c r="B13" s="115"/>
      <c r="C13" s="115"/>
      <c r="D13" s="115"/>
      <c r="E13" s="2181" t="s">
        <v>473</v>
      </c>
      <c r="F13" s="2148"/>
      <c r="G13" s="2148"/>
      <c r="H13" s="2148"/>
    </row>
    <row r="14" spans="1:23">
      <c r="A14" s="110"/>
      <c r="B14" s="110"/>
      <c r="C14" s="110"/>
      <c r="D14" s="110"/>
      <c r="E14" s="2141"/>
      <c r="F14" s="2141"/>
      <c r="G14" s="2141"/>
      <c r="H14" s="2141"/>
      <c r="I14" s="2186">
        <v>2025</v>
      </c>
      <c r="J14" s="2097"/>
      <c r="K14" s="2097"/>
      <c r="L14" s="2097"/>
      <c r="M14" s="2098"/>
      <c r="N14" s="2186">
        <v>2026</v>
      </c>
      <c r="O14" s="2097"/>
      <c r="P14" s="2097"/>
      <c r="Q14" s="2097"/>
      <c r="R14" s="2098"/>
      <c r="S14" s="2186">
        <v>2027</v>
      </c>
      <c r="T14" s="2097"/>
      <c r="U14" s="2097"/>
      <c r="V14" s="2097"/>
      <c r="W14" s="2098"/>
    </row>
    <row r="15" spans="1:23" ht="45.75" thickBot="1">
      <c r="A15" s="2184" t="s">
        <v>5</v>
      </c>
      <c r="B15" s="2137"/>
      <c r="C15" s="128" t="s">
        <v>1</v>
      </c>
      <c r="D15" s="128" t="s">
        <v>260</v>
      </c>
      <c r="E15" s="129" t="s">
        <v>474</v>
      </c>
      <c r="F15" s="2182" t="s">
        <v>6</v>
      </c>
      <c r="G15" s="2097"/>
      <c r="H15" s="2098"/>
      <c r="I15" s="615" t="s">
        <v>474</v>
      </c>
      <c r="J15" s="616" t="s">
        <v>944</v>
      </c>
      <c r="K15" s="617" t="s">
        <v>945</v>
      </c>
      <c r="L15" s="616" t="s">
        <v>946</v>
      </c>
      <c r="M15" s="618" t="s">
        <v>947</v>
      </c>
      <c r="N15" s="615" t="s">
        <v>474</v>
      </c>
      <c r="O15" s="616" t="s">
        <v>944</v>
      </c>
      <c r="P15" s="617" t="s">
        <v>945</v>
      </c>
      <c r="Q15" s="616" t="s">
        <v>946</v>
      </c>
      <c r="R15" s="618" t="s">
        <v>947</v>
      </c>
      <c r="S15" s="615" t="s">
        <v>474</v>
      </c>
      <c r="T15" s="616" t="s">
        <v>944</v>
      </c>
      <c r="U15" s="617" t="s">
        <v>945</v>
      </c>
      <c r="V15" s="616" t="s">
        <v>946</v>
      </c>
      <c r="W15" s="618" t="s">
        <v>947</v>
      </c>
    </row>
    <row r="16" spans="1:23">
      <c r="A16" s="2183" t="s">
        <v>17</v>
      </c>
      <c r="B16" s="2140"/>
      <c r="C16" s="130" t="s">
        <v>59</v>
      </c>
      <c r="D16" s="131" t="s">
        <v>251</v>
      </c>
      <c r="E16" s="132"/>
      <c r="F16" s="1828" t="s">
        <v>475</v>
      </c>
      <c r="G16" s="2140"/>
      <c r="H16" s="2137"/>
      <c r="I16" s="619"/>
      <c r="J16" s="620"/>
      <c r="K16" s="620"/>
      <c r="L16" s="620"/>
      <c r="M16" s="621"/>
      <c r="N16" s="619"/>
      <c r="O16" s="620"/>
      <c r="P16" s="620"/>
      <c r="Q16" s="620"/>
      <c r="R16" s="621"/>
      <c r="S16" s="619"/>
      <c r="T16" s="620"/>
      <c r="U16" s="620"/>
      <c r="V16" s="620"/>
      <c r="W16" s="622"/>
    </row>
    <row r="17" spans="1:23">
      <c r="A17" s="2148"/>
      <c r="B17" s="2148"/>
      <c r="C17" s="133" t="s">
        <v>18</v>
      </c>
      <c r="D17" s="134" t="s">
        <v>168</v>
      </c>
      <c r="E17" s="135"/>
      <c r="F17" s="1845"/>
      <c r="G17" s="1845"/>
      <c r="H17" s="2139"/>
      <c r="I17" s="623"/>
      <c r="J17" s="624"/>
      <c r="K17" s="624"/>
      <c r="L17" s="624"/>
      <c r="M17" s="624"/>
      <c r="N17" s="623"/>
      <c r="O17" s="624"/>
      <c r="P17" s="624"/>
      <c r="Q17" s="624"/>
      <c r="R17" s="624"/>
      <c r="S17" s="623"/>
      <c r="T17" s="624"/>
      <c r="U17" s="624"/>
      <c r="V17" s="624"/>
      <c r="W17" s="625"/>
    </row>
    <row r="18" spans="1:23" ht="15.75" thickBot="1">
      <c r="A18" s="2141"/>
      <c r="B18" s="2141"/>
      <c r="C18" s="136" t="s">
        <v>19</v>
      </c>
      <c r="D18" s="137" t="s">
        <v>233</v>
      </c>
      <c r="E18" s="138"/>
      <c r="F18" s="2141"/>
      <c r="G18" s="2141"/>
      <c r="H18" s="2142"/>
      <c r="I18" s="326"/>
      <c r="J18" s="624"/>
      <c r="K18" s="624"/>
      <c r="L18" s="624"/>
      <c r="M18" s="624"/>
      <c r="N18" s="326"/>
      <c r="O18" s="624"/>
      <c r="P18" s="624"/>
      <c r="Q18" s="624"/>
      <c r="R18" s="624"/>
      <c r="S18" s="326"/>
      <c r="T18" s="624"/>
      <c r="U18" s="624"/>
      <c r="V18" s="624"/>
      <c r="W18" s="625"/>
    </row>
    <row r="19" spans="1:23">
      <c r="A19" s="2183" t="s">
        <v>20</v>
      </c>
      <c r="B19" s="2140"/>
      <c r="C19" s="130" t="s">
        <v>54</v>
      </c>
      <c r="D19" s="137" t="s">
        <v>261</v>
      </c>
      <c r="E19" s="138"/>
      <c r="F19" s="1828" t="s">
        <v>475</v>
      </c>
      <c r="G19" s="2140"/>
      <c r="H19" s="2137"/>
      <c r="I19" s="326"/>
      <c r="J19" s="624"/>
      <c r="K19" s="624"/>
      <c r="L19" s="624"/>
      <c r="M19" s="624"/>
      <c r="N19" s="326"/>
      <c r="O19" s="624"/>
      <c r="P19" s="624"/>
      <c r="Q19" s="624"/>
      <c r="R19" s="624"/>
      <c r="S19" s="326"/>
      <c r="T19" s="624"/>
      <c r="U19" s="624"/>
      <c r="V19" s="624"/>
      <c r="W19" s="625"/>
    </row>
    <row r="20" spans="1:23">
      <c r="A20" s="2148"/>
      <c r="B20" s="2148"/>
      <c r="C20" s="139" t="s">
        <v>21</v>
      </c>
      <c r="D20" s="137" t="s">
        <v>234</v>
      </c>
      <c r="E20" s="138"/>
      <c r="F20" s="1845"/>
      <c r="G20" s="1845"/>
      <c r="H20" s="2139"/>
      <c r="I20" s="326"/>
      <c r="J20" s="624"/>
      <c r="K20" s="624"/>
      <c r="L20" s="624"/>
      <c r="M20" s="624"/>
      <c r="N20" s="326"/>
      <c r="O20" s="624"/>
      <c r="P20" s="624"/>
      <c r="Q20" s="624"/>
      <c r="R20" s="624"/>
      <c r="S20" s="326"/>
      <c r="T20" s="624"/>
      <c r="U20" s="624"/>
      <c r="V20" s="624"/>
      <c r="W20" s="625"/>
    </row>
    <row r="21" spans="1:23" ht="15.75" thickBot="1">
      <c r="A21" s="2148"/>
      <c r="B21" s="2148"/>
      <c r="C21" s="136" t="s">
        <v>22</v>
      </c>
      <c r="D21" s="137" t="s">
        <v>235</v>
      </c>
      <c r="E21" s="138"/>
      <c r="F21" s="2141"/>
      <c r="G21" s="2141"/>
      <c r="H21" s="2142"/>
      <c r="I21" s="326"/>
      <c r="J21" s="624"/>
      <c r="K21" s="624"/>
      <c r="L21" s="624"/>
      <c r="M21" s="624"/>
      <c r="N21" s="326"/>
      <c r="O21" s="624"/>
      <c r="P21" s="624"/>
      <c r="Q21" s="624"/>
      <c r="R21" s="624"/>
      <c r="S21" s="326"/>
      <c r="T21" s="624"/>
      <c r="U21" s="624"/>
      <c r="V21" s="624"/>
      <c r="W21" s="625"/>
    </row>
    <row r="22" spans="1:23" ht="60">
      <c r="A22" s="2183" t="s">
        <v>23</v>
      </c>
      <c r="B22" s="2140"/>
      <c r="C22" s="140" t="s">
        <v>69</v>
      </c>
      <c r="D22" s="137" t="s">
        <v>267</v>
      </c>
      <c r="E22" s="138"/>
      <c r="F22" s="1828" t="s">
        <v>477</v>
      </c>
      <c r="G22" s="2140"/>
      <c r="H22" s="2137"/>
      <c r="I22" s="326"/>
      <c r="J22" s="624"/>
      <c r="K22" s="624"/>
      <c r="L22" s="624"/>
      <c r="M22" s="624"/>
      <c r="N22" s="326"/>
      <c r="O22" s="624"/>
      <c r="P22" s="624"/>
      <c r="Q22" s="624"/>
      <c r="R22" s="624"/>
      <c r="S22" s="326"/>
      <c r="T22" s="624"/>
      <c r="U22" s="624"/>
      <c r="V22" s="624"/>
      <c r="W22" s="625"/>
    </row>
    <row r="23" spans="1:23" ht="60.75" thickBot="1">
      <c r="A23" s="2141"/>
      <c r="B23" s="2141"/>
      <c r="C23" s="141" t="s">
        <v>24</v>
      </c>
      <c r="D23" s="142" t="s">
        <v>236</v>
      </c>
      <c r="E23" s="138"/>
      <c r="F23" s="2141"/>
      <c r="G23" s="2141"/>
      <c r="H23" s="2142"/>
      <c r="I23" s="326"/>
      <c r="J23" s="624"/>
      <c r="K23" s="1146"/>
      <c r="L23" s="624"/>
      <c r="M23" s="624"/>
      <c r="N23" s="326"/>
      <c r="O23" s="624"/>
      <c r="P23" s="624"/>
      <c r="Q23" s="624"/>
      <c r="R23" s="624"/>
      <c r="S23" s="326"/>
      <c r="T23" s="624"/>
      <c r="U23" s="624"/>
      <c r="V23" s="624"/>
      <c r="W23" s="625"/>
    </row>
    <row r="24" spans="1:23" ht="15.75">
      <c r="A24" s="2136" t="s">
        <v>478</v>
      </c>
      <c r="B24" s="2137"/>
      <c r="C24" s="143" t="s">
        <v>360</v>
      </c>
      <c r="D24" s="142" t="s">
        <v>265</v>
      </c>
      <c r="E24" s="138"/>
      <c r="F24" s="1828" t="s">
        <v>477</v>
      </c>
      <c r="G24" s="2140"/>
      <c r="H24" s="2137"/>
      <c r="I24" s="326"/>
      <c r="J24" s="624"/>
      <c r="K24" s="624"/>
      <c r="L24" s="624"/>
      <c r="M24" s="624"/>
      <c r="N24" s="326"/>
      <c r="O24" s="624"/>
      <c r="P24" s="624"/>
      <c r="Q24" s="624"/>
      <c r="R24" s="624"/>
      <c r="S24" s="326"/>
      <c r="T24" s="624"/>
      <c r="U24" s="624"/>
      <c r="V24" s="624"/>
      <c r="W24" s="625"/>
    </row>
    <row r="25" spans="1:23" ht="15.75">
      <c r="A25" s="2138"/>
      <c r="B25" s="2139"/>
      <c r="C25" s="144" t="s">
        <v>361</v>
      </c>
      <c r="D25" s="142" t="s">
        <v>362</v>
      </c>
      <c r="E25" s="138"/>
      <c r="F25" s="1845"/>
      <c r="G25" s="1845"/>
      <c r="H25" s="2139"/>
      <c r="I25" s="326"/>
      <c r="J25" s="624"/>
      <c r="K25" s="624"/>
      <c r="L25" s="624"/>
      <c r="M25" s="624"/>
      <c r="N25" s="326"/>
      <c r="O25" s="624"/>
      <c r="P25" s="624"/>
      <c r="Q25" s="624"/>
      <c r="R25" s="624"/>
      <c r="S25" s="326"/>
      <c r="T25" s="624"/>
      <c r="U25" s="624"/>
      <c r="V25" s="624"/>
      <c r="W25" s="625"/>
    </row>
    <row r="26" spans="1:23" ht="16.5" thickBot="1">
      <c r="A26" s="2138"/>
      <c r="B26" s="2139"/>
      <c r="C26" s="145" t="s">
        <v>479</v>
      </c>
      <c r="D26" s="142" t="s">
        <v>480</v>
      </c>
      <c r="E26" s="138"/>
      <c r="F26" s="2141"/>
      <c r="G26" s="2141"/>
      <c r="H26" s="2142"/>
      <c r="I26" s="326"/>
      <c r="J26" s="624"/>
      <c r="K26" s="624"/>
      <c r="L26" s="624"/>
      <c r="M26" s="624"/>
      <c r="N26" s="326"/>
      <c r="O26" s="624"/>
      <c r="P26" s="624"/>
      <c r="Q26" s="624"/>
      <c r="R26" s="624"/>
      <c r="S26" s="326"/>
      <c r="T26" s="624"/>
      <c r="U26" s="624"/>
      <c r="V26" s="624"/>
      <c r="W26" s="625"/>
    </row>
    <row r="27" spans="1:23" ht="15.75" thickBot="1">
      <c r="A27" s="2143" t="s">
        <v>25</v>
      </c>
      <c r="B27" s="2144"/>
      <c r="C27" s="2145"/>
      <c r="D27" s="146" t="s">
        <v>270</v>
      </c>
      <c r="E27" s="138"/>
      <c r="F27" s="1818" t="s">
        <v>481</v>
      </c>
      <c r="G27" s="2097"/>
      <c r="H27" s="2098"/>
      <c r="I27" s="326"/>
      <c r="J27" s="624"/>
      <c r="K27" s="624"/>
      <c r="L27" s="624"/>
      <c r="M27" s="624"/>
      <c r="N27" s="326"/>
      <c r="O27" s="624"/>
      <c r="P27" s="624"/>
      <c r="Q27" s="624"/>
      <c r="R27" s="624"/>
      <c r="S27" s="326"/>
      <c r="T27" s="624"/>
      <c r="U27" s="624"/>
      <c r="V27" s="624"/>
      <c r="W27" s="625"/>
    </row>
    <row r="28" spans="1:23" ht="15.75">
      <c r="A28" s="2157" t="s">
        <v>153</v>
      </c>
      <c r="B28" s="2158"/>
      <c r="C28" s="147" t="s">
        <v>152</v>
      </c>
      <c r="D28" s="148" t="s">
        <v>268</v>
      </c>
      <c r="E28" s="138"/>
      <c r="F28" s="1828" t="s">
        <v>475</v>
      </c>
      <c r="G28" s="2140"/>
      <c r="H28" s="2137"/>
      <c r="I28" s="326"/>
      <c r="J28" s="624"/>
      <c r="K28" s="624"/>
      <c r="L28" s="624"/>
      <c r="M28" s="624"/>
      <c r="N28" s="326"/>
      <c r="O28" s="624"/>
      <c r="P28" s="624"/>
      <c r="Q28" s="624"/>
      <c r="R28" s="624"/>
      <c r="S28" s="326"/>
      <c r="T28" s="624"/>
      <c r="U28" s="624"/>
      <c r="V28" s="624"/>
      <c r="W28" s="625"/>
    </row>
    <row r="29" spans="1:23" ht="15.75">
      <c r="A29" s="2138"/>
      <c r="B29" s="2158"/>
      <c r="C29" s="149" t="s">
        <v>154</v>
      </c>
      <c r="D29" s="148" t="s">
        <v>392</v>
      </c>
      <c r="E29" s="138"/>
      <c r="F29" s="1845"/>
      <c r="G29" s="1845"/>
      <c r="H29" s="2139"/>
      <c r="I29" s="326"/>
      <c r="J29" s="624"/>
      <c r="K29" s="624"/>
      <c r="L29" s="624"/>
      <c r="M29" s="624"/>
      <c r="N29" s="326"/>
      <c r="O29" s="624"/>
      <c r="P29" s="624"/>
      <c r="Q29" s="624"/>
      <c r="R29" s="624"/>
      <c r="S29" s="326"/>
      <c r="T29" s="624"/>
      <c r="U29" s="624"/>
      <c r="V29" s="624"/>
      <c r="W29" s="625"/>
    </row>
    <row r="30" spans="1:23" ht="16.5" thickBot="1">
      <c r="A30" s="2149"/>
      <c r="B30" s="2152"/>
      <c r="C30" s="150" t="s">
        <v>400</v>
      </c>
      <c r="D30" s="148" t="s">
        <v>393</v>
      </c>
      <c r="E30" s="138"/>
      <c r="F30" s="2141"/>
      <c r="G30" s="2141"/>
      <c r="H30" s="2142"/>
      <c r="I30" s="326"/>
      <c r="J30" s="624"/>
      <c r="K30" s="624"/>
      <c r="L30" s="624"/>
      <c r="M30" s="624"/>
      <c r="N30" s="326"/>
      <c r="O30" s="624"/>
      <c r="P30" s="624"/>
      <c r="Q30" s="624"/>
      <c r="R30" s="624"/>
      <c r="S30" s="326"/>
      <c r="T30" s="624"/>
      <c r="U30" s="624"/>
      <c r="V30" s="624"/>
      <c r="W30" s="625"/>
    </row>
    <row r="31" spans="1:23" ht="15.75">
      <c r="A31" s="2159" t="s">
        <v>153</v>
      </c>
      <c r="B31" s="2151"/>
      <c r="C31" s="151" t="s">
        <v>155</v>
      </c>
      <c r="D31" s="148" t="s">
        <v>266</v>
      </c>
      <c r="E31" s="138"/>
      <c r="F31" s="1828" t="s">
        <v>475</v>
      </c>
      <c r="G31" s="2140"/>
      <c r="H31" s="2137"/>
      <c r="I31" s="326"/>
      <c r="J31" s="624"/>
      <c r="K31" s="624"/>
      <c r="L31" s="624"/>
      <c r="M31" s="624"/>
      <c r="N31" s="326"/>
      <c r="O31" s="624"/>
      <c r="P31" s="624"/>
      <c r="Q31" s="624"/>
      <c r="R31" s="624"/>
      <c r="S31" s="326"/>
      <c r="T31" s="624"/>
      <c r="U31" s="624"/>
      <c r="V31" s="624"/>
      <c r="W31" s="625"/>
    </row>
    <row r="32" spans="1:23" ht="15.75">
      <c r="A32" s="2138"/>
      <c r="B32" s="2158"/>
      <c r="C32" s="149" t="s">
        <v>156</v>
      </c>
      <c r="D32" s="148" t="s">
        <v>394</v>
      </c>
      <c r="E32" s="138"/>
      <c r="F32" s="1845"/>
      <c r="G32" s="1845"/>
      <c r="H32" s="2139"/>
      <c r="I32" s="326"/>
      <c r="J32" s="624"/>
      <c r="K32" s="624"/>
      <c r="L32" s="624"/>
      <c r="M32" s="624"/>
      <c r="N32" s="326"/>
      <c r="O32" s="624"/>
      <c r="P32" s="624"/>
      <c r="Q32" s="624"/>
      <c r="R32" s="624"/>
      <c r="S32" s="326"/>
      <c r="T32" s="624"/>
      <c r="U32" s="624"/>
      <c r="V32" s="624"/>
      <c r="W32" s="625"/>
    </row>
    <row r="33" spans="1:23" ht="16.5" thickBot="1">
      <c r="A33" s="2149"/>
      <c r="B33" s="2152"/>
      <c r="C33" s="150" t="s">
        <v>399</v>
      </c>
      <c r="D33" s="148" t="s">
        <v>395</v>
      </c>
      <c r="E33" s="138"/>
      <c r="F33" s="2141"/>
      <c r="G33" s="2141"/>
      <c r="H33" s="2142"/>
      <c r="I33" s="326"/>
      <c r="J33" s="624"/>
      <c r="K33" s="624"/>
      <c r="L33" s="624"/>
      <c r="M33" s="624"/>
      <c r="N33" s="326"/>
      <c r="O33" s="624"/>
      <c r="P33" s="624"/>
      <c r="Q33" s="624"/>
      <c r="R33" s="624"/>
      <c r="S33" s="326"/>
      <c r="T33" s="624"/>
      <c r="U33" s="624"/>
      <c r="V33" s="624"/>
      <c r="W33" s="625"/>
    </row>
    <row r="34" spans="1:23" ht="16.5" thickBot="1">
      <c r="A34" s="2159" t="s">
        <v>482</v>
      </c>
      <c r="B34" s="2151"/>
      <c r="C34" s="151" t="s">
        <v>365</v>
      </c>
      <c r="D34" s="148" t="s">
        <v>252</v>
      </c>
      <c r="E34" s="138"/>
      <c r="F34" s="1828" t="s">
        <v>483</v>
      </c>
      <c r="G34" s="2140"/>
      <c r="H34" s="2137"/>
      <c r="I34" s="326"/>
      <c r="J34" s="624"/>
      <c r="K34" s="624"/>
      <c r="L34" s="624"/>
      <c r="M34" s="624"/>
      <c r="N34" s="326"/>
      <c r="O34" s="624"/>
      <c r="P34" s="624"/>
      <c r="Q34" s="624"/>
      <c r="R34" s="624"/>
      <c r="S34" s="326"/>
      <c r="T34" s="624"/>
      <c r="U34" s="624"/>
      <c r="V34" s="624"/>
      <c r="W34" s="625"/>
    </row>
    <row r="35" spans="1:23" ht="16.5" thickBot="1">
      <c r="A35" s="2159" t="s">
        <v>484</v>
      </c>
      <c r="B35" s="2151"/>
      <c r="C35" s="151" t="s">
        <v>485</v>
      </c>
      <c r="D35" s="148" t="s">
        <v>264</v>
      </c>
      <c r="E35" s="138"/>
      <c r="F35" s="2160"/>
      <c r="G35" s="2140"/>
      <c r="H35" s="2137"/>
      <c r="I35" s="326"/>
      <c r="J35" s="624"/>
      <c r="K35" s="624"/>
      <c r="L35" s="624"/>
      <c r="M35" s="624"/>
      <c r="N35" s="326"/>
      <c r="O35" s="624"/>
      <c r="P35" s="624"/>
      <c r="Q35" s="624"/>
      <c r="R35" s="624"/>
      <c r="S35" s="326"/>
      <c r="T35" s="624"/>
      <c r="U35" s="624"/>
      <c r="V35" s="624"/>
      <c r="W35" s="625"/>
    </row>
    <row r="36" spans="1:23" ht="15.75">
      <c r="A36" s="2161" t="s">
        <v>486</v>
      </c>
      <c r="B36" s="2151"/>
      <c r="C36" s="152" t="s">
        <v>43</v>
      </c>
      <c r="D36" s="153" t="s">
        <v>256</v>
      </c>
      <c r="E36" s="138"/>
      <c r="F36" s="1828" t="s">
        <v>487</v>
      </c>
      <c r="G36" s="2140"/>
      <c r="H36" s="2137"/>
      <c r="I36" s="326"/>
      <c r="J36" s="624"/>
      <c r="K36" s="624"/>
      <c r="L36" s="624"/>
      <c r="M36" s="624"/>
      <c r="N36" s="326"/>
      <c r="O36" s="624"/>
      <c r="P36" s="624"/>
      <c r="Q36" s="624"/>
      <c r="R36" s="624"/>
      <c r="S36" s="326"/>
      <c r="T36" s="624"/>
      <c r="U36" s="624"/>
      <c r="V36" s="624"/>
      <c r="W36" s="625"/>
    </row>
    <row r="37" spans="1:23" ht="16.5" thickBot="1">
      <c r="A37" s="2149"/>
      <c r="B37" s="2152"/>
      <c r="C37" s="154" t="s">
        <v>60</v>
      </c>
      <c r="D37" s="153" t="s">
        <v>257</v>
      </c>
      <c r="E37" s="138"/>
      <c r="F37" s="2141"/>
      <c r="G37" s="2141"/>
      <c r="H37" s="2142"/>
      <c r="I37" s="326"/>
      <c r="J37" s="624"/>
      <c r="K37" s="624"/>
      <c r="L37" s="624"/>
      <c r="M37" s="624"/>
      <c r="N37" s="326"/>
      <c r="O37" s="624"/>
      <c r="P37" s="624"/>
      <c r="Q37" s="624"/>
      <c r="R37" s="624"/>
      <c r="S37" s="326"/>
      <c r="T37" s="624"/>
      <c r="U37" s="624"/>
      <c r="V37" s="624"/>
      <c r="W37" s="625"/>
    </row>
    <row r="38" spans="1:23" ht="135">
      <c r="A38" s="2165" t="s">
        <v>33</v>
      </c>
      <c r="B38" s="2140"/>
      <c r="C38" s="155" t="s">
        <v>30</v>
      </c>
      <c r="D38" s="156" t="s">
        <v>170</v>
      </c>
      <c r="E38" s="138"/>
      <c r="F38" s="1820" t="s">
        <v>510</v>
      </c>
      <c r="G38" s="2140"/>
      <c r="H38" s="2137"/>
      <c r="I38" s="326"/>
      <c r="J38" s="624"/>
      <c r="K38" s="624"/>
      <c r="L38" s="624"/>
      <c r="M38" s="624"/>
      <c r="N38" s="326"/>
      <c r="O38" s="624"/>
      <c r="P38" s="624"/>
      <c r="Q38" s="624"/>
      <c r="R38" s="624"/>
      <c r="S38" s="326"/>
      <c r="T38" s="624"/>
      <c r="U38" s="624"/>
      <c r="V38" s="624"/>
      <c r="W38" s="625"/>
    </row>
    <row r="39" spans="1:23" ht="135">
      <c r="A39" s="2138"/>
      <c r="B39" s="2148"/>
      <c r="C39" s="157" t="s">
        <v>31</v>
      </c>
      <c r="D39" s="156" t="s">
        <v>169</v>
      </c>
      <c r="E39" s="138"/>
      <c r="F39" s="1820" t="s">
        <v>539</v>
      </c>
      <c r="G39" s="2140"/>
      <c r="H39" s="2137"/>
      <c r="I39" s="326"/>
      <c r="J39" s="624"/>
      <c r="K39" s="624"/>
      <c r="L39" s="624"/>
      <c r="M39" s="624"/>
      <c r="N39" s="326"/>
      <c r="O39" s="624"/>
      <c r="P39" s="624"/>
      <c r="Q39" s="624"/>
      <c r="R39" s="624"/>
      <c r="S39" s="326"/>
      <c r="T39" s="624"/>
      <c r="U39" s="624"/>
      <c r="V39" s="624"/>
      <c r="W39" s="625"/>
    </row>
    <row r="40" spans="1:23" ht="135.75" thickBot="1">
      <c r="A40" s="2138"/>
      <c r="B40" s="2148"/>
      <c r="C40" s="158" t="s">
        <v>32</v>
      </c>
      <c r="D40" s="156" t="s">
        <v>250</v>
      </c>
      <c r="E40" s="138"/>
      <c r="F40" s="2141"/>
      <c r="G40" s="2141"/>
      <c r="H40" s="2142"/>
      <c r="I40" s="326"/>
      <c r="J40" s="624"/>
      <c r="K40" s="624"/>
      <c r="L40" s="624"/>
      <c r="M40" s="624"/>
      <c r="N40" s="326"/>
      <c r="O40" s="624"/>
      <c r="P40" s="624"/>
      <c r="Q40" s="624"/>
      <c r="R40" s="624"/>
      <c r="S40" s="326"/>
      <c r="T40" s="624"/>
      <c r="U40" s="624"/>
      <c r="V40" s="624"/>
      <c r="W40" s="625"/>
    </row>
    <row r="41" spans="1:23" ht="15.75">
      <c r="A41" s="2169" t="s">
        <v>491</v>
      </c>
      <c r="B41" s="2170"/>
      <c r="C41" s="159" t="s">
        <v>144</v>
      </c>
      <c r="D41" s="160" t="s">
        <v>253</v>
      </c>
      <c r="E41" s="138"/>
      <c r="F41" s="1828" t="s">
        <v>492</v>
      </c>
      <c r="G41" s="2140"/>
      <c r="H41" s="2137"/>
      <c r="I41" s="326"/>
      <c r="J41" s="624"/>
      <c r="K41" s="624"/>
      <c r="L41" s="624"/>
      <c r="M41" s="624"/>
      <c r="N41" s="326"/>
      <c r="O41" s="624"/>
      <c r="P41" s="624"/>
      <c r="Q41" s="624"/>
      <c r="R41" s="624"/>
      <c r="S41" s="326"/>
      <c r="T41" s="624"/>
      <c r="U41" s="624"/>
      <c r="V41" s="624"/>
      <c r="W41" s="625"/>
    </row>
    <row r="42" spans="1:23" ht="16.5" thickBot="1">
      <c r="A42" s="2148"/>
      <c r="B42" s="2158"/>
      <c r="C42" s="161" t="s">
        <v>145</v>
      </c>
      <c r="D42" s="160" t="s">
        <v>254</v>
      </c>
      <c r="E42" s="138"/>
      <c r="F42" s="2141"/>
      <c r="G42" s="2141"/>
      <c r="H42" s="2142"/>
      <c r="I42" s="326"/>
      <c r="J42" s="624"/>
      <c r="K42" s="624"/>
      <c r="L42" s="624"/>
      <c r="M42" s="624"/>
      <c r="N42" s="326"/>
      <c r="O42" s="624"/>
      <c r="P42" s="624"/>
      <c r="Q42" s="624"/>
      <c r="R42" s="624"/>
      <c r="S42" s="326"/>
      <c r="T42" s="624"/>
      <c r="U42" s="624"/>
      <c r="V42" s="624"/>
      <c r="W42" s="625"/>
    </row>
    <row r="43" spans="1:23" ht="205.5" thickBot="1">
      <c r="A43" s="2171"/>
      <c r="B43" s="2172"/>
      <c r="C43" s="162" t="s">
        <v>128</v>
      </c>
      <c r="D43" s="160" t="s">
        <v>262</v>
      </c>
      <c r="E43" s="183" t="s">
        <v>277</v>
      </c>
      <c r="F43" s="2173"/>
      <c r="G43" s="2097"/>
      <c r="H43" s="2098"/>
      <c r="I43" s="183" t="s">
        <v>277</v>
      </c>
      <c r="J43" s="624">
        <v>1</v>
      </c>
      <c r="K43" s="624"/>
      <c r="L43" s="624">
        <v>2</v>
      </c>
      <c r="M43" s="640">
        <f>(L43*72)*5</f>
        <v>720</v>
      </c>
      <c r="N43" s="183" t="s">
        <v>277</v>
      </c>
      <c r="O43" s="624">
        <v>1</v>
      </c>
      <c r="P43" s="624"/>
      <c r="Q43" s="624">
        <v>2</v>
      </c>
      <c r="R43" s="640">
        <f>(Q43*72)*5</f>
        <v>720</v>
      </c>
      <c r="S43" s="183" t="s">
        <v>277</v>
      </c>
      <c r="T43" s="624">
        <v>1</v>
      </c>
      <c r="U43" s="624"/>
      <c r="V43" s="624">
        <v>2</v>
      </c>
      <c r="W43" s="640">
        <f>(V43*72)*5</f>
        <v>720</v>
      </c>
    </row>
    <row r="44" spans="1:23" s="61" customFormat="1" ht="15.75" customHeight="1" thickBot="1">
      <c r="A44" s="2169" t="s">
        <v>493</v>
      </c>
      <c r="B44" s="2170"/>
      <c r="C44" s="1676"/>
      <c r="D44" s="160" t="s">
        <v>237</v>
      </c>
      <c r="E44" s="1685"/>
      <c r="F44" s="1855" t="s">
        <v>540</v>
      </c>
      <c r="G44" s="2416"/>
      <c r="H44" s="2417"/>
      <c r="I44" s="1685" t="s">
        <v>277</v>
      </c>
      <c r="J44" s="1686">
        <v>1</v>
      </c>
      <c r="K44" s="1686"/>
      <c r="L44" s="1686">
        <v>2</v>
      </c>
      <c r="M44" s="1687">
        <f>(L44*652)*5</f>
        <v>6520</v>
      </c>
      <c r="N44" s="1685" t="s">
        <v>277</v>
      </c>
      <c r="O44" s="1686">
        <v>1</v>
      </c>
      <c r="P44" s="1686"/>
      <c r="Q44" s="1686">
        <v>2</v>
      </c>
      <c r="R44" s="1687">
        <f>(Q44*652)*5</f>
        <v>6520</v>
      </c>
      <c r="S44" s="1685" t="s">
        <v>277</v>
      </c>
      <c r="T44" s="1686">
        <v>1</v>
      </c>
      <c r="U44" s="1686"/>
      <c r="V44" s="1686">
        <v>2</v>
      </c>
      <c r="W44" s="1687">
        <f>(V44*652)*5</f>
        <v>6520</v>
      </c>
    </row>
    <row r="45" spans="1:23" ht="15.75" thickBot="1">
      <c r="A45" s="2146" t="s">
        <v>133</v>
      </c>
      <c r="B45" s="2144"/>
      <c r="C45" s="2145"/>
      <c r="D45" s="163" t="s">
        <v>238</v>
      </c>
      <c r="E45" s="183" t="s">
        <v>277</v>
      </c>
      <c r="F45" s="1818" t="s">
        <v>541</v>
      </c>
      <c r="G45" s="2097"/>
      <c r="H45" s="2098"/>
      <c r="I45" s="183" t="s">
        <v>277</v>
      </c>
      <c r="J45" s="624"/>
      <c r="K45" s="624"/>
      <c r="L45" s="624"/>
      <c r="M45" s="640"/>
      <c r="N45" s="183" t="s">
        <v>277</v>
      </c>
      <c r="O45" s="624"/>
      <c r="P45" s="624"/>
      <c r="Q45" s="624"/>
      <c r="R45" s="640"/>
      <c r="S45" s="183" t="s">
        <v>277</v>
      </c>
      <c r="T45" s="624"/>
      <c r="U45" s="624"/>
      <c r="V45" s="624"/>
      <c r="W45" s="640"/>
    </row>
    <row r="46" spans="1:23">
      <c r="A46" s="2147" t="s">
        <v>41</v>
      </c>
      <c r="B46" s="2148"/>
      <c r="C46" s="164" t="s">
        <v>50</v>
      </c>
      <c r="D46" s="165" t="s">
        <v>246</v>
      </c>
      <c r="E46" s="138"/>
      <c r="F46" s="1785" t="s">
        <v>542</v>
      </c>
      <c r="G46" s="2097"/>
      <c r="H46" s="2098"/>
      <c r="I46" s="138"/>
      <c r="J46" s="624"/>
      <c r="K46" s="624"/>
      <c r="L46" s="624"/>
      <c r="M46" s="640"/>
      <c r="N46" s="138"/>
      <c r="O46" s="624"/>
      <c r="P46" s="624"/>
      <c r="Q46" s="624"/>
      <c r="R46" s="640"/>
      <c r="S46" s="138"/>
      <c r="T46" s="624"/>
      <c r="U46" s="624"/>
      <c r="V46" s="624"/>
      <c r="W46" s="640"/>
    </row>
    <row r="47" spans="1:23">
      <c r="A47" s="2138"/>
      <c r="B47" s="2148"/>
      <c r="C47" s="166" t="s">
        <v>51</v>
      </c>
      <c r="D47" s="165" t="s">
        <v>247</v>
      </c>
      <c r="E47" s="184" t="s">
        <v>277</v>
      </c>
      <c r="F47" s="1785" t="s">
        <v>543</v>
      </c>
      <c r="G47" s="2097"/>
      <c r="H47" s="2098"/>
      <c r="I47" s="184" t="s">
        <v>277</v>
      </c>
      <c r="J47" s="624">
        <v>1</v>
      </c>
      <c r="K47" s="624"/>
      <c r="L47" s="624">
        <v>2</v>
      </c>
      <c r="M47" s="640">
        <f>(L47*145)*5</f>
        <v>1450</v>
      </c>
      <c r="N47" s="184" t="s">
        <v>277</v>
      </c>
      <c r="O47" s="624">
        <v>1</v>
      </c>
      <c r="P47" s="624"/>
      <c r="Q47" s="624">
        <v>2</v>
      </c>
      <c r="R47" s="640">
        <f>(Q47*145)*5</f>
        <v>1450</v>
      </c>
      <c r="S47" s="184" t="s">
        <v>277</v>
      </c>
      <c r="T47" s="624">
        <v>1</v>
      </c>
      <c r="U47" s="624"/>
      <c r="V47" s="624">
        <v>4</v>
      </c>
      <c r="W47" s="640">
        <f>(V47*145)*5</f>
        <v>2900</v>
      </c>
    </row>
    <row r="48" spans="1:23">
      <c r="A48" s="2138"/>
      <c r="B48" s="2148"/>
      <c r="C48" s="166" t="s">
        <v>39</v>
      </c>
      <c r="D48" s="165" t="s">
        <v>248</v>
      </c>
      <c r="E48" s="138"/>
      <c r="F48" s="1785" t="s">
        <v>498</v>
      </c>
      <c r="G48" s="2097"/>
      <c r="H48" s="2098"/>
      <c r="I48" s="138"/>
      <c r="J48" s="624"/>
      <c r="K48" s="624"/>
      <c r="L48" s="624"/>
      <c r="M48" s="640"/>
      <c r="N48" s="138"/>
      <c r="O48" s="624"/>
      <c r="P48" s="624"/>
      <c r="Q48" s="624"/>
      <c r="R48" s="640"/>
      <c r="S48" s="138"/>
      <c r="T48" s="624"/>
      <c r="U48" s="624"/>
      <c r="V48" s="624"/>
      <c r="W48" s="640"/>
    </row>
    <row r="49" spans="1:23" ht="15.75" thickBot="1">
      <c r="A49" s="2149"/>
      <c r="B49" s="2141"/>
      <c r="C49" s="167" t="s">
        <v>40</v>
      </c>
      <c r="D49" s="165" t="s">
        <v>249</v>
      </c>
      <c r="E49" s="184" t="s">
        <v>277</v>
      </c>
      <c r="F49" s="1785" t="s">
        <v>544</v>
      </c>
      <c r="G49" s="2097"/>
      <c r="H49" s="2098"/>
      <c r="I49" s="184" t="s">
        <v>277</v>
      </c>
      <c r="J49" s="624">
        <v>1</v>
      </c>
      <c r="K49" s="624"/>
      <c r="L49" s="624">
        <v>4</v>
      </c>
      <c r="M49" s="640">
        <f>(L49*254)*5</f>
        <v>5080</v>
      </c>
      <c r="N49" s="184" t="s">
        <v>277</v>
      </c>
      <c r="O49" s="624">
        <v>1</v>
      </c>
      <c r="P49" s="624"/>
      <c r="Q49" s="624">
        <v>4</v>
      </c>
      <c r="R49" s="640">
        <f>(Q49*254)*5</f>
        <v>5080</v>
      </c>
      <c r="S49" s="184" t="s">
        <v>277</v>
      </c>
      <c r="T49" s="624">
        <v>1</v>
      </c>
      <c r="U49" s="624"/>
      <c r="V49" s="624">
        <v>4</v>
      </c>
      <c r="W49" s="640">
        <f>(V49*254)*5</f>
        <v>5080</v>
      </c>
    </row>
    <row r="50" spans="1:23" ht="15.75">
      <c r="A50" s="2150" t="s">
        <v>130</v>
      </c>
      <c r="B50" s="2151"/>
      <c r="C50" s="159" t="s">
        <v>131</v>
      </c>
      <c r="D50" s="160" t="s">
        <v>255</v>
      </c>
      <c r="E50" s="183" t="s">
        <v>277</v>
      </c>
      <c r="F50" s="2153"/>
      <c r="G50" s="2097"/>
      <c r="H50" s="2098"/>
      <c r="I50" s="183" t="s">
        <v>277</v>
      </c>
      <c r="J50" s="624">
        <v>1</v>
      </c>
      <c r="K50" s="624"/>
      <c r="L50" s="624">
        <v>2</v>
      </c>
      <c r="M50" s="640">
        <f>(L50*153)*5</f>
        <v>1530</v>
      </c>
      <c r="N50" s="183" t="s">
        <v>277</v>
      </c>
      <c r="O50" s="624">
        <v>1</v>
      </c>
      <c r="P50" s="624"/>
      <c r="Q50" s="624">
        <v>2</v>
      </c>
      <c r="R50" s="640">
        <f>(Q50*153)*5</f>
        <v>1530</v>
      </c>
      <c r="S50" s="183" t="s">
        <v>277</v>
      </c>
      <c r="T50" s="624">
        <v>1</v>
      </c>
      <c r="U50" s="624"/>
      <c r="V50" s="624">
        <v>2</v>
      </c>
      <c r="W50" s="640">
        <f>(V50*153)*5</f>
        <v>1530</v>
      </c>
    </row>
    <row r="51" spans="1:23" ht="205.5" thickBot="1">
      <c r="A51" s="2149"/>
      <c r="B51" s="2152"/>
      <c r="C51" s="168" t="s">
        <v>132</v>
      </c>
      <c r="D51" s="160" t="s">
        <v>263</v>
      </c>
      <c r="E51" s="183" t="s">
        <v>277</v>
      </c>
      <c r="F51" s="2153"/>
      <c r="G51" s="2097"/>
      <c r="H51" s="2098"/>
      <c r="I51" s="183" t="s">
        <v>277</v>
      </c>
      <c r="J51" s="624">
        <v>2</v>
      </c>
      <c r="K51" s="624"/>
      <c r="L51" s="624">
        <v>5</v>
      </c>
      <c r="M51" s="640">
        <f>(L51*204)*5</f>
        <v>5100</v>
      </c>
      <c r="N51" s="183" t="s">
        <v>277</v>
      </c>
      <c r="O51" s="624">
        <v>1</v>
      </c>
      <c r="P51" s="624"/>
      <c r="Q51" s="624">
        <v>5</v>
      </c>
      <c r="R51" s="640">
        <f>(Q51*204)*5</f>
        <v>5100</v>
      </c>
      <c r="S51" s="183" t="s">
        <v>277</v>
      </c>
      <c r="T51" s="624">
        <v>2</v>
      </c>
      <c r="U51" s="624"/>
      <c r="V51" s="624">
        <v>5</v>
      </c>
      <c r="W51" s="640">
        <f>(V51*204)*5</f>
        <v>5100</v>
      </c>
    </row>
    <row r="52" spans="1:23" ht="45">
      <c r="A52" s="2154" t="s">
        <v>42</v>
      </c>
      <c r="B52" s="2140"/>
      <c r="C52" s="169" t="s">
        <v>38</v>
      </c>
      <c r="D52" s="170" t="s">
        <v>239</v>
      </c>
      <c r="E52" s="183" t="s">
        <v>277</v>
      </c>
      <c r="F52" s="1818" t="s">
        <v>545</v>
      </c>
      <c r="G52" s="2097"/>
      <c r="H52" s="2098"/>
      <c r="I52" s="183" t="s">
        <v>277</v>
      </c>
      <c r="J52" s="624">
        <v>1</v>
      </c>
      <c r="K52" s="624"/>
      <c r="L52" s="624">
        <v>200</v>
      </c>
      <c r="M52" s="640">
        <f>(L52*0.8)*5</f>
        <v>800</v>
      </c>
      <c r="N52" s="183" t="s">
        <v>277</v>
      </c>
      <c r="O52" s="624">
        <v>1</v>
      </c>
      <c r="P52" s="624"/>
      <c r="Q52" s="624">
        <v>200</v>
      </c>
      <c r="R52" s="640">
        <f>(Q52*0.8)*5</f>
        <v>800</v>
      </c>
      <c r="S52" s="183" t="s">
        <v>277</v>
      </c>
      <c r="T52" s="624">
        <v>1</v>
      </c>
      <c r="U52" s="624"/>
      <c r="V52" s="624">
        <v>500</v>
      </c>
      <c r="W52" s="640">
        <f>(V52*0.8)*5</f>
        <v>2000</v>
      </c>
    </row>
    <row r="53" spans="1:23" ht="45">
      <c r="A53" s="2148"/>
      <c r="B53" s="2148"/>
      <c r="C53" s="171" t="s">
        <v>55</v>
      </c>
      <c r="D53" s="170" t="s">
        <v>240</v>
      </c>
      <c r="E53" s="138"/>
      <c r="F53" s="2155"/>
      <c r="G53" s="2097"/>
      <c r="H53" s="2098"/>
      <c r="I53" s="138"/>
      <c r="J53" s="624"/>
      <c r="K53" s="624"/>
      <c r="L53" s="624"/>
      <c r="M53" s="624"/>
      <c r="N53" s="138"/>
      <c r="O53" s="624"/>
      <c r="P53" s="624"/>
      <c r="Q53" s="624"/>
      <c r="R53" s="640"/>
      <c r="S53" s="138"/>
      <c r="T53" s="624"/>
      <c r="U53" s="624"/>
      <c r="V53" s="624"/>
      <c r="W53" s="625"/>
    </row>
    <row r="54" spans="1:23" ht="16.5" thickBot="1">
      <c r="A54" s="2148"/>
      <c r="B54" s="2148"/>
      <c r="C54" s="161" t="s">
        <v>48</v>
      </c>
      <c r="D54" s="172" t="s">
        <v>241</v>
      </c>
      <c r="E54" s="138"/>
      <c r="F54" s="2156"/>
      <c r="G54" s="2097"/>
      <c r="H54" s="2098"/>
      <c r="I54" s="138"/>
      <c r="J54" s="624"/>
      <c r="K54" s="624"/>
      <c r="L54" s="624"/>
      <c r="M54" s="624"/>
      <c r="N54" s="138"/>
      <c r="O54" s="624"/>
      <c r="P54" s="624"/>
      <c r="Q54" s="624"/>
      <c r="R54" s="640"/>
      <c r="S54" s="138"/>
      <c r="T54" s="624"/>
      <c r="U54" s="624"/>
      <c r="V54" s="624"/>
      <c r="W54" s="625"/>
    </row>
    <row r="55" spans="1:23" ht="79.5" thickBot="1">
      <c r="A55" s="2135" t="s">
        <v>500</v>
      </c>
      <c r="B55" s="2097"/>
      <c r="C55" s="173" t="s">
        <v>134</v>
      </c>
      <c r="D55" s="174" t="s">
        <v>269</v>
      </c>
      <c r="E55" s="175"/>
      <c r="F55" s="1818" t="s">
        <v>501</v>
      </c>
      <c r="G55" s="2097"/>
      <c r="H55" s="2098"/>
      <c r="I55" s="175"/>
      <c r="J55" s="627"/>
      <c r="K55" s="627"/>
      <c r="L55" s="627"/>
      <c r="M55" s="627"/>
      <c r="N55" s="175"/>
      <c r="O55" s="627"/>
      <c r="P55" s="627"/>
      <c r="Q55" s="627"/>
      <c r="R55" s="641"/>
      <c r="S55" s="175"/>
      <c r="T55" s="627"/>
      <c r="U55" s="627"/>
      <c r="V55" s="627"/>
      <c r="W55" s="628"/>
    </row>
    <row r="59" spans="1:23">
      <c r="M59" s="1014">
        <f>SUM(M43:M55)</f>
        <v>21200</v>
      </c>
    </row>
    <row r="61" spans="1:23">
      <c r="A61" s="2311" t="s">
        <v>1270</v>
      </c>
      <c r="B61" s="2312"/>
      <c r="C61" s="2312"/>
      <c r="D61" s="2312"/>
      <c r="E61" s="2312"/>
      <c r="F61" s="2312"/>
    </row>
    <row r="62" spans="1:23" ht="105">
      <c r="A62" s="1282" t="s">
        <v>1271</v>
      </c>
      <c r="B62" s="1282" t="s">
        <v>1272</v>
      </c>
      <c r="C62" s="1282" t="s">
        <v>1273</v>
      </c>
      <c r="D62" s="1282" t="s">
        <v>1274</v>
      </c>
      <c r="E62" s="1282" t="s">
        <v>1275</v>
      </c>
      <c r="F62" s="1282" t="s">
        <v>1276</v>
      </c>
    </row>
    <row r="63" spans="1:23" ht="150">
      <c r="A63" s="1283" t="s">
        <v>1312</v>
      </c>
      <c r="B63" s="1283" t="s">
        <v>1313</v>
      </c>
      <c r="C63" s="1281" t="s">
        <v>1314</v>
      </c>
      <c r="D63" s="1281" t="s">
        <v>52</v>
      </c>
      <c r="E63" s="1283" t="s">
        <v>1315</v>
      </c>
      <c r="F63" s="1281">
        <v>10</v>
      </c>
    </row>
    <row r="64" spans="1:23" ht="210">
      <c r="A64" s="1283" t="s">
        <v>1316</v>
      </c>
      <c r="B64" s="1283" t="s">
        <v>1317</v>
      </c>
      <c r="C64" s="1281" t="s">
        <v>1314</v>
      </c>
      <c r="D64" s="1281" t="s">
        <v>52</v>
      </c>
      <c r="E64" s="1283" t="s">
        <v>1315</v>
      </c>
      <c r="F64" s="1281">
        <v>10</v>
      </c>
    </row>
  </sheetData>
  <mergeCells count="58">
    <mergeCell ref="A61:F61"/>
    <mergeCell ref="A19:B21"/>
    <mergeCell ref="F19:H21"/>
    <mergeCell ref="B2:D2"/>
    <mergeCell ref="B3:D3"/>
    <mergeCell ref="B4:D4"/>
    <mergeCell ref="B6:D6"/>
    <mergeCell ref="B8:D8"/>
    <mergeCell ref="A11:B11"/>
    <mergeCell ref="C11:H11"/>
    <mergeCell ref="E13:H14"/>
    <mergeCell ref="A15:B15"/>
    <mergeCell ref="F15:H15"/>
    <mergeCell ref="A16:B18"/>
    <mergeCell ref="F16:H18"/>
    <mergeCell ref="A22:B23"/>
    <mergeCell ref="F22:H23"/>
    <mergeCell ref="A24:B26"/>
    <mergeCell ref="F24:H26"/>
    <mergeCell ref="A27:C27"/>
    <mergeCell ref="F27:H27"/>
    <mergeCell ref="A28:B30"/>
    <mergeCell ref="F28:H30"/>
    <mergeCell ref="A31:B33"/>
    <mergeCell ref="F31:H33"/>
    <mergeCell ref="A34:B34"/>
    <mergeCell ref="F34:H34"/>
    <mergeCell ref="A36:B37"/>
    <mergeCell ref="F36:H37"/>
    <mergeCell ref="A38:B40"/>
    <mergeCell ref="F38:H38"/>
    <mergeCell ref="F39:H40"/>
    <mergeCell ref="A55:B55"/>
    <mergeCell ref="F55:H55"/>
    <mergeCell ref="A46:B49"/>
    <mergeCell ref="F46:H46"/>
    <mergeCell ref="F47:H47"/>
    <mergeCell ref="F48:H48"/>
    <mergeCell ref="F49:H49"/>
    <mergeCell ref="A50:B51"/>
    <mergeCell ref="F50:H50"/>
    <mergeCell ref="F51:H51"/>
    <mergeCell ref="A44:B44"/>
    <mergeCell ref="I14:M14"/>
    <mergeCell ref="N14:R14"/>
    <mergeCell ref="S14:W14"/>
    <mergeCell ref="A52:B54"/>
    <mergeCell ref="F52:H52"/>
    <mergeCell ref="F53:H53"/>
    <mergeCell ref="F54:H54"/>
    <mergeCell ref="A41:B43"/>
    <mergeCell ref="F41:H42"/>
    <mergeCell ref="F43:H43"/>
    <mergeCell ref="F44:H44"/>
    <mergeCell ref="A45:C45"/>
    <mergeCell ref="F45:H45"/>
    <mergeCell ref="A35:B35"/>
    <mergeCell ref="F35:H35"/>
  </mergeCells>
  <dataValidations count="3">
    <dataValidation type="list" allowBlank="1" showErrorMessage="1" sqref="H8:H10">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2" location="SOMMAIRE!A1" display="Retour sommaire"/>
    <hyperlink ref="J4" location="SYNTHESE!A1" display="Retour synthèse"/>
  </hyperlink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6"/>
  <sheetViews>
    <sheetView topLeftCell="B1" zoomScaleNormal="100" workbookViewId="0">
      <pane xSplit="1" topLeftCell="C1" activePane="topRight" state="frozen"/>
      <selection activeCell="F44" sqref="F44:H44"/>
      <selection pane="topRight" activeCell="G15" sqref="G15"/>
    </sheetView>
  </sheetViews>
  <sheetFormatPr baseColWidth="10" defaultRowHeight="15"/>
  <cols>
    <col min="1" max="1" width="91.5703125" customWidth="1"/>
    <col min="2" max="2" width="41" customWidth="1"/>
    <col min="3" max="3" width="6.28515625" bestFit="1" customWidth="1"/>
    <col min="4" max="4" width="22.7109375" customWidth="1"/>
    <col min="6" max="6" width="42.28515625" customWidth="1"/>
    <col min="7" max="7" width="12.140625" customWidth="1"/>
    <col min="8" max="8" width="6.28515625" bestFit="1" customWidth="1"/>
    <col min="9" max="9" width="6.140625" bestFit="1" customWidth="1"/>
    <col min="10" max="12" width="5.28515625" bestFit="1" customWidth="1"/>
    <col min="13" max="13" width="5.42578125" bestFit="1" customWidth="1"/>
    <col min="14" max="14" width="5.5703125" bestFit="1" customWidth="1"/>
    <col min="15" max="15" width="5.42578125" bestFit="1" customWidth="1"/>
    <col min="16" max="18" width="5.5703125" bestFit="1" customWidth="1"/>
    <col min="19" max="19" width="5.42578125" bestFit="1" customWidth="1"/>
    <col min="20" max="20" width="5.5703125" bestFit="1" customWidth="1"/>
    <col min="21" max="21" width="5.7109375" bestFit="1" customWidth="1"/>
    <col min="22" max="22" width="6.42578125" bestFit="1" customWidth="1"/>
    <col min="23" max="23" width="6.5703125" bestFit="1" customWidth="1"/>
    <col min="24" max="24" width="6.42578125" bestFit="1" customWidth="1"/>
    <col min="25" max="25" width="5.5703125" bestFit="1" customWidth="1"/>
    <col min="26" max="27" width="6" bestFit="1" customWidth="1"/>
    <col min="28" max="28" width="6.42578125" bestFit="1" customWidth="1"/>
    <col min="29" max="29" width="6" bestFit="1" customWidth="1"/>
    <col min="30" max="30" width="6.140625" bestFit="1" customWidth="1"/>
    <col min="31" max="31" width="6.28515625" bestFit="1" customWidth="1"/>
    <col min="32" max="32" width="5.85546875" bestFit="1" customWidth="1"/>
    <col min="33" max="33" width="5.7109375" bestFit="1" customWidth="1"/>
    <col min="34" max="34" width="5.85546875" bestFit="1" customWidth="1"/>
    <col min="35" max="35" width="5.7109375" bestFit="1" customWidth="1"/>
    <col min="36" max="36" width="5.5703125" bestFit="1" customWidth="1"/>
    <col min="37" max="37" width="6.28515625" bestFit="1" customWidth="1"/>
    <col min="38" max="38" width="5.85546875" bestFit="1" customWidth="1"/>
    <col min="39" max="39" width="5.140625" bestFit="1" customWidth="1"/>
    <col min="40" max="40" width="5.42578125" bestFit="1" customWidth="1"/>
    <col min="41" max="42" width="5.140625" bestFit="1" customWidth="1"/>
    <col min="43" max="43" width="5.28515625" bestFit="1" customWidth="1"/>
    <col min="44" max="44" width="5.140625" bestFit="1" customWidth="1"/>
    <col min="45" max="45" width="5.140625" style="1665" customWidth="1"/>
    <col min="46" max="46" width="5.28515625" bestFit="1" customWidth="1"/>
    <col min="47" max="47" width="6.28515625" bestFit="1" customWidth="1"/>
    <col min="48" max="48" width="5.7109375" bestFit="1" customWidth="1"/>
    <col min="49" max="49" width="5.28515625" bestFit="1" customWidth="1"/>
    <col min="50" max="50" width="5.140625" bestFit="1" customWidth="1"/>
    <col min="51" max="51" width="5.85546875" bestFit="1" customWidth="1"/>
    <col min="52" max="52" width="5.5703125" bestFit="1" customWidth="1"/>
    <col min="53" max="53" width="5.28515625" bestFit="1" customWidth="1"/>
    <col min="54" max="54" width="5.7109375" bestFit="1" customWidth="1"/>
    <col min="55" max="55" width="5.28515625" bestFit="1" customWidth="1"/>
    <col min="56" max="56" width="5" bestFit="1" customWidth="1"/>
    <col min="57" max="57" width="5" style="1665" customWidth="1"/>
    <col min="58" max="58" width="5.140625" bestFit="1" customWidth="1"/>
    <col min="59" max="59" width="5.5703125" bestFit="1" customWidth="1"/>
    <col min="60" max="60" width="5.85546875" bestFit="1" customWidth="1"/>
    <col min="61" max="61" width="5.140625" bestFit="1" customWidth="1"/>
  </cols>
  <sheetData>
    <row r="1" spans="1:61" ht="15.75" thickBot="1">
      <c r="B1" s="1626"/>
      <c r="C1" s="1626"/>
      <c r="D1" s="61"/>
      <c r="E1" s="1626"/>
      <c r="F1" s="1626"/>
      <c r="G1" s="1626"/>
      <c r="H1" s="69"/>
      <c r="I1" s="1626"/>
      <c r="J1" s="1626"/>
      <c r="K1" s="1626"/>
      <c r="L1" s="1626"/>
      <c r="M1" s="1626"/>
      <c r="N1" s="1624"/>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c r="AO1" s="1626"/>
      <c r="AP1" s="1626"/>
      <c r="AQ1" s="1626"/>
      <c r="AR1" s="1626"/>
      <c r="AT1" s="1626"/>
      <c r="AU1" s="1626"/>
      <c r="AV1" s="1626"/>
      <c r="AW1" s="1626"/>
      <c r="AX1" s="1626"/>
      <c r="AY1" s="1626"/>
      <c r="AZ1" s="1626"/>
      <c r="BA1" s="1626"/>
      <c r="BB1" s="1626"/>
      <c r="BC1" s="1626"/>
      <c r="BD1" s="1626"/>
      <c r="BF1" s="1626"/>
      <c r="BG1" s="1626"/>
      <c r="BH1" s="1626"/>
      <c r="BI1" s="1626"/>
    </row>
    <row r="2" spans="1:61" s="62" customFormat="1" ht="30.75" thickBot="1">
      <c r="A2" s="1625"/>
      <c r="B2" s="1756" t="s">
        <v>380</v>
      </c>
      <c r="C2" s="1757"/>
      <c r="D2" s="1757"/>
      <c r="E2" s="1757"/>
      <c r="F2" s="1757"/>
      <c r="G2" s="1757"/>
      <c r="H2" s="1640" t="s">
        <v>273</v>
      </c>
      <c r="I2" s="1640" t="s">
        <v>183</v>
      </c>
      <c r="J2" s="1641" t="s">
        <v>218</v>
      </c>
      <c r="K2" s="1641" t="s">
        <v>1192</v>
      </c>
      <c r="L2" s="1640" t="s">
        <v>187</v>
      </c>
      <c r="M2" s="1642" t="s">
        <v>913</v>
      </c>
      <c r="N2" s="1641" t="s">
        <v>914</v>
      </c>
      <c r="O2" s="1640" t="s">
        <v>185</v>
      </c>
      <c r="P2" s="1642" t="s">
        <v>403</v>
      </c>
      <c r="Q2" s="1642" t="s">
        <v>915</v>
      </c>
      <c r="R2" s="1640" t="s">
        <v>189</v>
      </c>
      <c r="S2" s="1642" t="s">
        <v>1204</v>
      </c>
      <c r="T2" s="1640" t="s">
        <v>190</v>
      </c>
      <c r="U2" s="1642" t="s">
        <v>191</v>
      </c>
      <c r="V2" s="1643" t="s">
        <v>209</v>
      </c>
      <c r="W2" s="1642" t="s">
        <v>1178</v>
      </c>
      <c r="X2" s="1642" t="s">
        <v>210</v>
      </c>
      <c r="Y2" s="1642" t="s">
        <v>200</v>
      </c>
      <c r="Z2" s="1642" t="s">
        <v>180</v>
      </c>
      <c r="AA2" s="1644" t="s">
        <v>205</v>
      </c>
      <c r="AB2" s="1643" t="s">
        <v>199</v>
      </c>
      <c r="AC2" s="1643" t="s">
        <v>201</v>
      </c>
      <c r="AD2" s="1643" t="s">
        <v>917</v>
      </c>
      <c r="AE2" s="1643" t="s">
        <v>918</v>
      </c>
      <c r="AF2" s="1642" t="s">
        <v>919</v>
      </c>
      <c r="AG2" s="1642" t="s">
        <v>184</v>
      </c>
      <c r="AH2" s="1642" t="s">
        <v>336</v>
      </c>
      <c r="AI2" s="1642" t="s">
        <v>211</v>
      </c>
      <c r="AJ2" s="1640" t="s">
        <v>212</v>
      </c>
      <c r="AK2" s="1642" t="s">
        <v>215</v>
      </c>
      <c r="AL2" s="1643" t="s">
        <v>207</v>
      </c>
      <c r="AM2" s="1643" t="s">
        <v>920</v>
      </c>
      <c r="AN2" s="68" t="s">
        <v>921</v>
      </c>
      <c r="AO2" s="1644" t="s">
        <v>922</v>
      </c>
      <c r="AP2" s="1644" t="s">
        <v>1213</v>
      </c>
      <c r="AQ2" s="1644" t="s">
        <v>923</v>
      </c>
      <c r="AR2" s="1644" t="s">
        <v>924</v>
      </c>
      <c r="AS2" s="1644" t="s">
        <v>1611</v>
      </c>
      <c r="AT2" s="1643" t="s">
        <v>206</v>
      </c>
      <c r="AU2" s="1640" t="s">
        <v>347</v>
      </c>
      <c r="AV2" s="1642" t="s">
        <v>194</v>
      </c>
      <c r="AW2" s="1643" t="s">
        <v>213</v>
      </c>
      <c r="AX2" s="1643" t="s">
        <v>214</v>
      </c>
      <c r="AY2" s="1643" t="s">
        <v>1193</v>
      </c>
      <c r="AZ2" s="1643" t="s">
        <v>1194</v>
      </c>
      <c r="BA2" s="1643" t="s">
        <v>219</v>
      </c>
      <c r="BB2" s="1642" t="s">
        <v>181</v>
      </c>
      <c r="BC2" s="1643" t="s">
        <v>1225</v>
      </c>
      <c r="BD2" s="1640" t="s">
        <v>193</v>
      </c>
      <c r="BE2" s="1642" t="s">
        <v>1238</v>
      </c>
      <c r="BF2" s="1642" t="s">
        <v>350</v>
      </c>
      <c r="BG2" s="1645" t="s">
        <v>220</v>
      </c>
      <c r="BH2" s="1642" t="s">
        <v>179</v>
      </c>
      <c r="BI2" s="1646" t="s">
        <v>340</v>
      </c>
    </row>
    <row r="3" spans="1:61" s="62" customFormat="1" ht="18" customHeight="1" thickBot="1">
      <c r="A3" s="67"/>
      <c r="B3" s="1631" t="s">
        <v>352</v>
      </c>
      <c r="C3" s="1632" t="s">
        <v>353</v>
      </c>
      <c r="D3" s="1633" t="s">
        <v>359</v>
      </c>
      <c r="E3" s="1632" t="s">
        <v>354</v>
      </c>
      <c r="F3" s="1632" t="s">
        <v>355</v>
      </c>
      <c r="G3" s="1660" t="s">
        <v>1642</v>
      </c>
      <c r="H3" s="1647"/>
      <c r="I3" s="1647"/>
      <c r="J3" s="1648"/>
      <c r="K3" s="1648"/>
      <c r="L3" s="1647"/>
      <c r="M3" s="1647"/>
      <c r="N3" s="1648"/>
      <c r="O3" s="1647"/>
      <c r="P3" s="1647"/>
      <c r="Q3" s="1649"/>
      <c r="R3" s="1647"/>
      <c r="S3" s="1647"/>
      <c r="T3" s="1647"/>
      <c r="U3" s="1649"/>
      <c r="V3" s="1650"/>
      <c r="W3" s="1647"/>
      <c r="X3" s="1647"/>
      <c r="Y3" s="1649"/>
      <c r="Z3" s="1649"/>
      <c r="AA3" s="1651"/>
      <c r="AB3" s="1650"/>
      <c r="AC3" s="1650"/>
      <c r="AD3" s="1650"/>
      <c r="AE3" s="1650"/>
      <c r="AF3" s="1647"/>
      <c r="AG3" s="1647"/>
      <c r="AH3" s="1649"/>
      <c r="AI3" s="1649"/>
      <c r="AJ3" s="1647"/>
      <c r="AK3" s="1649"/>
      <c r="AL3" s="1650"/>
      <c r="AM3" s="1650"/>
      <c r="AN3" s="1626"/>
      <c r="AO3" s="1652"/>
      <c r="AP3" s="1652"/>
      <c r="AQ3" s="1652"/>
      <c r="AR3" s="1652"/>
      <c r="AS3" s="1652"/>
      <c r="AT3" s="1650"/>
      <c r="AU3" s="1647"/>
      <c r="AV3" s="1653"/>
      <c r="AW3" s="1650"/>
      <c r="AX3" s="1653"/>
      <c r="AY3" s="1653"/>
      <c r="AZ3" s="1653"/>
      <c r="BA3" s="1653"/>
      <c r="BB3" s="1653"/>
      <c r="BC3" s="1653"/>
      <c r="BD3" s="1653"/>
      <c r="BE3" s="1653"/>
      <c r="BF3" s="1649"/>
      <c r="BG3" s="1653"/>
      <c r="BH3" s="1649"/>
      <c r="BI3" s="1649"/>
    </row>
    <row r="4" spans="1:61" ht="15" customHeight="1">
      <c r="A4" s="74"/>
      <c r="B4" s="74" t="s">
        <v>59</v>
      </c>
      <c r="C4" s="82" t="s">
        <v>251</v>
      </c>
      <c r="D4" s="83" t="s">
        <v>368</v>
      </c>
      <c r="E4" s="84" t="s">
        <v>356</v>
      </c>
      <c r="F4" s="1758" t="s">
        <v>358</v>
      </c>
      <c r="G4" s="1634">
        <v>122</v>
      </c>
      <c r="H4" s="1654"/>
      <c r="I4" s="1654"/>
      <c r="J4" s="94"/>
      <c r="K4" s="94"/>
      <c r="L4" s="94"/>
      <c r="M4" s="94"/>
      <c r="N4" s="1655"/>
      <c r="O4" s="1655"/>
      <c r="P4" s="1655"/>
      <c r="Q4" s="94" t="s">
        <v>554</v>
      </c>
      <c r="R4" s="94"/>
      <c r="S4" s="94"/>
      <c r="T4" s="94"/>
      <c r="U4" s="94"/>
      <c r="V4" s="94"/>
      <c r="W4" s="94"/>
      <c r="X4" s="94"/>
      <c r="Y4" s="94"/>
      <c r="Z4" s="94"/>
      <c r="AA4" s="94"/>
      <c r="AB4" s="94"/>
      <c r="AC4" s="94"/>
      <c r="AD4" s="94"/>
      <c r="AE4" s="94"/>
      <c r="AF4" s="94"/>
      <c r="AG4" s="94"/>
      <c r="AH4" s="94"/>
      <c r="AI4" s="94"/>
      <c r="AJ4" s="94"/>
      <c r="AK4" s="94"/>
      <c r="AL4" s="59"/>
      <c r="AM4" s="59"/>
      <c r="AN4" s="59"/>
      <c r="AO4" s="59"/>
      <c r="AP4" s="59"/>
      <c r="AQ4" s="59"/>
      <c r="AR4" s="59"/>
      <c r="AS4" s="59"/>
      <c r="AT4" s="59"/>
      <c r="AU4" s="59"/>
      <c r="AV4" s="59"/>
      <c r="AW4" s="59"/>
      <c r="AX4" s="59"/>
      <c r="AY4" s="59"/>
      <c r="AZ4" s="59"/>
      <c r="BA4" s="59"/>
      <c r="BB4" s="59"/>
      <c r="BC4" s="59" t="s">
        <v>554</v>
      </c>
      <c r="BD4" s="59"/>
      <c r="BE4" s="59"/>
      <c r="BF4" s="59"/>
      <c r="BG4" s="59"/>
      <c r="BH4" s="59"/>
      <c r="BI4" s="59"/>
    </row>
    <row r="5" spans="1:61" ht="15" customHeight="1">
      <c r="A5" s="75"/>
      <c r="B5" s="75" t="s">
        <v>18</v>
      </c>
      <c r="C5" s="63" t="s">
        <v>168</v>
      </c>
      <c r="D5" s="37" t="s">
        <v>368</v>
      </c>
      <c r="E5" s="72" t="s">
        <v>356</v>
      </c>
      <c r="F5" s="1754"/>
      <c r="G5" s="1635">
        <v>143</v>
      </c>
      <c r="H5" s="1654"/>
      <c r="I5" s="1654"/>
      <c r="J5" s="94"/>
      <c r="K5" s="94"/>
      <c r="L5" s="94"/>
      <c r="M5" s="94"/>
      <c r="N5" s="1655"/>
      <c r="O5" s="94"/>
      <c r="P5" s="94"/>
      <c r="Q5" s="94" t="s">
        <v>554</v>
      </c>
      <c r="R5" s="94"/>
      <c r="S5" s="94"/>
      <c r="T5" s="94"/>
      <c r="U5" s="94"/>
      <c r="V5" s="94"/>
      <c r="W5" s="94"/>
      <c r="X5" s="94"/>
      <c r="Y5" s="94"/>
      <c r="Z5" s="94"/>
      <c r="AA5" s="1654" t="s">
        <v>554</v>
      </c>
      <c r="AB5" s="94"/>
      <c r="AC5" s="94"/>
      <c r="AD5" s="94"/>
      <c r="AE5" s="94"/>
      <c r="AF5" s="94"/>
      <c r="AG5" s="94"/>
      <c r="AH5" s="94"/>
      <c r="AI5" s="94"/>
      <c r="AJ5" s="1654"/>
      <c r="AK5" s="94"/>
      <c r="AL5" s="59"/>
      <c r="AM5" s="59"/>
      <c r="AN5" s="59"/>
      <c r="AO5" s="59"/>
      <c r="AP5" s="59"/>
      <c r="AQ5" s="59"/>
      <c r="AR5" s="59" t="s">
        <v>554</v>
      </c>
      <c r="AS5" s="59" t="s">
        <v>554</v>
      </c>
      <c r="AT5" s="59"/>
      <c r="AU5" s="59"/>
      <c r="AV5" s="59" t="s">
        <v>554</v>
      </c>
      <c r="AW5" s="59"/>
      <c r="AX5" s="59"/>
      <c r="AY5" s="59"/>
      <c r="AZ5" s="59"/>
      <c r="BA5" s="59"/>
      <c r="BB5" s="59"/>
      <c r="BC5" s="59" t="s">
        <v>554</v>
      </c>
      <c r="BD5" s="59"/>
      <c r="BE5" s="59"/>
      <c r="BF5" s="59"/>
      <c r="BG5" s="59"/>
      <c r="BH5" s="59"/>
      <c r="BI5" s="59"/>
    </row>
    <row r="6" spans="1:61">
      <c r="A6" s="75"/>
      <c r="B6" s="75" t="s">
        <v>19</v>
      </c>
      <c r="C6" s="63" t="s">
        <v>233</v>
      </c>
      <c r="D6" s="37" t="s">
        <v>368</v>
      </c>
      <c r="E6" s="72" t="s">
        <v>356</v>
      </c>
      <c r="F6" s="1753"/>
      <c r="G6" s="1635">
        <v>281</v>
      </c>
      <c r="H6" s="1654"/>
      <c r="I6" s="1654"/>
      <c r="J6" s="94"/>
      <c r="K6" s="94"/>
      <c r="L6" s="94"/>
      <c r="M6" s="94"/>
      <c r="N6" s="1655"/>
      <c r="O6" s="94"/>
      <c r="P6" s="94"/>
      <c r="Q6" s="94" t="s">
        <v>554</v>
      </c>
      <c r="R6" s="94"/>
      <c r="S6" s="94"/>
      <c r="T6" s="94"/>
      <c r="U6" s="94"/>
      <c r="V6" s="94"/>
      <c r="W6" s="94"/>
      <c r="X6" s="94"/>
      <c r="Y6" s="94"/>
      <c r="Z6" s="94"/>
      <c r="AA6" s="1654" t="s">
        <v>554</v>
      </c>
      <c r="AB6" s="94"/>
      <c r="AC6" s="94"/>
      <c r="AD6" s="94"/>
      <c r="AE6" s="94"/>
      <c r="AF6" s="94"/>
      <c r="AG6" s="94"/>
      <c r="AH6" s="94"/>
      <c r="AI6" s="94"/>
      <c r="AJ6" s="1654"/>
      <c r="AK6" s="94"/>
      <c r="AL6" s="59"/>
      <c r="AM6" s="59"/>
      <c r="AN6" s="59"/>
      <c r="AO6" s="59"/>
      <c r="AP6" s="59"/>
      <c r="AQ6" s="59"/>
      <c r="AR6" s="59" t="s">
        <v>554</v>
      </c>
      <c r="AS6" s="59" t="s">
        <v>554</v>
      </c>
      <c r="AT6" s="59"/>
      <c r="AU6" s="59"/>
      <c r="AV6" s="59" t="s">
        <v>554</v>
      </c>
      <c r="AW6" s="59"/>
      <c r="AX6" s="59"/>
      <c r="AY6" s="59"/>
      <c r="AZ6" s="59"/>
      <c r="BA6" s="59"/>
      <c r="BB6" s="59"/>
      <c r="BC6" s="59" t="s">
        <v>554</v>
      </c>
      <c r="BD6" s="59"/>
      <c r="BE6" s="59"/>
      <c r="BF6" s="59"/>
      <c r="BG6" s="59" t="s">
        <v>554</v>
      </c>
      <c r="BH6" s="59"/>
      <c r="BI6" s="59"/>
    </row>
    <row r="7" spans="1:61" ht="15" customHeight="1">
      <c r="A7" s="75"/>
      <c r="B7" s="75" t="s">
        <v>54</v>
      </c>
      <c r="C7" s="63" t="s">
        <v>261</v>
      </c>
      <c r="D7" s="37" t="s">
        <v>368</v>
      </c>
      <c r="E7" s="72" t="s">
        <v>356</v>
      </c>
      <c r="F7" s="1752" t="s">
        <v>357</v>
      </c>
      <c r="G7" s="1635">
        <v>137</v>
      </c>
      <c r="H7" s="1656"/>
      <c r="I7" s="1657" t="s">
        <v>554</v>
      </c>
      <c r="J7" s="94"/>
      <c r="K7" s="94"/>
      <c r="L7" s="94"/>
      <c r="M7" s="94"/>
      <c r="N7" s="94"/>
      <c r="O7" s="1655"/>
      <c r="P7" s="1655"/>
      <c r="Q7" s="1655" t="s">
        <v>554</v>
      </c>
      <c r="R7" s="94" t="s">
        <v>554</v>
      </c>
      <c r="S7" s="94" t="s">
        <v>554</v>
      </c>
      <c r="T7" s="94"/>
      <c r="U7" s="1655"/>
      <c r="V7" s="94"/>
      <c r="W7" s="94"/>
      <c r="X7" s="94"/>
      <c r="Y7" s="94"/>
      <c r="Z7" s="94"/>
      <c r="AA7" s="94"/>
      <c r="AB7" s="94"/>
      <c r="AC7" s="94"/>
      <c r="AD7" s="94"/>
      <c r="AE7" s="94"/>
      <c r="AF7" s="94" t="s">
        <v>554</v>
      </c>
      <c r="AG7" s="94"/>
      <c r="AH7" s="1655"/>
      <c r="AI7" s="1655"/>
      <c r="AJ7" s="94" t="s">
        <v>554</v>
      </c>
      <c r="AK7" s="94" t="s">
        <v>554</v>
      </c>
      <c r="AL7" s="59"/>
      <c r="AM7" s="59"/>
      <c r="AN7" s="59"/>
      <c r="AO7" s="59"/>
      <c r="AP7" s="59"/>
      <c r="AQ7" s="59"/>
      <c r="AR7" s="59"/>
      <c r="AS7" s="59"/>
      <c r="AT7" s="59"/>
      <c r="AU7" s="59"/>
      <c r="AV7" s="59"/>
      <c r="AW7" s="59"/>
      <c r="AX7" s="59"/>
      <c r="AY7" s="59" t="s">
        <v>554</v>
      </c>
      <c r="AZ7" s="59"/>
      <c r="BA7" s="59" t="s">
        <v>554</v>
      </c>
      <c r="BB7" s="59"/>
      <c r="BC7" s="59" t="s">
        <v>554</v>
      </c>
      <c r="BD7" s="59"/>
      <c r="BE7" s="59" t="s">
        <v>554</v>
      </c>
      <c r="BF7" s="59" t="s">
        <v>554</v>
      </c>
      <c r="BG7" s="59"/>
      <c r="BH7" s="59"/>
      <c r="BI7" s="59"/>
    </row>
    <row r="8" spans="1:61" ht="15" customHeight="1">
      <c r="A8" s="75"/>
      <c r="B8" s="75" t="s">
        <v>21</v>
      </c>
      <c r="C8" s="63" t="s">
        <v>234</v>
      </c>
      <c r="D8" s="37" t="s">
        <v>368</v>
      </c>
      <c r="E8" s="72" t="s">
        <v>356</v>
      </c>
      <c r="F8" s="1754"/>
      <c r="G8" s="1635">
        <v>201</v>
      </c>
      <c r="H8" s="1654" t="s">
        <v>554</v>
      </c>
      <c r="I8" s="1654"/>
      <c r="J8" s="1654"/>
      <c r="K8" s="1654"/>
      <c r="L8" s="1654" t="s">
        <v>554</v>
      </c>
      <c r="M8" s="1654"/>
      <c r="N8" s="1654"/>
      <c r="O8" s="1655"/>
      <c r="P8" s="1655" t="s">
        <v>554</v>
      </c>
      <c r="Q8" s="1655" t="s">
        <v>554</v>
      </c>
      <c r="R8" s="1655"/>
      <c r="S8" s="1655"/>
      <c r="T8" s="1655" t="s">
        <v>554</v>
      </c>
      <c r="U8" s="1655" t="s">
        <v>554</v>
      </c>
      <c r="V8" s="94"/>
      <c r="W8" s="1655"/>
      <c r="X8" s="1655"/>
      <c r="Y8" s="94"/>
      <c r="Z8" s="94"/>
      <c r="AA8" s="94"/>
      <c r="AB8" s="94"/>
      <c r="AC8" s="94"/>
      <c r="AD8" s="94"/>
      <c r="AE8" s="94"/>
      <c r="AF8" s="1654"/>
      <c r="AG8" s="1654" t="s">
        <v>554</v>
      </c>
      <c r="AH8" s="94"/>
      <c r="AI8" s="94"/>
      <c r="AJ8" s="1654" t="s">
        <v>554</v>
      </c>
      <c r="AK8" s="94" t="s">
        <v>554</v>
      </c>
      <c r="AL8" s="59"/>
      <c r="AM8" s="59"/>
      <c r="AN8" s="59"/>
      <c r="AO8" s="59"/>
      <c r="AP8" s="59"/>
      <c r="AQ8" s="59"/>
      <c r="AR8" s="59"/>
      <c r="AS8" s="59"/>
      <c r="AT8" s="59"/>
      <c r="AU8" s="59"/>
      <c r="AV8" s="59"/>
      <c r="AW8" s="59" t="s">
        <v>554</v>
      </c>
      <c r="AX8" s="59" t="s">
        <v>554</v>
      </c>
      <c r="AY8" s="59"/>
      <c r="AZ8" s="59"/>
      <c r="BA8" s="59" t="s">
        <v>554</v>
      </c>
      <c r="BB8" s="59" t="s">
        <v>554</v>
      </c>
      <c r="BC8" s="59" t="s">
        <v>554</v>
      </c>
      <c r="BD8" s="59" t="s">
        <v>554</v>
      </c>
      <c r="BE8" s="59"/>
      <c r="BF8" s="59"/>
      <c r="BG8" s="59"/>
      <c r="BH8" s="59"/>
      <c r="BI8" s="59"/>
    </row>
    <row r="9" spans="1:61">
      <c r="A9" s="75"/>
      <c r="B9" s="75" t="s">
        <v>22</v>
      </c>
      <c r="C9" s="63" t="s">
        <v>235</v>
      </c>
      <c r="D9" s="37" t="s">
        <v>368</v>
      </c>
      <c r="E9" s="72" t="s">
        <v>356</v>
      </c>
      <c r="F9" s="1753"/>
      <c r="G9" s="1635">
        <v>306</v>
      </c>
      <c r="H9" s="1654" t="s">
        <v>554</v>
      </c>
      <c r="I9" s="1654" t="s">
        <v>554</v>
      </c>
      <c r="J9" s="1654" t="s">
        <v>554</v>
      </c>
      <c r="K9" s="1654" t="s">
        <v>554</v>
      </c>
      <c r="L9" s="1654" t="s">
        <v>554</v>
      </c>
      <c r="M9" s="1654" t="s">
        <v>554</v>
      </c>
      <c r="N9" s="1654" t="s">
        <v>554</v>
      </c>
      <c r="O9" s="1655"/>
      <c r="P9" s="1655" t="s">
        <v>554</v>
      </c>
      <c r="Q9" s="1655" t="s">
        <v>554</v>
      </c>
      <c r="R9" s="1655" t="s">
        <v>554</v>
      </c>
      <c r="S9" s="1655" t="s">
        <v>554</v>
      </c>
      <c r="T9" s="1655" t="s">
        <v>554</v>
      </c>
      <c r="U9" s="1655" t="s">
        <v>554</v>
      </c>
      <c r="V9" s="94"/>
      <c r="W9" s="1655"/>
      <c r="X9" s="1655"/>
      <c r="Y9" s="94"/>
      <c r="Z9" s="94"/>
      <c r="AA9" s="94"/>
      <c r="AB9" s="94"/>
      <c r="AC9" s="94"/>
      <c r="AD9" s="94"/>
      <c r="AE9" s="94"/>
      <c r="AF9" s="1654" t="s">
        <v>554</v>
      </c>
      <c r="AG9" s="1654" t="s">
        <v>554</v>
      </c>
      <c r="AH9" s="1655"/>
      <c r="AI9" s="94"/>
      <c r="AJ9" s="1654" t="s">
        <v>554</v>
      </c>
      <c r="AK9" s="94" t="s">
        <v>554</v>
      </c>
      <c r="AL9" s="59"/>
      <c r="AM9" s="59"/>
      <c r="AN9" s="59"/>
      <c r="AO9" s="59"/>
      <c r="AP9" s="59"/>
      <c r="AQ9" s="59"/>
      <c r="AR9" s="59"/>
      <c r="AS9" s="59"/>
      <c r="AT9" s="59"/>
      <c r="AU9" s="59"/>
      <c r="AV9" s="59"/>
      <c r="AW9" s="59" t="s">
        <v>554</v>
      </c>
      <c r="AX9" s="59" t="s">
        <v>554</v>
      </c>
      <c r="AY9" s="59" t="s">
        <v>554</v>
      </c>
      <c r="AZ9" s="59" t="s">
        <v>554</v>
      </c>
      <c r="BA9" s="59" t="s">
        <v>554</v>
      </c>
      <c r="BB9" s="59" t="s">
        <v>554</v>
      </c>
      <c r="BC9" s="59" t="s">
        <v>554</v>
      </c>
      <c r="BD9" s="59" t="s">
        <v>554</v>
      </c>
      <c r="BE9" s="59" t="s">
        <v>554</v>
      </c>
      <c r="BF9" s="59" t="s">
        <v>554</v>
      </c>
      <c r="BG9" s="59"/>
      <c r="BH9" s="59"/>
      <c r="BI9" s="59"/>
    </row>
    <row r="10" spans="1:61" ht="15" customHeight="1">
      <c r="A10" s="75"/>
      <c r="B10" s="75" t="s">
        <v>69</v>
      </c>
      <c r="C10" s="63" t="s">
        <v>267</v>
      </c>
      <c r="D10" s="37" t="s">
        <v>368</v>
      </c>
      <c r="E10" s="72" t="s">
        <v>356</v>
      </c>
      <c r="F10" s="1759" t="s">
        <v>364</v>
      </c>
      <c r="G10" s="1635">
        <v>105</v>
      </c>
      <c r="H10" s="1658"/>
      <c r="I10" s="1658"/>
      <c r="J10" s="94"/>
      <c r="K10" s="94"/>
      <c r="L10" s="94"/>
      <c r="M10" s="94"/>
      <c r="N10" s="1655"/>
      <c r="O10" s="94"/>
      <c r="P10" s="94"/>
      <c r="Q10" s="94"/>
      <c r="R10" s="94"/>
      <c r="S10" s="94"/>
      <c r="T10" s="94"/>
      <c r="U10" s="1655"/>
      <c r="V10" s="94"/>
      <c r="W10" s="94"/>
      <c r="X10" s="94"/>
      <c r="Y10" s="94"/>
      <c r="Z10" s="94"/>
      <c r="AA10" s="94"/>
      <c r="AB10" s="94"/>
      <c r="AC10" s="94"/>
      <c r="AD10" s="94"/>
      <c r="AE10" s="94"/>
      <c r="AF10" s="94"/>
      <c r="AG10" s="94"/>
      <c r="AH10" s="1655"/>
      <c r="AI10" s="1655"/>
      <c r="AJ10" s="94"/>
      <c r="AK10" s="94"/>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row>
    <row r="11" spans="1:61">
      <c r="A11" s="75"/>
      <c r="B11" s="75" t="s">
        <v>24</v>
      </c>
      <c r="C11" s="63" t="s">
        <v>236</v>
      </c>
      <c r="D11" s="37" t="s">
        <v>368</v>
      </c>
      <c r="E11" s="72" t="s">
        <v>356</v>
      </c>
      <c r="F11" s="1760"/>
      <c r="G11" s="1635">
        <v>136</v>
      </c>
      <c r="H11" s="1654" t="s">
        <v>554</v>
      </c>
      <c r="I11" s="1654"/>
      <c r="J11" s="94"/>
      <c r="K11" s="94"/>
      <c r="L11" s="1654" t="s">
        <v>554</v>
      </c>
      <c r="M11" s="1654"/>
      <c r="N11" s="1655"/>
      <c r="O11" s="94"/>
      <c r="P11" s="94"/>
      <c r="Q11" s="94"/>
      <c r="R11" s="1655"/>
      <c r="S11" s="1655"/>
      <c r="T11" s="1655"/>
      <c r="U11" s="94"/>
      <c r="V11" s="94"/>
      <c r="W11" s="1655"/>
      <c r="X11" s="1655"/>
      <c r="Y11" s="94"/>
      <c r="Z11" s="94"/>
      <c r="AA11" s="1654"/>
      <c r="AB11" s="94"/>
      <c r="AC11" s="94"/>
      <c r="AD11" s="94"/>
      <c r="AE11" s="94"/>
      <c r="AF11" s="1654"/>
      <c r="AG11" s="1654"/>
      <c r="AH11" s="1655"/>
      <c r="AI11" s="94"/>
      <c r="AJ11" s="1654"/>
      <c r="AK11" s="94"/>
      <c r="AL11" s="59"/>
      <c r="AM11" s="59"/>
      <c r="AN11" s="59"/>
      <c r="AO11" s="59"/>
      <c r="AP11" s="59"/>
      <c r="AQ11" s="59"/>
      <c r="AR11" s="59"/>
      <c r="AS11" s="59"/>
      <c r="AT11" s="59"/>
      <c r="AU11" s="59"/>
      <c r="AV11" s="59"/>
      <c r="AW11" s="59"/>
      <c r="AX11" s="59"/>
      <c r="AY11" s="59" t="s">
        <v>554</v>
      </c>
      <c r="AZ11" s="59" t="s">
        <v>554</v>
      </c>
      <c r="BA11" s="59" t="s">
        <v>554</v>
      </c>
      <c r="BB11" s="59" t="s">
        <v>554</v>
      </c>
      <c r="BC11" s="59"/>
      <c r="BD11" s="59"/>
      <c r="BE11" s="59"/>
      <c r="BF11" s="59"/>
      <c r="BG11" s="59"/>
      <c r="BH11" s="59"/>
      <c r="BI11" s="59"/>
    </row>
    <row r="12" spans="1:61" ht="33.75" customHeight="1">
      <c r="A12" s="76"/>
      <c r="B12" s="76" t="s">
        <v>360</v>
      </c>
      <c r="C12" s="63" t="s">
        <v>265</v>
      </c>
      <c r="D12" s="37" t="s">
        <v>368</v>
      </c>
      <c r="E12" s="72" t="s">
        <v>356</v>
      </c>
      <c r="F12" s="1752" t="s">
        <v>401</v>
      </c>
      <c r="G12" s="1635">
        <v>152</v>
      </c>
      <c r="H12" s="1658"/>
      <c r="I12" s="1658"/>
      <c r="J12" s="94"/>
      <c r="K12" s="94"/>
      <c r="L12" s="1654"/>
      <c r="M12" s="1654"/>
      <c r="N12" s="1655"/>
      <c r="O12" s="94"/>
      <c r="P12" s="94"/>
      <c r="Q12" s="94"/>
      <c r="R12" s="94"/>
      <c r="S12" s="94"/>
      <c r="T12" s="94"/>
      <c r="U12" s="94"/>
      <c r="V12" s="94"/>
      <c r="W12" s="94"/>
      <c r="X12" s="94"/>
      <c r="Y12" s="94"/>
      <c r="Z12" s="94"/>
      <c r="AA12" s="94"/>
      <c r="AB12" s="94"/>
      <c r="AC12" s="94"/>
      <c r="AD12" s="94"/>
      <c r="AE12" s="94"/>
      <c r="AF12" s="94"/>
      <c r="AG12" s="94"/>
      <c r="AH12" s="94"/>
      <c r="AI12" s="94"/>
      <c r="AJ12" s="94"/>
      <c r="AK12" s="94"/>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row>
    <row r="13" spans="1:61" ht="30">
      <c r="A13" s="76"/>
      <c r="B13" s="76" t="s">
        <v>361</v>
      </c>
      <c r="C13" s="63" t="s">
        <v>362</v>
      </c>
      <c r="D13" s="37" t="s">
        <v>368</v>
      </c>
      <c r="E13" s="72" t="s">
        <v>356</v>
      </c>
      <c r="F13" s="1754"/>
      <c r="G13" s="1635">
        <v>248</v>
      </c>
      <c r="H13" s="1658"/>
      <c r="I13" s="1658"/>
      <c r="J13" s="94"/>
      <c r="K13" s="94"/>
      <c r="L13" s="94"/>
      <c r="M13" s="94"/>
      <c r="N13" s="1655"/>
      <c r="O13" s="94" t="s">
        <v>554</v>
      </c>
      <c r="P13" s="94"/>
      <c r="Q13" s="94"/>
      <c r="R13" s="94"/>
      <c r="S13" s="94"/>
      <c r="T13" s="94"/>
      <c r="U13" s="94"/>
      <c r="V13" s="94"/>
      <c r="W13" s="94"/>
      <c r="X13" s="94"/>
      <c r="Y13" s="94"/>
      <c r="Z13" s="94"/>
      <c r="AA13" s="94"/>
      <c r="AB13" s="94"/>
      <c r="AC13" s="94"/>
      <c r="AD13" s="94"/>
      <c r="AE13" s="94"/>
      <c r="AF13" s="94"/>
      <c r="AG13" s="94"/>
      <c r="AH13" s="94"/>
      <c r="AI13" s="94"/>
      <c r="AJ13" s="94"/>
      <c r="AK13" s="94"/>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row>
    <row r="14" spans="1:61" ht="30">
      <c r="A14" s="77"/>
      <c r="B14" s="76" t="s">
        <v>479</v>
      </c>
      <c r="C14" s="85" t="s">
        <v>480</v>
      </c>
      <c r="D14" s="37" t="s">
        <v>368</v>
      </c>
      <c r="E14" s="72" t="s">
        <v>356</v>
      </c>
      <c r="F14" s="1754"/>
      <c r="G14" s="1636">
        <v>343</v>
      </c>
      <c r="H14" s="1658"/>
      <c r="I14" s="1658"/>
      <c r="J14" s="94"/>
      <c r="K14" s="94"/>
      <c r="L14" s="94"/>
      <c r="M14" s="94"/>
      <c r="N14" s="1655"/>
      <c r="O14" s="94" t="s">
        <v>554</v>
      </c>
      <c r="P14" s="94"/>
      <c r="Q14" s="94"/>
      <c r="R14" s="94"/>
      <c r="S14" s="94"/>
      <c r="T14" s="94"/>
      <c r="U14" s="94"/>
      <c r="V14" s="94"/>
      <c r="W14" s="94"/>
      <c r="X14" s="94"/>
      <c r="Y14" s="94"/>
      <c r="Z14" s="94"/>
      <c r="AA14" s="94"/>
      <c r="AB14" s="94"/>
      <c r="AC14" s="94"/>
      <c r="AD14" s="94"/>
      <c r="AE14" s="94"/>
      <c r="AF14" s="94"/>
      <c r="AG14" s="94"/>
      <c r="AH14" s="94"/>
      <c r="AI14" s="94"/>
      <c r="AJ14" s="94"/>
      <c r="AK14" s="94"/>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row>
    <row r="15" spans="1:61" ht="30">
      <c r="A15" s="76"/>
      <c r="B15" s="77" t="s">
        <v>363</v>
      </c>
      <c r="C15" s="85" t="s">
        <v>270</v>
      </c>
      <c r="D15" s="37" t="s">
        <v>368</v>
      </c>
      <c r="E15" s="72" t="s">
        <v>356</v>
      </c>
      <c r="F15" s="1754"/>
      <c r="G15" s="1636">
        <v>212</v>
      </c>
      <c r="H15" s="1654" t="s">
        <v>554</v>
      </c>
      <c r="I15" s="1654"/>
      <c r="J15" s="94"/>
      <c r="K15" s="94"/>
      <c r="L15" s="1654"/>
      <c r="M15" s="1654"/>
      <c r="N15" s="1655"/>
      <c r="O15" s="94"/>
      <c r="P15" s="94" t="s">
        <v>554</v>
      </c>
      <c r="Q15" s="94"/>
      <c r="R15" s="1655"/>
      <c r="S15" s="1655"/>
      <c r="T15" s="94"/>
      <c r="U15" s="94"/>
      <c r="V15" s="94"/>
      <c r="W15" s="94"/>
      <c r="X15" s="94"/>
      <c r="Y15" s="94"/>
      <c r="Z15" s="94"/>
      <c r="AA15" s="1654"/>
      <c r="AB15" s="94"/>
      <c r="AC15" s="94"/>
      <c r="AD15" s="94"/>
      <c r="AE15" s="94"/>
      <c r="AF15" s="94"/>
      <c r="AG15" s="94"/>
      <c r="AH15" s="94"/>
      <c r="AI15" s="1655"/>
      <c r="AJ15" s="1654"/>
      <c r="AK15" s="94"/>
      <c r="AL15" s="59"/>
      <c r="AM15" s="59"/>
      <c r="AN15" s="59"/>
      <c r="AO15" s="59"/>
      <c r="AP15" s="59"/>
      <c r="AQ15" s="59"/>
      <c r="AR15" s="59"/>
      <c r="AS15" s="59"/>
      <c r="AT15" s="59"/>
      <c r="AU15" s="59"/>
      <c r="AV15" s="59"/>
      <c r="AW15" s="59"/>
      <c r="AX15" s="59"/>
      <c r="AY15" s="59"/>
      <c r="AZ15" s="59"/>
      <c r="BA15" s="59" t="s">
        <v>554</v>
      </c>
      <c r="BB15" s="59" t="s">
        <v>554</v>
      </c>
      <c r="BC15" s="59"/>
      <c r="BD15" s="59"/>
      <c r="BE15" s="59"/>
      <c r="BF15" s="59"/>
      <c r="BG15" s="59"/>
      <c r="BH15" s="59"/>
      <c r="BI15" s="59"/>
    </row>
    <row r="16" spans="1:61" ht="30">
      <c r="A16" s="76"/>
      <c r="B16" s="76" t="s">
        <v>152</v>
      </c>
      <c r="C16" s="63" t="s">
        <v>268</v>
      </c>
      <c r="D16" s="37" t="s">
        <v>368</v>
      </c>
      <c r="E16" s="72" t="s">
        <v>356</v>
      </c>
      <c r="F16" s="1754"/>
      <c r="G16" s="1635">
        <v>204</v>
      </c>
      <c r="H16" s="1658"/>
      <c r="I16" s="1658"/>
      <c r="J16" s="94"/>
      <c r="K16" s="94"/>
      <c r="L16" s="94"/>
      <c r="M16" s="94"/>
      <c r="N16" s="1655"/>
      <c r="O16" s="1655"/>
      <c r="P16" s="1655"/>
      <c r="Q16" s="94"/>
      <c r="R16" s="94"/>
      <c r="S16" s="94"/>
      <c r="T16" s="94"/>
      <c r="U16" s="94"/>
      <c r="V16" s="94"/>
      <c r="W16" s="94"/>
      <c r="X16" s="94"/>
      <c r="Y16" s="94"/>
      <c r="Z16" s="94"/>
      <c r="AA16" s="94"/>
      <c r="AB16" s="94"/>
      <c r="AC16" s="94"/>
      <c r="AD16" s="94"/>
      <c r="AE16" s="94"/>
      <c r="AF16" s="94"/>
      <c r="AG16" s="94"/>
      <c r="AH16" s="94"/>
      <c r="AI16" s="94"/>
      <c r="AJ16" s="94"/>
      <c r="AK16" s="1655"/>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row>
    <row r="17" spans="1:61" ht="28.5" customHeight="1">
      <c r="A17" s="76"/>
      <c r="B17" s="76" t="s">
        <v>154</v>
      </c>
      <c r="C17" s="63" t="s">
        <v>392</v>
      </c>
      <c r="D17" s="37" t="s">
        <v>368</v>
      </c>
      <c r="E17" s="72" t="s">
        <v>356</v>
      </c>
      <c r="F17" s="1754"/>
      <c r="G17" s="1635">
        <v>255</v>
      </c>
      <c r="H17" s="1658"/>
      <c r="I17" s="1658"/>
      <c r="J17" s="94"/>
      <c r="K17" s="94"/>
      <c r="L17" s="94"/>
      <c r="M17" s="94"/>
      <c r="N17" s="1655"/>
      <c r="O17" s="94"/>
      <c r="P17" s="94"/>
      <c r="Q17" s="94"/>
      <c r="R17" s="94"/>
      <c r="S17" s="94"/>
      <c r="T17" s="94"/>
      <c r="U17" s="94"/>
      <c r="V17" s="94"/>
      <c r="W17" s="94"/>
      <c r="X17" s="94"/>
      <c r="Y17" s="94"/>
      <c r="Z17" s="94"/>
      <c r="AA17" s="94"/>
      <c r="AB17" s="94"/>
      <c r="AC17" s="94"/>
      <c r="AD17" s="94"/>
      <c r="AE17" s="94"/>
      <c r="AF17" s="94"/>
      <c r="AG17" s="94"/>
      <c r="AH17" s="94"/>
      <c r="AI17" s="94"/>
      <c r="AJ17" s="94"/>
      <c r="AK17" s="1655"/>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row>
    <row r="18" spans="1:61" ht="30">
      <c r="A18" s="76"/>
      <c r="B18" s="76" t="s">
        <v>400</v>
      </c>
      <c r="C18" s="63" t="s">
        <v>393</v>
      </c>
      <c r="D18" s="37" t="s">
        <v>368</v>
      </c>
      <c r="E18" s="72" t="s">
        <v>356</v>
      </c>
      <c r="F18" s="1754"/>
      <c r="G18" s="1635">
        <v>324</v>
      </c>
      <c r="H18" s="1658"/>
      <c r="I18" s="1658"/>
      <c r="J18" s="94"/>
      <c r="K18" s="94"/>
      <c r="L18" s="94"/>
      <c r="M18" s="94"/>
      <c r="N18" s="1655"/>
      <c r="O18" s="94"/>
      <c r="P18" s="94"/>
      <c r="Q18" s="94"/>
      <c r="R18" s="94"/>
      <c r="S18" s="94"/>
      <c r="T18" s="94"/>
      <c r="U18" s="94"/>
      <c r="V18" s="94"/>
      <c r="W18" s="94"/>
      <c r="X18" s="94"/>
      <c r="Y18" s="94"/>
      <c r="Z18" s="94"/>
      <c r="AA18" s="94"/>
      <c r="AB18" s="94"/>
      <c r="AC18" s="94"/>
      <c r="AD18" s="94"/>
      <c r="AE18" s="94"/>
      <c r="AF18" s="94"/>
      <c r="AG18" s="94"/>
      <c r="AH18" s="94"/>
      <c r="AI18" s="94"/>
      <c r="AJ18" s="94"/>
      <c r="AK18" s="1655"/>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row>
    <row r="19" spans="1:61" ht="30" customHeight="1">
      <c r="A19" s="76"/>
      <c r="B19" s="76" t="s">
        <v>155</v>
      </c>
      <c r="C19" s="63" t="s">
        <v>266</v>
      </c>
      <c r="D19" s="37" t="s">
        <v>368</v>
      </c>
      <c r="E19" s="72" t="s">
        <v>356</v>
      </c>
      <c r="F19" s="1754"/>
      <c r="G19" s="1635">
        <v>220</v>
      </c>
      <c r="H19" s="1656"/>
      <c r="I19" s="1656"/>
      <c r="J19" s="94"/>
      <c r="K19" s="94"/>
      <c r="L19" s="94"/>
      <c r="M19" s="94"/>
      <c r="N19" s="1655"/>
      <c r="O19" s="94" t="s">
        <v>554</v>
      </c>
      <c r="P19" s="94"/>
      <c r="Q19" s="94"/>
      <c r="R19" s="94"/>
      <c r="S19" s="94"/>
      <c r="T19" s="94"/>
      <c r="U19" s="94"/>
      <c r="V19" s="94"/>
      <c r="W19" s="94"/>
      <c r="X19" s="94"/>
      <c r="Y19" s="94"/>
      <c r="Z19" s="94"/>
      <c r="AA19" s="94"/>
      <c r="AB19" s="94"/>
      <c r="AC19" s="94"/>
      <c r="AD19" s="94"/>
      <c r="AE19" s="94"/>
      <c r="AF19" s="94"/>
      <c r="AG19" s="94"/>
      <c r="AH19" s="94" t="s">
        <v>554</v>
      </c>
      <c r="AI19" s="94"/>
      <c r="AJ19" s="94"/>
      <c r="AK19" s="1655"/>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row>
    <row r="20" spans="1:61" ht="30">
      <c r="A20" s="76"/>
      <c r="B20" s="76" t="s">
        <v>156</v>
      </c>
      <c r="C20" s="63" t="s">
        <v>394</v>
      </c>
      <c r="D20" s="37" t="s">
        <v>368</v>
      </c>
      <c r="E20" s="72" t="s">
        <v>356</v>
      </c>
      <c r="F20" s="1754"/>
      <c r="G20" s="1635">
        <v>284</v>
      </c>
      <c r="H20" s="1656"/>
      <c r="I20" s="1656"/>
      <c r="J20" s="94"/>
      <c r="K20" s="94"/>
      <c r="L20" s="94"/>
      <c r="M20" s="94"/>
      <c r="N20" s="1655"/>
      <c r="O20" s="94" t="s">
        <v>554</v>
      </c>
      <c r="P20" s="94"/>
      <c r="Q20" s="94"/>
      <c r="R20" s="94"/>
      <c r="S20" s="94"/>
      <c r="T20" s="94"/>
      <c r="U20" s="94"/>
      <c r="V20" s="94"/>
      <c r="W20" s="94"/>
      <c r="X20" s="94"/>
      <c r="Y20" s="94"/>
      <c r="Z20" s="94"/>
      <c r="AA20" s="94"/>
      <c r="AB20" s="94"/>
      <c r="AC20" s="94"/>
      <c r="AD20" s="94"/>
      <c r="AE20" s="94"/>
      <c r="AF20" s="94"/>
      <c r="AG20" s="94"/>
      <c r="AH20" s="94" t="s">
        <v>554</v>
      </c>
      <c r="AI20" s="94"/>
      <c r="AJ20" s="94"/>
      <c r="AK20" s="1655"/>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row>
    <row r="21" spans="1:61" ht="30">
      <c r="A21" s="76"/>
      <c r="B21" s="76" t="s">
        <v>399</v>
      </c>
      <c r="C21" s="63" t="s">
        <v>395</v>
      </c>
      <c r="D21" s="37" t="s">
        <v>368</v>
      </c>
      <c r="E21" s="72" t="s">
        <v>356</v>
      </c>
      <c r="F21" s="1753"/>
      <c r="G21" s="1635">
        <v>347</v>
      </c>
      <c r="H21" s="1656"/>
      <c r="I21" s="1656"/>
      <c r="J21" s="94"/>
      <c r="K21" s="94"/>
      <c r="L21" s="94"/>
      <c r="M21" s="94"/>
      <c r="N21" s="1655"/>
      <c r="O21" s="94" t="s">
        <v>554</v>
      </c>
      <c r="P21" s="94"/>
      <c r="Q21" s="94"/>
      <c r="R21" s="94"/>
      <c r="S21" s="94"/>
      <c r="T21" s="94"/>
      <c r="U21" s="94"/>
      <c r="V21" s="94"/>
      <c r="W21" s="94"/>
      <c r="X21" s="94"/>
      <c r="Y21" s="94"/>
      <c r="Z21" s="94"/>
      <c r="AA21" s="94"/>
      <c r="AB21" s="94"/>
      <c r="AC21" s="94"/>
      <c r="AD21" s="94"/>
      <c r="AE21" s="94"/>
      <c r="AF21" s="94"/>
      <c r="AG21" s="94"/>
      <c r="AH21" s="1655" t="s">
        <v>554</v>
      </c>
      <c r="AI21" s="94"/>
      <c r="AJ21" s="94"/>
      <c r="AK21" s="1655"/>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row>
    <row r="22" spans="1:61" ht="30">
      <c r="A22" s="76"/>
      <c r="B22" s="76" t="s">
        <v>365</v>
      </c>
      <c r="C22" s="63" t="s">
        <v>252</v>
      </c>
      <c r="D22" s="37" t="s">
        <v>366</v>
      </c>
      <c r="E22" s="73" t="s">
        <v>356</v>
      </c>
      <c r="F22" s="1752" t="s">
        <v>382</v>
      </c>
      <c r="G22" s="1635">
        <v>317</v>
      </c>
      <c r="H22" s="1659"/>
      <c r="I22" s="1659"/>
      <c r="J22" s="94"/>
      <c r="K22" s="94"/>
      <c r="L22" s="94"/>
      <c r="M22" s="94"/>
      <c r="N22" s="1655"/>
      <c r="O22" s="94"/>
      <c r="P22" s="94"/>
      <c r="Q22" s="94"/>
      <c r="R22" s="94"/>
      <c r="S22" s="94"/>
      <c r="T22" s="94"/>
      <c r="U22" s="94"/>
      <c r="V22" s="94"/>
      <c r="W22" s="94"/>
      <c r="X22" s="94"/>
      <c r="Y22" s="94"/>
      <c r="Z22" s="94"/>
      <c r="AA22" s="94"/>
      <c r="AB22" s="94"/>
      <c r="AC22" s="94"/>
      <c r="AD22" s="94"/>
      <c r="AE22" s="94"/>
      <c r="AF22" s="94"/>
      <c r="AG22" s="94"/>
      <c r="AH22" s="1655"/>
      <c r="AI22" s="94"/>
      <c r="AJ22" s="94"/>
      <c r="AK22" s="94"/>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row>
    <row r="23" spans="1:61" ht="30">
      <c r="A23" s="78"/>
      <c r="B23" s="76" t="s">
        <v>157</v>
      </c>
      <c r="C23" s="63" t="s">
        <v>264</v>
      </c>
      <c r="D23" s="37" t="s">
        <v>367</v>
      </c>
      <c r="E23" s="73" t="s">
        <v>356</v>
      </c>
      <c r="F23" s="1753"/>
      <c r="G23" s="1635">
        <v>527</v>
      </c>
      <c r="H23" s="1658"/>
      <c r="I23" s="1654" t="s">
        <v>554</v>
      </c>
      <c r="J23" s="94"/>
      <c r="K23" s="94"/>
      <c r="L23" s="94"/>
      <c r="M23" s="94" t="s">
        <v>554</v>
      </c>
      <c r="N23" s="1655" t="s">
        <v>554</v>
      </c>
      <c r="O23" s="94"/>
      <c r="P23" s="94"/>
      <c r="Q23" s="94"/>
      <c r="R23" s="94"/>
      <c r="S23" s="94"/>
      <c r="T23" s="94"/>
      <c r="U23" s="94"/>
      <c r="V23" s="94"/>
      <c r="W23" s="94"/>
      <c r="X23" s="94"/>
      <c r="Y23" s="94"/>
      <c r="Z23" s="94"/>
      <c r="AA23" s="94"/>
      <c r="AB23" s="94"/>
      <c r="AC23" s="94"/>
      <c r="AD23" s="94" t="s">
        <v>554</v>
      </c>
      <c r="AE23" s="94" t="s">
        <v>554</v>
      </c>
      <c r="AF23" s="94"/>
      <c r="AG23" s="94"/>
      <c r="AH23" s="94"/>
      <c r="AI23" s="94"/>
      <c r="AJ23" s="94" t="s">
        <v>554</v>
      </c>
      <c r="AK23" s="1655"/>
      <c r="AL23" s="59"/>
      <c r="AM23" s="59"/>
      <c r="AN23" s="59"/>
      <c r="AO23" s="59"/>
      <c r="AP23" s="59"/>
      <c r="AQ23" s="59"/>
      <c r="AR23" s="59"/>
      <c r="AS23" s="59"/>
      <c r="AT23" s="59"/>
      <c r="AU23" s="59"/>
      <c r="AV23" s="59"/>
      <c r="AW23" s="59"/>
      <c r="AX23" s="59"/>
      <c r="AY23" s="59"/>
      <c r="AZ23" s="59" t="s">
        <v>554</v>
      </c>
      <c r="BA23" s="59"/>
      <c r="BB23" s="59"/>
      <c r="BC23" s="59"/>
      <c r="BD23" s="59"/>
      <c r="BE23" s="59"/>
      <c r="BF23" s="59"/>
      <c r="BG23" s="59"/>
      <c r="BH23" s="59"/>
      <c r="BI23" s="59"/>
    </row>
    <row r="24" spans="1:61">
      <c r="A24" s="78"/>
      <c r="B24" s="78" t="s">
        <v>43</v>
      </c>
      <c r="C24" s="64" t="s">
        <v>256</v>
      </c>
      <c r="D24" s="37" t="s">
        <v>368</v>
      </c>
      <c r="E24" s="73" t="s">
        <v>356</v>
      </c>
      <c r="F24" s="1752" t="s">
        <v>383</v>
      </c>
      <c r="G24" s="1637">
        <v>104</v>
      </c>
      <c r="H24" s="1658"/>
      <c r="I24" s="1658"/>
      <c r="J24" s="1654"/>
      <c r="K24" s="1654"/>
      <c r="L24" s="94"/>
      <c r="M24" s="94"/>
      <c r="N24" s="1655"/>
      <c r="O24" s="1655" t="s">
        <v>554</v>
      </c>
      <c r="P24" s="1655"/>
      <c r="Q24" s="1655"/>
      <c r="R24" s="94"/>
      <c r="S24" s="94"/>
      <c r="T24" s="94"/>
      <c r="U24" s="1655"/>
      <c r="V24" s="94" t="s">
        <v>554</v>
      </c>
      <c r="W24" s="94"/>
      <c r="X24" s="94" t="s">
        <v>554</v>
      </c>
      <c r="Y24" s="94"/>
      <c r="Z24" s="1655"/>
      <c r="AA24" s="94"/>
      <c r="AB24" s="94"/>
      <c r="AC24" s="94"/>
      <c r="AD24" s="94"/>
      <c r="AE24" s="94"/>
      <c r="AF24" s="94"/>
      <c r="AG24" s="94"/>
      <c r="AH24" s="1655" t="s">
        <v>554</v>
      </c>
      <c r="AI24" s="94"/>
      <c r="AJ24" s="94"/>
      <c r="AK24" s="94"/>
      <c r="AL24" s="59"/>
      <c r="AM24" s="59"/>
      <c r="AN24" s="59"/>
      <c r="AO24" s="59"/>
      <c r="AP24" s="59"/>
      <c r="AQ24" s="59"/>
      <c r="AR24" s="59"/>
      <c r="AS24" s="59"/>
      <c r="AT24" s="59" t="s">
        <v>554</v>
      </c>
      <c r="AU24" s="59"/>
      <c r="AV24" s="59"/>
      <c r="AW24" s="59"/>
      <c r="AX24" s="59"/>
      <c r="AY24" s="59"/>
      <c r="AZ24" s="59"/>
      <c r="BA24" s="59"/>
      <c r="BB24" s="59"/>
      <c r="BC24" s="59"/>
      <c r="BD24" s="59"/>
      <c r="BE24" s="59"/>
      <c r="BF24" s="59"/>
      <c r="BG24" s="59"/>
      <c r="BH24" s="59"/>
      <c r="BI24" s="59"/>
    </row>
    <row r="25" spans="1:61" ht="30" customHeight="1">
      <c r="A25" s="79"/>
      <c r="B25" s="78" t="s">
        <v>60</v>
      </c>
      <c r="C25" s="64" t="s">
        <v>257</v>
      </c>
      <c r="D25" s="37" t="s">
        <v>368</v>
      </c>
      <c r="E25" s="73" t="s">
        <v>356</v>
      </c>
      <c r="F25" s="1753"/>
      <c r="G25" s="1637">
        <v>158</v>
      </c>
      <c r="H25" s="1658"/>
      <c r="I25" s="1658"/>
      <c r="J25" s="94"/>
      <c r="K25" s="94"/>
      <c r="L25" s="94"/>
      <c r="M25" s="94"/>
      <c r="N25" s="1655"/>
      <c r="O25" s="1655" t="s">
        <v>554</v>
      </c>
      <c r="P25" s="1655"/>
      <c r="Q25" s="1655"/>
      <c r="R25" s="94"/>
      <c r="S25" s="94"/>
      <c r="T25" s="94"/>
      <c r="U25" s="94"/>
      <c r="V25" s="94" t="s">
        <v>554</v>
      </c>
      <c r="W25" s="94"/>
      <c r="X25" s="94" t="s">
        <v>554</v>
      </c>
      <c r="Y25" s="94"/>
      <c r="Z25" s="1655"/>
      <c r="AA25" s="94"/>
      <c r="AB25" s="94"/>
      <c r="AC25" s="94"/>
      <c r="AD25" s="94"/>
      <c r="AE25" s="94"/>
      <c r="AF25" s="94"/>
      <c r="AG25" s="94"/>
      <c r="AH25" s="94" t="s">
        <v>554</v>
      </c>
      <c r="AI25" s="94"/>
      <c r="AJ25" s="94"/>
      <c r="AK25" s="94"/>
      <c r="AL25" s="59"/>
      <c r="AM25" s="59"/>
      <c r="AN25" s="59"/>
      <c r="AO25" s="59"/>
      <c r="AP25" s="59"/>
      <c r="AQ25" s="59"/>
      <c r="AR25" s="59"/>
      <c r="AS25" s="59"/>
      <c r="AT25" s="59" t="s">
        <v>554</v>
      </c>
      <c r="AU25" s="59"/>
      <c r="AV25" s="59"/>
      <c r="AW25" s="59"/>
      <c r="AX25" s="59"/>
      <c r="AY25" s="59"/>
      <c r="AZ25" s="59"/>
      <c r="BA25" s="59"/>
      <c r="BB25" s="59"/>
      <c r="BC25" s="59"/>
      <c r="BD25" s="59"/>
      <c r="BE25" s="59"/>
      <c r="BF25" s="59"/>
      <c r="BG25" s="59"/>
      <c r="BH25" s="59"/>
      <c r="BI25" s="59"/>
    </row>
    <row r="26" spans="1:61" ht="30.75" customHeight="1">
      <c r="A26" s="79"/>
      <c r="B26" s="79" t="s">
        <v>30</v>
      </c>
      <c r="C26" s="65" t="s">
        <v>170</v>
      </c>
      <c r="D26" s="71" t="s">
        <v>369</v>
      </c>
      <c r="E26" s="73" t="s">
        <v>356</v>
      </c>
      <c r="F26" s="1752" t="s">
        <v>384</v>
      </c>
      <c r="G26" s="1637">
        <v>121</v>
      </c>
      <c r="H26" s="1657" t="s">
        <v>554</v>
      </c>
      <c r="I26" s="1656"/>
      <c r="J26" s="1654" t="s">
        <v>554</v>
      </c>
      <c r="K26" s="1654" t="s">
        <v>554</v>
      </c>
      <c r="L26" s="1654"/>
      <c r="M26" s="1654" t="s">
        <v>554</v>
      </c>
      <c r="N26" s="1654" t="s">
        <v>554</v>
      </c>
      <c r="O26" s="1655" t="s">
        <v>554</v>
      </c>
      <c r="P26" s="1655" t="s">
        <v>554</v>
      </c>
      <c r="Q26" s="1655"/>
      <c r="R26" s="1655"/>
      <c r="S26" s="1655"/>
      <c r="T26" s="1655" t="s">
        <v>554</v>
      </c>
      <c r="U26" s="1655"/>
      <c r="V26" s="1655"/>
      <c r="W26" s="1655"/>
      <c r="X26" s="1655"/>
      <c r="Y26" s="1655"/>
      <c r="Z26" s="1655"/>
      <c r="AA26" s="1657" t="s">
        <v>554</v>
      </c>
      <c r="AB26" s="94"/>
      <c r="AC26" s="1655"/>
      <c r="AD26" s="1655" t="s">
        <v>554</v>
      </c>
      <c r="AE26" s="1655" t="s">
        <v>554</v>
      </c>
      <c r="AF26" s="1657" t="s">
        <v>554</v>
      </c>
      <c r="AG26" s="1657" t="s">
        <v>554</v>
      </c>
      <c r="AH26" s="1655" t="s">
        <v>554</v>
      </c>
      <c r="AI26" s="94"/>
      <c r="AJ26" s="94"/>
      <c r="AK26" s="94"/>
      <c r="AL26" s="1657" t="s">
        <v>554</v>
      </c>
      <c r="AM26" s="59"/>
      <c r="AN26" s="59"/>
      <c r="AO26" s="59"/>
      <c r="AP26" s="59"/>
      <c r="AQ26" s="59" t="s">
        <v>554</v>
      </c>
      <c r="AR26" s="59"/>
      <c r="AS26" s="59"/>
      <c r="AT26" s="59" t="s">
        <v>554</v>
      </c>
      <c r="AU26" s="59"/>
      <c r="AV26" s="59" t="s">
        <v>554</v>
      </c>
      <c r="AW26" s="59" t="s">
        <v>554</v>
      </c>
      <c r="AX26" s="59" t="s">
        <v>554</v>
      </c>
      <c r="AY26" s="59"/>
      <c r="AZ26" s="59"/>
      <c r="BA26" s="59" t="s">
        <v>554</v>
      </c>
      <c r="BB26" s="59"/>
      <c r="BC26" s="59"/>
      <c r="BD26" s="59" t="s">
        <v>554</v>
      </c>
      <c r="BE26" s="59" t="s">
        <v>554</v>
      </c>
      <c r="BF26" s="59" t="s">
        <v>554</v>
      </c>
      <c r="BG26" s="59"/>
      <c r="BH26" s="59"/>
      <c r="BI26" s="59"/>
    </row>
    <row r="27" spans="1:61" ht="30" customHeight="1" thickBot="1">
      <c r="A27" s="79"/>
      <c r="B27" s="79" t="s">
        <v>31</v>
      </c>
      <c r="C27" s="65" t="s">
        <v>169</v>
      </c>
      <c r="D27" s="71" t="s">
        <v>369</v>
      </c>
      <c r="E27" s="73" t="s">
        <v>356</v>
      </c>
      <c r="F27" s="1754"/>
      <c r="G27" s="1637">
        <v>177</v>
      </c>
      <c r="H27" s="1654" t="s">
        <v>554</v>
      </c>
      <c r="I27" s="1654" t="s">
        <v>554</v>
      </c>
      <c r="J27" s="1654" t="s">
        <v>554</v>
      </c>
      <c r="K27" s="1654" t="s">
        <v>554</v>
      </c>
      <c r="L27" s="1654" t="s">
        <v>554</v>
      </c>
      <c r="M27" s="1654" t="s">
        <v>554</v>
      </c>
      <c r="N27" s="1654" t="s">
        <v>554</v>
      </c>
      <c r="O27" s="1655" t="s">
        <v>554</v>
      </c>
      <c r="P27" s="1655" t="s">
        <v>554</v>
      </c>
      <c r="Q27" s="1655"/>
      <c r="R27" s="1655" t="s">
        <v>554</v>
      </c>
      <c r="S27" s="1655" t="s">
        <v>554</v>
      </c>
      <c r="T27" s="1655" t="s">
        <v>554</v>
      </c>
      <c r="U27" s="1655" t="s">
        <v>554</v>
      </c>
      <c r="V27" s="1655" t="s">
        <v>554</v>
      </c>
      <c r="W27" s="1655" t="s">
        <v>554</v>
      </c>
      <c r="X27" s="1655" t="s">
        <v>554</v>
      </c>
      <c r="Y27" s="1655" t="s">
        <v>554</v>
      </c>
      <c r="Z27" s="1655"/>
      <c r="AA27" s="1654" t="s">
        <v>554</v>
      </c>
      <c r="AB27" s="94"/>
      <c r="AC27" s="1655" t="s">
        <v>554</v>
      </c>
      <c r="AD27" s="1655" t="s">
        <v>554</v>
      </c>
      <c r="AE27" s="1655" t="s">
        <v>554</v>
      </c>
      <c r="AF27" s="1654" t="s">
        <v>554</v>
      </c>
      <c r="AG27" s="1654" t="s">
        <v>554</v>
      </c>
      <c r="AH27" s="1655" t="s">
        <v>554</v>
      </c>
      <c r="AI27" s="94"/>
      <c r="AJ27" s="94"/>
      <c r="AK27" s="94"/>
      <c r="AL27" s="1657" t="s">
        <v>554</v>
      </c>
      <c r="AM27" s="59"/>
      <c r="AN27" s="59"/>
      <c r="AO27" s="59"/>
      <c r="AP27" s="59"/>
      <c r="AQ27" s="59" t="s">
        <v>554</v>
      </c>
      <c r="AR27" s="59" t="s">
        <v>554</v>
      </c>
      <c r="AS27" s="59" t="s">
        <v>554</v>
      </c>
      <c r="AT27" s="59" t="s">
        <v>554</v>
      </c>
      <c r="AU27" s="59"/>
      <c r="AV27" s="59" t="s">
        <v>554</v>
      </c>
      <c r="AW27" s="59" t="s">
        <v>554</v>
      </c>
      <c r="AX27" s="59" t="s">
        <v>554</v>
      </c>
      <c r="AY27" s="59" t="s">
        <v>554</v>
      </c>
      <c r="AZ27" s="59" t="s">
        <v>554</v>
      </c>
      <c r="BA27" s="59" t="s">
        <v>554</v>
      </c>
      <c r="BB27" s="59" t="s">
        <v>554</v>
      </c>
      <c r="BC27" s="59"/>
      <c r="BD27" s="59" t="s">
        <v>554</v>
      </c>
      <c r="BE27" s="59" t="s">
        <v>554</v>
      </c>
      <c r="BF27" s="59" t="s">
        <v>554</v>
      </c>
      <c r="BG27" s="59" t="s">
        <v>554</v>
      </c>
      <c r="BH27" s="59"/>
      <c r="BI27" s="59"/>
    </row>
    <row r="28" spans="1:61" ht="30.75" thickBot="1">
      <c r="A28" s="80"/>
      <c r="B28" s="79" t="s">
        <v>32</v>
      </c>
      <c r="C28" s="65" t="s">
        <v>250</v>
      </c>
      <c r="D28" s="71" t="s">
        <v>369</v>
      </c>
      <c r="E28" s="84" t="s">
        <v>356</v>
      </c>
      <c r="F28" s="1753"/>
      <c r="G28" s="1637">
        <v>233</v>
      </c>
      <c r="H28" s="1654"/>
      <c r="I28" s="1654" t="s">
        <v>554</v>
      </c>
      <c r="J28" s="94"/>
      <c r="K28" s="94"/>
      <c r="L28" s="1654" t="s">
        <v>554</v>
      </c>
      <c r="M28" s="1654"/>
      <c r="N28" s="1655"/>
      <c r="O28" s="94"/>
      <c r="P28" s="94" t="s">
        <v>554</v>
      </c>
      <c r="Q28" s="1655"/>
      <c r="R28" s="1655" t="s">
        <v>554</v>
      </c>
      <c r="S28" s="1655" t="s">
        <v>554</v>
      </c>
      <c r="T28" s="1655" t="s">
        <v>554</v>
      </c>
      <c r="U28" s="1655" t="s">
        <v>554</v>
      </c>
      <c r="V28" s="1655" t="s">
        <v>554</v>
      </c>
      <c r="W28" s="1655" t="s">
        <v>554</v>
      </c>
      <c r="X28" s="1655" t="s">
        <v>554</v>
      </c>
      <c r="Y28" s="1655" t="s">
        <v>554</v>
      </c>
      <c r="Z28" s="94"/>
      <c r="AA28" s="1654" t="s">
        <v>554</v>
      </c>
      <c r="AB28" s="94"/>
      <c r="AC28" s="1655" t="s">
        <v>554</v>
      </c>
      <c r="AD28" s="1655" t="s">
        <v>554</v>
      </c>
      <c r="AE28" s="1655" t="s">
        <v>554</v>
      </c>
      <c r="AF28" s="1654" t="s">
        <v>554</v>
      </c>
      <c r="AG28" s="1654" t="s">
        <v>554</v>
      </c>
      <c r="AH28" s="1655" t="s">
        <v>554</v>
      </c>
      <c r="AI28" s="94"/>
      <c r="AJ28" s="94"/>
      <c r="AK28" s="94"/>
      <c r="AL28" s="1657" t="s">
        <v>554</v>
      </c>
      <c r="AM28" s="59"/>
      <c r="AN28" s="59"/>
      <c r="AO28" s="59"/>
      <c r="AP28" s="59"/>
      <c r="AQ28" s="59" t="s">
        <v>554</v>
      </c>
      <c r="AR28" s="59" t="s">
        <v>554</v>
      </c>
      <c r="AS28" s="59" t="s">
        <v>554</v>
      </c>
      <c r="AT28" s="59" t="s">
        <v>554</v>
      </c>
      <c r="AU28" s="59"/>
      <c r="AV28" s="59" t="s">
        <v>554</v>
      </c>
      <c r="AW28" s="59" t="s">
        <v>554</v>
      </c>
      <c r="AX28" s="59" t="s">
        <v>554</v>
      </c>
      <c r="AY28" s="59" t="s">
        <v>554</v>
      </c>
      <c r="AZ28" s="59" t="s">
        <v>554</v>
      </c>
      <c r="BA28" s="59" t="s">
        <v>554</v>
      </c>
      <c r="BB28" s="59" t="s">
        <v>554</v>
      </c>
      <c r="BC28" s="59"/>
      <c r="BD28" s="59"/>
      <c r="BE28" s="59" t="s">
        <v>554</v>
      </c>
      <c r="BF28" s="59" t="s">
        <v>554</v>
      </c>
      <c r="BG28" s="59" t="s">
        <v>554</v>
      </c>
      <c r="BH28" s="59"/>
      <c r="BI28" s="59"/>
    </row>
    <row r="29" spans="1:61" ht="61.5" customHeight="1" thickBot="1">
      <c r="A29" s="80"/>
      <c r="B29" s="80" t="s">
        <v>134</v>
      </c>
      <c r="C29" s="86" t="s">
        <v>269</v>
      </c>
      <c r="D29" s="71" t="s">
        <v>377</v>
      </c>
      <c r="E29" s="84" t="s">
        <v>370</v>
      </c>
      <c r="F29" s="1627" t="s">
        <v>385</v>
      </c>
      <c r="G29" s="1637">
        <v>132</v>
      </c>
      <c r="H29" s="1656"/>
      <c r="I29" s="1656"/>
      <c r="J29" s="94"/>
      <c r="K29" s="94"/>
      <c r="L29" s="94"/>
      <c r="M29" s="94"/>
      <c r="N29" s="1655"/>
      <c r="O29" s="94"/>
      <c r="P29" s="94"/>
      <c r="Q29" s="94"/>
      <c r="R29" s="94"/>
      <c r="S29" s="94"/>
      <c r="T29" s="94"/>
      <c r="U29" s="94"/>
      <c r="V29" s="94"/>
      <c r="W29" s="94"/>
      <c r="X29" s="94"/>
      <c r="Y29" s="94"/>
      <c r="Z29" s="94"/>
      <c r="AA29" s="94"/>
      <c r="AB29" s="1655"/>
      <c r="AC29" s="94"/>
      <c r="AD29" s="94"/>
      <c r="AE29" s="94"/>
      <c r="AF29" s="94"/>
      <c r="AG29" s="94"/>
      <c r="AH29" s="94"/>
      <c r="AI29" s="94"/>
      <c r="AJ29" s="94"/>
      <c r="AK29" s="94"/>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row>
    <row r="30" spans="1:61" ht="30" customHeight="1" thickBot="1">
      <c r="A30" s="80"/>
      <c r="B30" s="80" t="s">
        <v>144</v>
      </c>
      <c r="C30" s="86" t="s">
        <v>253</v>
      </c>
      <c r="D30" s="71" t="s">
        <v>372</v>
      </c>
      <c r="E30" s="84" t="s">
        <v>370</v>
      </c>
      <c r="F30" s="1752" t="s">
        <v>386</v>
      </c>
      <c r="G30" s="1637">
        <v>150</v>
      </c>
      <c r="H30" s="1656"/>
      <c r="I30" s="1656"/>
      <c r="J30" s="1654" t="s">
        <v>554</v>
      </c>
      <c r="K30" s="1654" t="s">
        <v>554</v>
      </c>
      <c r="L30" s="94"/>
      <c r="M30" s="94" t="s">
        <v>554</v>
      </c>
      <c r="N30" s="1654" t="s">
        <v>554</v>
      </c>
      <c r="O30" s="94"/>
      <c r="P30" s="94"/>
      <c r="Q30" s="94"/>
      <c r="R30" s="94"/>
      <c r="S30" s="94"/>
      <c r="T30" s="94"/>
      <c r="U30" s="94"/>
      <c r="V30" s="1657" t="s">
        <v>554</v>
      </c>
      <c r="W30" s="94" t="s">
        <v>554</v>
      </c>
      <c r="X30" s="94"/>
      <c r="Y30" s="1655" t="s">
        <v>554</v>
      </c>
      <c r="Z30" s="1655" t="s">
        <v>554</v>
      </c>
      <c r="AA30" s="94"/>
      <c r="AB30" s="1655" t="s">
        <v>554</v>
      </c>
      <c r="AC30" s="1655" t="s">
        <v>554</v>
      </c>
      <c r="AD30" s="1655" t="s">
        <v>554</v>
      </c>
      <c r="AE30" s="1655" t="s">
        <v>554</v>
      </c>
      <c r="AF30" s="94"/>
      <c r="AG30" s="94" t="s">
        <v>554</v>
      </c>
      <c r="AH30" s="94"/>
      <c r="AI30" s="94" t="s">
        <v>554</v>
      </c>
      <c r="AJ30" s="94"/>
      <c r="AK30" s="94"/>
      <c r="AL30" s="1657" t="s">
        <v>554</v>
      </c>
      <c r="AM30" s="1656"/>
      <c r="AN30" s="59"/>
      <c r="AO30" s="59"/>
      <c r="AP30" s="59"/>
      <c r="AQ30" s="59"/>
      <c r="AR30" s="59"/>
      <c r="AS30" s="59"/>
      <c r="AT30" s="59"/>
      <c r="AU30" s="59" t="s">
        <v>554</v>
      </c>
      <c r="AV30" s="59"/>
      <c r="AW30" s="59" t="s">
        <v>554</v>
      </c>
      <c r="AX30" s="59" t="s">
        <v>554</v>
      </c>
      <c r="AY30" s="59" t="s">
        <v>554</v>
      </c>
      <c r="AZ30" s="59" t="s">
        <v>554</v>
      </c>
      <c r="BA30" s="59"/>
      <c r="BB30" s="59"/>
      <c r="BC30" s="59"/>
      <c r="BD30" s="59"/>
      <c r="BE30" s="59"/>
      <c r="BF30" s="59"/>
      <c r="BG30" s="59" t="s">
        <v>554</v>
      </c>
      <c r="BH30" s="59" t="s">
        <v>554</v>
      </c>
      <c r="BI30" s="59" t="s">
        <v>554</v>
      </c>
    </row>
    <row r="31" spans="1:61" ht="30" customHeight="1" thickBot="1">
      <c r="A31" s="80"/>
      <c r="B31" s="80" t="s">
        <v>145</v>
      </c>
      <c r="C31" s="86" t="s">
        <v>254</v>
      </c>
      <c r="D31" s="71" t="s">
        <v>372</v>
      </c>
      <c r="E31" s="84" t="s">
        <v>370</v>
      </c>
      <c r="F31" s="1753"/>
      <c r="G31" s="1637">
        <v>201</v>
      </c>
      <c r="H31" s="1658"/>
      <c r="I31" s="1658"/>
      <c r="J31" s="1654" t="s">
        <v>554</v>
      </c>
      <c r="K31" s="1654" t="s">
        <v>554</v>
      </c>
      <c r="L31" s="94"/>
      <c r="M31" s="94" t="s">
        <v>554</v>
      </c>
      <c r="N31" s="1654" t="s">
        <v>554</v>
      </c>
      <c r="O31" s="94"/>
      <c r="P31" s="94"/>
      <c r="Q31" s="94"/>
      <c r="R31" s="94"/>
      <c r="S31" s="94"/>
      <c r="T31" s="94"/>
      <c r="U31" s="94"/>
      <c r="V31" s="1657" t="s">
        <v>554</v>
      </c>
      <c r="W31" s="94" t="s">
        <v>554</v>
      </c>
      <c r="X31" s="94"/>
      <c r="Y31" s="1655" t="s">
        <v>554</v>
      </c>
      <c r="Z31" s="1655" t="s">
        <v>554</v>
      </c>
      <c r="AA31" s="94"/>
      <c r="AB31" s="1655" t="s">
        <v>554</v>
      </c>
      <c r="AC31" s="1655" t="s">
        <v>554</v>
      </c>
      <c r="AD31" s="1655" t="s">
        <v>554</v>
      </c>
      <c r="AE31" s="1655" t="s">
        <v>554</v>
      </c>
      <c r="AF31" s="94"/>
      <c r="AG31" s="94"/>
      <c r="AH31" s="94"/>
      <c r="AI31" s="1655" t="s">
        <v>554</v>
      </c>
      <c r="AJ31" s="94"/>
      <c r="AK31" s="94"/>
      <c r="AL31" s="1657" t="s">
        <v>554</v>
      </c>
      <c r="AM31" s="1656"/>
      <c r="AN31" s="59"/>
      <c r="AO31" s="59"/>
      <c r="AP31" s="59"/>
      <c r="AQ31" s="59"/>
      <c r="AR31" s="59"/>
      <c r="AS31" s="59"/>
      <c r="AT31" s="59"/>
      <c r="AU31" s="59" t="s">
        <v>554</v>
      </c>
      <c r="AV31" s="59"/>
      <c r="AW31" s="59"/>
      <c r="AX31" s="59"/>
      <c r="AY31" s="59" t="s">
        <v>554</v>
      </c>
      <c r="AZ31" s="59" t="s">
        <v>554</v>
      </c>
      <c r="BA31" s="59"/>
      <c r="BB31" s="59"/>
      <c r="BC31" s="59"/>
      <c r="BD31" s="59"/>
      <c r="BE31" s="59"/>
      <c r="BF31" s="59"/>
      <c r="BG31" s="59" t="s">
        <v>554</v>
      </c>
      <c r="BH31" s="59" t="s">
        <v>554</v>
      </c>
      <c r="BI31" s="59" t="s">
        <v>554</v>
      </c>
    </row>
    <row r="32" spans="1:61" ht="30.75" thickBot="1">
      <c r="A32" s="80"/>
      <c r="B32" s="80" t="s">
        <v>127</v>
      </c>
      <c r="C32" s="86" t="s">
        <v>258</v>
      </c>
      <c r="D32" s="71" t="s">
        <v>372</v>
      </c>
      <c r="E32" s="84" t="s">
        <v>370</v>
      </c>
      <c r="F32" s="1752" t="s">
        <v>387</v>
      </c>
      <c r="G32" s="1637">
        <v>51</v>
      </c>
      <c r="H32" s="1656"/>
      <c r="I32" s="1656"/>
      <c r="J32" s="94"/>
      <c r="K32" s="94"/>
      <c r="L32" s="94"/>
      <c r="M32" s="94"/>
      <c r="N32" s="1655"/>
      <c r="O32" s="94"/>
      <c r="P32" s="94"/>
      <c r="Q32" s="94"/>
      <c r="R32" s="94"/>
      <c r="S32" s="94"/>
      <c r="T32" s="94"/>
      <c r="U32" s="94"/>
      <c r="V32" s="94"/>
      <c r="W32" s="94"/>
      <c r="X32" s="94"/>
      <c r="Y32" s="94"/>
      <c r="Z32" s="94"/>
      <c r="AA32" s="94"/>
      <c r="AB32" s="94"/>
      <c r="AC32" s="94"/>
      <c r="AD32" s="94"/>
      <c r="AE32" s="94"/>
      <c r="AF32" s="94"/>
      <c r="AG32" s="94"/>
      <c r="AH32" s="94"/>
      <c r="AI32" s="94"/>
      <c r="AJ32" s="94"/>
      <c r="AK32" s="1655"/>
      <c r="AL32" s="1656"/>
      <c r="AM32" s="59"/>
      <c r="AN32" s="1655"/>
      <c r="AO32" s="1655"/>
      <c r="AP32" s="1655"/>
      <c r="AQ32" s="1655"/>
      <c r="AR32" s="1655"/>
      <c r="AS32" s="1655"/>
      <c r="AT32" s="59"/>
      <c r="AU32" s="59"/>
      <c r="AV32" s="59"/>
      <c r="AW32" s="59"/>
      <c r="AX32" s="59"/>
      <c r="AY32" s="59"/>
      <c r="AZ32" s="59"/>
      <c r="BA32" s="59"/>
      <c r="BB32" s="59"/>
      <c r="BC32" s="59"/>
      <c r="BD32" s="59"/>
      <c r="BE32" s="59"/>
      <c r="BF32" s="59"/>
      <c r="BG32" s="59"/>
      <c r="BH32" s="59"/>
      <c r="BI32" s="59"/>
    </row>
    <row r="33" spans="1:61" ht="30.75" thickBot="1">
      <c r="A33" s="80"/>
      <c r="B33" s="80" t="s">
        <v>142</v>
      </c>
      <c r="C33" s="86" t="s">
        <v>259</v>
      </c>
      <c r="D33" s="71" t="s">
        <v>372</v>
      </c>
      <c r="E33" s="84" t="s">
        <v>356</v>
      </c>
      <c r="F33" s="1754"/>
      <c r="G33" s="1637">
        <v>88</v>
      </c>
      <c r="H33" s="1654"/>
      <c r="I33" s="1654"/>
      <c r="J33" s="94"/>
      <c r="K33" s="94"/>
      <c r="L33" s="94"/>
      <c r="M33" s="94"/>
      <c r="N33" s="1655"/>
      <c r="O33" s="94"/>
      <c r="P33" s="94"/>
      <c r="Q33" s="94"/>
      <c r="R33" s="94"/>
      <c r="S33" s="94"/>
      <c r="T33" s="94"/>
      <c r="U33" s="94"/>
      <c r="V33" s="94"/>
      <c r="W33" s="94"/>
      <c r="X33" s="94"/>
      <c r="Y33" s="1655"/>
      <c r="Z33" s="94"/>
      <c r="AA33" s="94"/>
      <c r="AB33" s="94"/>
      <c r="AC33" s="1655"/>
      <c r="AD33" s="94"/>
      <c r="AE33" s="94"/>
      <c r="AF33" s="94"/>
      <c r="AG33" s="94"/>
      <c r="AH33" s="94"/>
      <c r="AI33" s="94"/>
      <c r="AJ33" s="94"/>
      <c r="AK33" s="1655"/>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row>
    <row r="34" spans="1:61" ht="45.75" thickBot="1">
      <c r="A34" s="80"/>
      <c r="B34" s="80" t="s">
        <v>128</v>
      </c>
      <c r="C34" s="86" t="s">
        <v>262</v>
      </c>
      <c r="D34" s="71" t="s">
        <v>372</v>
      </c>
      <c r="E34" s="84" t="s">
        <v>370</v>
      </c>
      <c r="F34" s="1753"/>
      <c r="G34" s="1637">
        <v>72</v>
      </c>
      <c r="H34" s="1654"/>
      <c r="I34" s="1654" t="s">
        <v>554</v>
      </c>
      <c r="J34" s="94" t="s">
        <v>554</v>
      </c>
      <c r="K34" s="94" t="s">
        <v>554</v>
      </c>
      <c r="L34" s="94"/>
      <c r="M34" s="94"/>
      <c r="N34" s="1655"/>
      <c r="O34" s="94"/>
      <c r="P34" s="94"/>
      <c r="Q34" s="94"/>
      <c r="R34" s="94" t="s">
        <v>554</v>
      </c>
      <c r="S34" s="94" t="s">
        <v>554</v>
      </c>
      <c r="T34" s="94"/>
      <c r="U34" s="94"/>
      <c r="V34" s="94"/>
      <c r="W34" s="94"/>
      <c r="X34" s="94"/>
      <c r="Y34" s="94"/>
      <c r="Z34" s="94"/>
      <c r="AA34" s="94"/>
      <c r="AB34" s="94"/>
      <c r="AC34" s="94"/>
      <c r="AD34" s="1655" t="s">
        <v>554</v>
      </c>
      <c r="AE34" s="1655" t="s">
        <v>554</v>
      </c>
      <c r="AF34" s="94" t="s">
        <v>554</v>
      </c>
      <c r="AG34" s="94" t="s">
        <v>554</v>
      </c>
      <c r="AH34" s="1655"/>
      <c r="AI34" s="94"/>
      <c r="AJ34" s="94"/>
      <c r="AK34" s="1655" t="s">
        <v>554</v>
      </c>
      <c r="AL34" s="59"/>
      <c r="AM34" s="59" t="s">
        <v>554</v>
      </c>
      <c r="AN34" s="1655" t="s">
        <v>554</v>
      </c>
      <c r="AO34" s="1655" t="s">
        <v>554</v>
      </c>
      <c r="AP34" s="1655" t="s">
        <v>554</v>
      </c>
      <c r="AQ34" s="1655" t="s">
        <v>554</v>
      </c>
      <c r="AR34" s="1655"/>
      <c r="AS34" s="1655"/>
      <c r="AT34" s="59"/>
      <c r="AU34" s="59" t="s">
        <v>554</v>
      </c>
      <c r="AV34" s="59"/>
      <c r="AW34" s="59"/>
      <c r="AX34" s="59"/>
      <c r="AY34" s="59"/>
      <c r="AZ34" s="59"/>
      <c r="BA34" s="59"/>
      <c r="BB34" s="59"/>
      <c r="BC34" s="59"/>
      <c r="BD34" s="59"/>
      <c r="BE34" s="59" t="s">
        <v>554</v>
      </c>
      <c r="BF34" s="59" t="s">
        <v>554</v>
      </c>
      <c r="BG34" s="59"/>
      <c r="BH34" s="59"/>
      <c r="BI34" s="59"/>
    </row>
    <row r="35" spans="1:61" ht="30.75" thickBot="1">
      <c r="A35" s="80"/>
      <c r="B35" s="80" t="s">
        <v>28</v>
      </c>
      <c r="C35" s="86" t="s">
        <v>237</v>
      </c>
      <c r="D35" s="71" t="s">
        <v>375</v>
      </c>
      <c r="E35" s="84" t="s">
        <v>370</v>
      </c>
      <c r="F35" s="1752" t="s">
        <v>388</v>
      </c>
      <c r="G35" s="1637">
        <v>652</v>
      </c>
      <c r="H35" s="1656"/>
      <c r="I35" s="1657" t="s">
        <v>554</v>
      </c>
      <c r="J35" s="1657" t="s">
        <v>554</v>
      </c>
      <c r="K35" s="1657"/>
      <c r="L35" s="1654"/>
      <c r="M35" s="1654"/>
      <c r="N35" s="1656"/>
      <c r="O35" s="94"/>
      <c r="P35" s="94"/>
      <c r="Q35" s="94" t="s">
        <v>554</v>
      </c>
      <c r="R35" s="94" t="s">
        <v>554</v>
      </c>
      <c r="S35" s="94" t="s">
        <v>554</v>
      </c>
      <c r="T35" s="1655"/>
      <c r="U35" s="1655" t="s">
        <v>554</v>
      </c>
      <c r="V35" s="1656"/>
      <c r="W35" s="94"/>
      <c r="X35" s="94"/>
      <c r="Y35" s="1655" t="s">
        <v>554</v>
      </c>
      <c r="Z35" s="1655" t="s">
        <v>554</v>
      </c>
      <c r="AA35" s="1654" t="s">
        <v>554</v>
      </c>
      <c r="AB35" s="1655" t="s">
        <v>554</v>
      </c>
      <c r="AC35" s="1655" t="s">
        <v>554</v>
      </c>
      <c r="AD35" s="1655"/>
      <c r="AE35" s="1655"/>
      <c r="AF35" s="1654"/>
      <c r="AG35" s="1654"/>
      <c r="AH35" s="94"/>
      <c r="AI35" s="1655" t="s">
        <v>554</v>
      </c>
      <c r="AJ35" s="1654" t="s">
        <v>554</v>
      </c>
      <c r="AK35" s="94"/>
      <c r="AL35" s="1656"/>
      <c r="AM35" s="59" t="s">
        <v>554</v>
      </c>
      <c r="AN35" s="1655" t="s">
        <v>554</v>
      </c>
      <c r="AO35" s="1655"/>
      <c r="AP35" s="1655"/>
      <c r="AQ35" s="1655" t="s">
        <v>554</v>
      </c>
      <c r="AR35" s="1655" t="s">
        <v>554</v>
      </c>
      <c r="AS35" s="1655" t="s">
        <v>554</v>
      </c>
      <c r="AT35" s="59"/>
      <c r="AU35" s="59"/>
      <c r="AV35" s="59" t="s">
        <v>554</v>
      </c>
      <c r="AW35" s="59"/>
      <c r="AX35" s="59"/>
      <c r="AY35" s="59"/>
      <c r="AZ35" s="59"/>
      <c r="BA35" s="59" t="s">
        <v>554</v>
      </c>
      <c r="BB35" s="59"/>
      <c r="BC35" s="59" t="s">
        <v>554</v>
      </c>
      <c r="BD35" s="59" t="s">
        <v>554</v>
      </c>
      <c r="BE35" s="59" t="s">
        <v>554</v>
      </c>
      <c r="BF35" s="59" t="s">
        <v>554</v>
      </c>
      <c r="BG35" s="59" t="s">
        <v>554</v>
      </c>
      <c r="BH35" s="59" t="s">
        <v>554</v>
      </c>
      <c r="BI35" s="59" t="s">
        <v>554</v>
      </c>
    </row>
    <row r="36" spans="1:61" ht="30" customHeight="1" thickBot="1">
      <c r="A36" s="80"/>
      <c r="B36" s="80" t="s">
        <v>133</v>
      </c>
      <c r="C36" s="86" t="s">
        <v>238</v>
      </c>
      <c r="D36" s="71" t="s">
        <v>376</v>
      </c>
      <c r="E36" s="84" t="s">
        <v>370</v>
      </c>
      <c r="F36" s="1753"/>
      <c r="G36" s="1637">
        <v>358</v>
      </c>
      <c r="H36" s="1657" t="s">
        <v>554</v>
      </c>
      <c r="I36" s="1656"/>
      <c r="J36" s="1656"/>
      <c r="K36" s="1656"/>
      <c r="L36" s="94"/>
      <c r="M36" s="94"/>
      <c r="N36" s="1656"/>
      <c r="O36" s="1654"/>
      <c r="P36" s="1654" t="s">
        <v>554</v>
      </c>
      <c r="Q36" s="1655"/>
      <c r="R36" s="1655"/>
      <c r="S36" s="1655"/>
      <c r="T36" s="1655" t="s">
        <v>554</v>
      </c>
      <c r="U36" s="94"/>
      <c r="V36" s="1657" t="s">
        <v>554</v>
      </c>
      <c r="W36" s="1655" t="s">
        <v>554</v>
      </c>
      <c r="X36" s="1655" t="s">
        <v>554</v>
      </c>
      <c r="Y36" s="1655"/>
      <c r="Z36" s="1655" t="s">
        <v>554</v>
      </c>
      <c r="AA36" s="94"/>
      <c r="AB36" s="1655"/>
      <c r="AC36" s="1655"/>
      <c r="AD36" s="1655" t="s">
        <v>554</v>
      </c>
      <c r="AE36" s="1655" t="s">
        <v>554</v>
      </c>
      <c r="AF36" s="1654"/>
      <c r="AG36" s="1654"/>
      <c r="AH36" s="94" t="s">
        <v>554</v>
      </c>
      <c r="AI36" s="1655"/>
      <c r="AJ36" s="1654"/>
      <c r="AK36" s="1655" t="s">
        <v>554</v>
      </c>
      <c r="AL36" s="1656"/>
      <c r="AM36" s="59" t="s">
        <v>554</v>
      </c>
      <c r="AN36" s="1655" t="s">
        <v>554</v>
      </c>
      <c r="AO36" s="1655" t="s">
        <v>554</v>
      </c>
      <c r="AP36" s="1655" t="s">
        <v>554</v>
      </c>
      <c r="AQ36" s="1655"/>
      <c r="AR36" s="1655"/>
      <c r="AS36" s="1655"/>
      <c r="AT36" s="59" t="s">
        <v>554</v>
      </c>
      <c r="AU36" s="59" t="s">
        <v>554</v>
      </c>
      <c r="AV36" s="59"/>
      <c r="AW36" s="59" t="s">
        <v>554</v>
      </c>
      <c r="AX36" s="59" t="s">
        <v>554</v>
      </c>
      <c r="AY36" s="59"/>
      <c r="AZ36" s="59"/>
      <c r="BA36" s="59"/>
      <c r="BB36" s="59"/>
      <c r="BC36" s="59"/>
      <c r="BD36" s="59"/>
      <c r="BE36" s="59"/>
      <c r="BF36" s="59"/>
      <c r="BG36" s="59"/>
      <c r="BH36" s="59" t="s">
        <v>554</v>
      </c>
      <c r="BI36" s="59" t="s">
        <v>554</v>
      </c>
    </row>
    <row r="37" spans="1:61" ht="30" customHeight="1" thickBot="1">
      <c r="A37" s="80"/>
      <c r="B37" s="80" t="s">
        <v>56</v>
      </c>
      <c r="C37" s="86" t="s">
        <v>246</v>
      </c>
      <c r="D37" s="71" t="s">
        <v>371</v>
      </c>
      <c r="E37" s="84" t="s">
        <v>370</v>
      </c>
      <c r="F37" s="1752" t="s">
        <v>389</v>
      </c>
      <c r="G37" s="1637">
        <v>82</v>
      </c>
      <c r="H37" s="1656"/>
      <c r="I37" s="1656"/>
      <c r="J37" s="94"/>
      <c r="K37" s="94"/>
      <c r="L37" s="94"/>
      <c r="M37" s="94"/>
      <c r="N37" s="1655"/>
      <c r="O37" s="94"/>
      <c r="P37" s="94"/>
      <c r="Q37" s="1655" t="s">
        <v>554</v>
      </c>
      <c r="R37" s="94"/>
      <c r="S37" s="94"/>
      <c r="T37" s="94"/>
      <c r="U37" s="94"/>
      <c r="V37" s="94"/>
      <c r="W37" s="94"/>
      <c r="X37" s="94"/>
      <c r="Y37" s="1655" t="s">
        <v>554</v>
      </c>
      <c r="Z37" s="94"/>
      <c r="AA37" s="1654" t="s">
        <v>554</v>
      </c>
      <c r="AB37" s="1655" t="s">
        <v>554</v>
      </c>
      <c r="AC37" s="1655" t="s">
        <v>554</v>
      </c>
      <c r="AD37" s="94"/>
      <c r="AE37" s="94"/>
      <c r="AF37" s="94"/>
      <c r="AG37" s="94"/>
      <c r="AH37" s="94"/>
      <c r="AI37" s="1655" t="s">
        <v>554</v>
      </c>
      <c r="AJ37" s="94"/>
      <c r="AK37" s="94"/>
      <c r="AL37" s="59"/>
      <c r="AM37" s="59"/>
      <c r="AN37" s="59"/>
      <c r="AO37" s="59"/>
      <c r="AP37" s="59"/>
      <c r="AQ37" s="59" t="s">
        <v>554</v>
      </c>
      <c r="AR37" s="59" t="s">
        <v>554</v>
      </c>
      <c r="AS37" s="59" t="s">
        <v>554</v>
      </c>
      <c r="AT37" s="59"/>
      <c r="AU37" s="59"/>
      <c r="AV37" s="59" t="s">
        <v>554</v>
      </c>
      <c r="AW37" s="59"/>
      <c r="AX37" s="59"/>
      <c r="AY37" s="59"/>
      <c r="AZ37" s="59"/>
      <c r="BA37" s="59"/>
      <c r="BB37" s="59"/>
      <c r="BC37" s="59" t="s">
        <v>554</v>
      </c>
      <c r="BD37" s="59"/>
      <c r="BE37" s="59" t="s">
        <v>554</v>
      </c>
      <c r="BF37" s="59" t="s">
        <v>554</v>
      </c>
      <c r="BG37" s="59"/>
      <c r="BH37" s="59"/>
      <c r="BI37" s="59"/>
    </row>
    <row r="38" spans="1:61" ht="15" customHeight="1" thickBot="1">
      <c r="A38" s="80"/>
      <c r="B38" s="80" t="s">
        <v>44</v>
      </c>
      <c r="C38" s="86" t="s">
        <v>247</v>
      </c>
      <c r="D38" s="71" t="s">
        <v>371</v>
      </c>
      <c r="E38" s="84" t="s">
        <v>370</v>
      </c>
      <c r="F38" s="1754"/>
      <c r="G38" s="1637">
        <v>145</v>
      </c>
      <c r="H38" s="1658"/>
      <c r="I38" s="1658"/>
      <c r="J38" s="1657" t="s">
        <v>554</v>
      </c>
      <c r="K38" s="1657" t="s">
        <v>554</v>
      </c>
      <c r="L38" s="94"/>
      <c r="M38" s="94" t="s">
        <v>554</v>
      </c>
      <c r="N38" s="1657" t="s">
        <v>554</v>
      </c>
      <c r="O38" s="94"/>
      <c r="P38" s="94"/>
      <c r="Q38" s="1655" t="s">
        <v>554</v>
      </c>
      <c r="R38" s="1655" t="s">
        <v>554</v>
      </c>
      <c r="S38" s="1655" t="s">
        <v>554</v>
      </c>
      <c r="T38" s="1655" t="s">
        <v>554</v>
      </c>
      <c r="U38" s="1655" t="s">
        <v>554</v>
      </c>
      <c r="V38" s="1657" t="s">
        <v>554</v>
      </c>
      <c r="W38" s="1655" t="s">
        <v>554</v>
      </c>
      <c r="X38" s="1655"/>
      <c r="Y38" s="1655" t="s">
        <v>554</v>
      </c>
      <c r="Z38" s="1655" t="s">
        <v>554</v>
      </c>
      <c r="AA38" s="1654" t="s">
        <v>554</v>
      </c>
      <c r="AB38" s="1655" t="s">
        <v>554</v>
      </c>
      <c r="AC38" s="1655" t="s">
        <v>554</v>
      </c>
      <c r="AD38" s="1655" t="s">
        <v>554</v>
      </c>
      <c r="AE38" s="1655" t="s">
        <v>554</v>
      </c>
      <c r="AF38" s="1654" t="s">
        <v>554</v>
      </c>
      <c r="AG38" s="1654" t="s">
        <v>554</v>
      </c>
      <c r="AH38" s="94"/>
      <c r="AI38" s="1655" t="s">
        <v>554</v>
      </c>
      <c r="AJ38" s="94"/>
      <c r="AK38" s="94"/>
      <c r="AL38" s="1657" t="s">
        <v>554</v>
      </c>
      <c r="AM38" s="59" t="s">
        <v>554</v>
      </c>
      <c r="AN38" s="1655" t="s">
        <v>554</v>
      </c>
      <c r="AO38" s="1655" t="s">
        <v>554</v>
      </c>
      <c r="AP38" s="1655" t="s">
        <v>554</v>
      </c>
      <c r="AQ38" s="1655" t="s">
        <v>554</v>
      </c>
      <c r="AR38" s="1655" t="s">
        <v>554</v>
      </c>
      <c r="AS38" s="1655" t="s">
        <v>554</v>
      </c>
      <c r="AT38" s="59"/>
      <c r="AU38" s="59" t="s">
        <v>554</v>
      </c>
      <c r="AV38" s="59" t="s">
        <v>554</v>
      </c>
      <c r="AW38" s="59" t="s">
        <v>554</v>
      </c>
      <c r="AX38" s="59" t="s">
        <v>554</v>
      </c>
      <c r="AY38" s="59" t="s">
        <v>554</v>
      </c>
      <c r="AZ38" s="59" t="s">
        <v>554</v>
      </c>
      <c r="BA38" s="59"/>
      <c r="BB38" s="59" t="s">
        <v>554</v>
      </c>
      <c r="BC38" s="59" t="s">
        <v>554</v>
      </c>
      <c r="BD38" s="59"/>
      <c r="BE38" s="59" t="s">
        <v>554</v>
      </c>
      <c r="BF38" s="59" t="s">
        <v>554</v>
      </c>
      <c r="BG38" s="59"/>
      <c r="BH38" s="59" t="s">
        <v>554</v>
      </c>
      <c r="BI38" s="59" t="s">
        <v>554</v>
      </c>
    </row>
    <row r="39" spans="1:61" ht="30.75" thickBot="1">
      <c r="A39" s="80"/>
      <c r="B39" s="80" t="s">
        <v>57</v>
      </c>
      <c r="C39" s="86" t="s">
        <v>248</v>
      </c>
      <c r="D39" s="71" t="s">
        <v>371</v>
      </c>
      <c r="E39" s="84" t="s">
        <v>370</v>
      </c>
      <c r="F39" s="1754"/>
      <c r="G39" s="1637">
        <v>200</v>
      </c>
      <c r="H39" s="1654" t="s">
        <v>554</v>
      </c>
      <c r="I39" s="1654"/>
      <c r="J39" s="1657" t="s">
        <v>554</v>
      </c>
      <c r="K39" s="1657" t="s">
        <v>554</v>
      </c>
      <c r="L39" s="94"/>
      <c r="M39" s="94" t="s">
        <v>554</v>
      </c>
      <c r="N39" s="1657" t="s">
        <v>554</v>
      </c>
      <c r="O39" s="94"/>
      <c r="P39" s="94"/>
      <c r="Q39" s="1655" t="s">
        <v>554</v>
      </c>
      <c r="R39" s="1655" t="s">
        <v>554</v>
      </c>
      <c r="S39" s="1655" t="s">
        <v>554</v>
      </c>
      <c r="T39" s="1655" t="s">
        <v>554</v>
      </c>
      <c r="U39" s="1655" t="s">
        <v>554</v>
      </c>
      <c r="V39" s="1657" t="s">
        <v>554</v>
      </c>
      <c r="W39" s="1655" t="s">
        <v>554</v>
      </c>
      <c r="X39" s="1655"/>
      <c r="Y39" s="1655" t="s">
        <v>554</v>
      </c>
      <c r="Z39" s="1655" t="s">
        <v>554</v>
      </c>
      <c r="AA39" s="1654" t="s">
        <v>554</v>
      </c>
      <c r="AB39" s="1655" t="s">
        <v>554</v>
      </c>
      <c r="AC39" s="1655" t="s">
        <v>554</v>
      </c>
      <c r="AD39" s="1655" t="s">
        <v>554</v>
      </c>
      <c r="AE39" s="1655" t="s">
        <v>554</v>
      </c>
      <c r="AF39" s="1654" t="s">
        <v>554</v>
      </c>
      <c r="AG39" s="1654" t="s">
        <v>554</v>
      </c>
      <c r="AH39" s="94"/>
      <c r="AI39" s="1655" t="s">
        <v>554</v>
      </c>
      <c r="AJ39" s="94"/>
      <c r="AK39" s="94"/>
      <c r="AL39" s="1657" t="s">
        <v>554</v>
      </c>
      <c r="AM39" s="1656"/>
      <c r="AN39" s="1655"/>
      <c r="AO39" s="1655"/>
      <c r="AP39" s="1655"/>
      <c r="AQ39" s="1655" t="s">
        <v>554</v>
      </c>
      <c r="AR39" s="1655" t="s">
        <v>554</v>
      </c>
      <c r="AS39" s="1655" t="s">
        <v>554</v>
      </c>
      <c r="AT39" s="59"/>
      <c r="AU39" s="59" t="s">
        <v>554</v>
      </c>
      <c r="AV39" s="59" t="s">
        <v>554</v>
      </c>
      <c r="AW39" s="59" t="s">
        <v>554</v>
      </c>
      <c r="AX39" s="59" t="s">
        <v>554</v>
      </c>
      <c r="AY39" s="59" t="s">
        <v>554</v>
      </c>
      <c r="AZ39" s="59" t="s">
        <v>554</v>
      </c>
      <c r="BA39" s="59"/>
      <c r="BB39" s="59" t="s">
        <v>554</v>
      </c>
      <c r="BC39" s="59" t="s">
        <v>554</v>
      </c>
      <c r="BD39" s="59"/>
      <c r="BE39" s="59" t="s">
        <v>554</v>
      </c>
      <c r="BF39" s="59" t="s">
        <v>554</v>
      </c>
      <c r="BG39" s="59"/>
      <c r="BH39" s="59" t="s">
        <v>554</v>
      </c>
      <c r="BI39" s="59" t="s">
        <v>554</v>
      </c>
    </row>
    <row r="40" spans="1:61" ht="30.75" thickBot="1">
      <c r="A40" s="80"/>
      <c r="B40" s="80" t="s">
        <v>123</v>
      </c>
      <c r="C40" s="86" t="s">
        <v>249</v>
      </c>
      <c r="D40" s="71" t="s">
        <v>371</v>
      </c>
      <c r="E40" s="84" t="s">
        <v>370</v>
      </c>
      <c r="F40" s="1753"/>
      <c r="G40" s="1637">
        <v>254</v>
      </c>
      <c r="H40" s="1654" t="s">
        <v>554</v>
      </c>
      <c r="I40" s="1658"/>
      <c r="J40" s="1656"/>
      <c r="K40" s="1656"/>
      <c r="L40" s="94"/>
      <c r="M40" s="94" t="s">
        <v>554</v>
      </c>
      <c r="N40" s="1657" t="s">
        <v>554</v>
      </c>
      <c r="O40" s="94"/>
      <c r="P40" s="94"/>
      <c r="Q40" s="1655"/>
      <c r="R40" s="1655"/>
      <c r="S40" s="1655"/>
      <c r="T40" s="1655" t="s">
        <v>554</v>
      </c>
      <c r="U40" s="94"/>
      <c r="V40" s="1656"/>
      <c r="W40" s="1655"/>
      <c r="X40" s="1655"/>
      <c r="Y40" s="1655" t="s">
        <v>554</v>
      </c>
      <c r="Z40" s="1655" t="s">
        <v>554</v>
      </c>
      <c r="AA40" s="1654"/>
      <c r="AB40" s="1655" t="s">
        <v>554</v>
      </c>
      <c r="AC40" s="1655" t="s">
        <v>554</v>
      </c>
      <c r="AD40" s="1655" t="s">
        <v>554</v>
      </c>
      <c r="AE40" s="1655" t="s">
        <v>554</v>
      </c>
      <c r="AF40" s="1654" t="s">
        <v>554</v>
      </c>
      <c r="AG40" s="1654" t="s">
        <v>554</v>
      </c>
      <c r="AH40" s="94"/>
      <c r="AI40" s="1655" t="s">
        <v>554</v>
      </c>
      <c r="AJ40" s="94"/>
      <c r="AK40" s="94"/>
      <c r="AL40" s="1657" t="s">
        <v>554</v>
      </c>
      <c r="AM40" s="1657" t="s">
        <v>554</v>
      </c>
      <c r="AN40" s="1655" t="s">
        <v>554</v>
      </c>
      <c r="AO40" s="1655" t="s">
        <v>554</v>
      </c>
      <c r="AP40" s="1655" t="s">
        <v>554</v>
      </c>
      <c r="AQ40" s="1655"/>
      <c r="AR40" s="1655"/>
      <c r="AS40" s="1655"/>
      <c r="AT40" s="59"/>
      <c r="AU40" s="59" t="s">
        <v>554</v>
      </c>
      <c r="AV40" s="59"/>
      <c r="AW40" s="59" t="s">
        <v>554</v>
      </c>
      <c r="AX40" s="59" t="s">
        <v>554</v>
      </c>
      <c r="AY40" s="59" t="s">
        <v>554</v>
      </c>
      <c r="AZ40" s="59" t="s">
        <v>554</v>
      </c>
      <c r="BA40" s="59"/>
      <c r="BB40" s="59" t="s">
        <v>554</v>
      </c>
      <c r="BC40" s="59"/>
      <c r="BD40" s="59"/>
      <c r="BE40" s="59"/>
      <c r="BF40" s="59"/>
      <c r="BG40" s="59"/>
      <c r="BH40" s="59" t="s">
        <v>554</v>
      </c>
      <c r="BI40" s="59" t="s">
        <v>554</v>
      </c>
    </row>
    <row r="41" spans="1:61" ht="30.75" thickBot="1">
      <c r="A41" s="80"/>
      <c r="B41" s="80" t="s">
        <v>131</v>
      </c>
      <c r="C41" s="86" t="s">
        <v>255</v>
      </c>
      <c r="D41" s="71" t="s">
        <v>372</v>
      </c>
      <c r="E41" s="84" t="s">
        <v>370</v>
      </c>
      <c r="F41" s="1752" t="s">
        <v>390</v>
      </c>
      <c r="G41" s="1637">
        <v>153</v>
      </c>
      <c r="H41" s="1654"/>
      <c r="I41" s="1654"/>
      <c r="J41" s="94"/>
      <c r="K41" s="94"/>
      <c r="L41" s="94"/>
      <c r="M41" s="94"/>
      <c r="N41" s="1655"/>
      <c r="O41" s="94"/>
      <c r="P41" s="94"/>
      <c r="Q41" s="94"/>
      <c r="R41" s="94"/>
      <c r="S41" s="94"/>
      <c r="T41" s="94"/>
      <c r="U41" s="94"/>
      <c r="V41" s="1656"/>
      <c r="W41" s="94"/>
      <c r="X41" s="94"/>
      <c r="Y41" s="94"/>
      <c r="Z41" s="94"/>
      <c r="AA41" s="94"/>
      <c r="AB41" s="94"/>
      <c r="AC41" s="94"/>
      <c r="AD41" s="94"/>
      <c r="AE41" s="94"/>
      <c r="AF41" s="94"/>
      <c r="AG41" s="94"/>
      <c r="AH41" s="94"/>
      <c r="AI41" s="94"/>
      <c r="AJ41" s="94"/>
      <c r="AK41" s="1655" t="s">
        <v>554</v>
      </c>
      <c r="AL41" s="59"/>
      <c r="AM41" s="59" t="s">
        <v>554</v>
      </c>
      <c r="AN41" s="1655" t="s">
        <v>554</v>
      </c>
      <c r="AO41" s="1655" t="s">
        <v>554</v>
      </c>
      <c r="AP41" s="1655" t="s">
        <v>554</v>
      </c>
      <c r="AQ41" s="1655"/>
      <c r="AR41" s="1655"/>
      <c r="AS41" s="1655"/>
      <c r="AT41" s="59"/>
      <c r="AU41" s="59"/>
      <c r="AV41" s="59"/>
      <c r="AW41" s="59"/>
      <c r="AX41" s="59"/>
      <c r="AY41" s="59"/>
      <c r="AZ41" s="59"/>
      <c r="BA41" s="59"/>
      <c r="BB41" s="59"/>
      <c r="BC41" s="59"/>
      <c r="BD41" s="59"/>
      <c r="BE41" s="59"/>
      <c r="BF41" s="59"/>
      <c r="BG41" s="59" t="s">
        <v>554</v>
      </c>
      <c r="BH41" s="59"/>
      <c r="BI41" s="59"/>
    </row>
    <row r="42" spans="1:61" ht="45.75" thickBot="1">
      <c r="A42" s="80"/>
      <c r="B42" s="80" t="s">
        <v>132</v>
      </c>
      <c r="C42" s="86" t="s">
        <v>263</v>
      </c>
      <c r="D42" s="71" t="s">
        <v>372</v>
      </c>
      <c r="E42" s="84" t="s">
        <v>370</v>
      </c>
      <c r="F42" s="1753"/>
      <c r="G42" s="1637">
        <v>204</v>
      </c>
      <c r="H42" s="1656"/>
      <c r="I42" s="1656"/>
      <c r="J42" s="94"/>
      <c r="K42" s="94"/>
      <c r="L42" s="94"/>
      <c r="M42" s="94"/>
      <c r="N42" s="1655"/>
      <c r="O42" s="94"/>
      <c r="P42" s="94"/>
      <c r="Q42" s="94"/>
      <c r="R42" s="94"/>
      <c r="S42" s="94"/>
      <c r="T42" s="94"/>
      <c r="U42" s="94"/>
      <c r="V42" s="1657" t="s">
        <v>554</v>
      </c>
      <c r="W42" s="94" t="s">
        <v>554</v>
      </c>
      <c r="X42" s="94" t="s">
        <v>554</v>
      </c>
      <c r="Y42" s="94"/>
      <c r="Z42" s="94"/>
      <c r="AA42" s="94"/>
      <c r="AB42" s="94"/>
      <c r="AC42" s="94"/>
      <c r="AD42" s="94"/>
      <c r="AE42" s="94"/>
      <c r="AF42" s="94"/>
      <c r="AG42" s="94"/>
      <c r="AH42" s="94"/>
      <c r="AI42" s="1655" t="s">
        <v>554</v>
      </c>
      <c r="AJ42" s="94"/>
      <c r="AK42" s="1655" t="s">
        <v>554</v>
      </c>
      <c r="AL42" s="59"/>
      <c r="AM42" s="59" t="s">
        <v>554</v>
      </c>
      <c r="AN42" s="1655" t="s">
        <v>554</v>
      </c>
      <c r="AO42" s="1655" t="s">
        <v>554</v>
      </c>
      <c r="AP42" s="1655" t="s">
        <v>554</v>
      </c>
      <c r="AQ42" s="1655"/>
      <c r="AR42" s="1655"/>
      <c r="AS42" s="1655"/>
      <c r="AT42" s="59"/>
      <c r="AU42" s="59"/>
      <c r="AV42" s="59"/>
      <c r="AW42" s="59"/>
      <c r="AX42" s="59"/>
      <c r="AY42" s="59"/>
      <c r="AZ42" s="59"/>
      <c r="BA42" s="59"/>
      <c r="BB42" s="59"/>
      <c r="BC42" s="59"/>
      <c r="BD42" s="59"/>
      <c r="BE42" s="59"/>
      <c r="BF42" s="59"/>
      <c r="BG42" s="59" t="s">
        <v>554</v>
      </c>
      <c r="BH42" s="59"/>
      <c r="BI42" s="59"/>
    </row>
    <row r="43" spans="1:61" ht="30.75" thickBot="1">
      <c r="A43" s="80"/>
      <c r="B43" s="80" t="s">
        <v>38</v>
      </c>
      <c r="C43" s="86" t="s">
        <v>239</v>
      </c>
      <c r="D43" s="71" t="s">
        <v>396</v>
      </c>
      <c r="E43" s="84" t="s">
        <v>370</v>
      </c>
      <c r="F43" s="1752" t="s">
        <v>391</v>
      </c>
      <c r="G43" s="1638" t="s">
        <v>1641</v>
      </c>
      <c r="H43" s="1654" t="s">
        <v>554</v>
      </c>
      <c r="I43" s="1654"/>
      <c r="J43" s="1656"/>
      <c r="K43" s="1656"/>
      <c r="L43" s="1654" t="s">
        <v>554</v>
      </c>
      <c r="M43" s="1654"/>
      <c r="N43" s="1654"/>
      <c r="O43" s="1654" t="s">
        <v>554</v>
      </c>
      <c r="P43" s="1654"/>
      <c r="Q43" s="1655"/>
      <c r="R43" s="1655" t="s">
        <v>554</v>
      </c>
      <c r="S43" s="1655" t="s">
        <v>554</v>
      </c>
      <c r="T43" s="1655"/>
      <c r="U43" s="1655" t="s">
        <v>554</v>
      </c>
      <c r="V43" s="1657" t="s">
        <v>554</v>
      </c>
      <c r="W43" s="1655" t="s">
        <v>554</v>
      </c>
      <c r="X43" s="1655" t="s">
        <v>554</v>
      </c>
      <c r="Y43" s="1655" t="s">
        <v>554</v>
      </c>
      <c r="Z43" s="1655" t="s">
        <v>554</v>
      </c>
      <c r="AA43" s="1654" t="s">
        <v>554</v>
      </c>
      <c r="AB43" s="94"/>
      <c r="AC43" s="1655" t="s">
        <v>554</v>
      </c>
      <c r="AD43" s="1655" t="s">
        <v>554</v>
      </c>
      <c r="AE43" s="1655" t="s">
        <v>554</v>
      </c>
      <c r="AF43" s="1654"/>
      <c r="AG43" s="1654"/>
      <c r="AH43" s="1655"/>
      <c r="AI43" s="1655" t="s">
        <v>554</v>
      </c>
      <c r="AJ43" s="1654" t="s">
        <v>554</v>
      </c>
      <c r="AK43" s="1655" t="s">
        <v>554</v>
      </c>
      <c r="AL43" s="1657" t="s">
        <v>554</v>
      </c>
      <c r="AM43" s="59" t="s">
        <v>554</v>
      </c>
      <c r="AN43" s="1655" t="s">
        <v>554</v>
      </c>
      <c r="AO43" s="1655" t="s">
        <v>554</v>
      </c>
      <c r="AP43" s="1655" t="s">
        <v>554</v>
      </c>
      <c r="AQ43" s="1655" t="s">
        <v>554</v>
      </c>
      <c r="AR43" s="1655" t="s">
        <v>554</v>
      </c>
      <c r="AS43" s="1655" t="s">
        <v>554</v>
      </c>
      <c r="AT43" s="59" t="s">
        <v>554</v>
      </c>
      <c r="AU43" s="59" t="s">
        <v>554</v>
      </c>
      <c r="AV43" s="59" t="s">
        <v>554</v>
      </c>
      <c r="AW43" s="59"/>
      <c r="AX43" s="59"/>
      <c r="AY43" s="59"/>
      <c r="AZ43" s="59"/>
      <c r="BA43" s="59"/>
      <c r="BB43" s="59" t="s">
        <v>554</v>
      </c>
      <c r="BC43" s="59"/>
      <c r="BD43" s="59" t="s">
        <v>554</v>
      </c>
      <c r="BE43" s="59"/>
      <c r="BF43" s="59"/>
      <c r="BG43" s="59"/>
      <c r="BH43" s="59" t="s">
        <v>554</v>
      </c>
      <c r="BI43" s="59" t="s">
        <v>554</v>
      </c>
    </row>
    <row r="44" spans="1:61" ht="15.75" thickBot="1">
      <c r="A44" s="81"/>
      <c r="B44" s="80" t="s">
        <v>55</v>
      </c>
      <c r="C44" s="86" t="s">
        <v>240</v>
      </c>
      <c r="D44" s="24" t="s">
        <v>373</v>
      </c>
      <c r="E44" s="84" t="s">
        <v>370</v>
      </c>
      <c r="F44" s="1754"/>
      <c r="G44" s="916" t="s">
        <v>378</v>
      </c>
      <c r="H44" s="1657"/>
      <c r="I44" s="1657"/>
      <c r="J44" s="1656"/>
      <c r="K44" s="1656"/>
      <c r="L44" s="1657" t="s">
        <v>554</v>
      </c>
      <c r="M44" s="1657" t="s">
        <v>554</v>
      </c>
      <c r="N44" s="1657" t="s">
        <v>554</v>
      </c>
      <c r="O44" s="94"/>
      <c r="P44" s="94"/>
      <c r="Q44" s="94"/>
      <c r="R44" s="1655" t="s">
        <v>554</v>
      </c>
      <c r="S44" s="1655" t="s">
        <v>554</v>
      </c>
      <c r="T44" s="1655"/>
      <c r="U44" s="1655" t="s">
        <v>554</v>
      </c>
      <c r="V44" s="94"/>
      <c r="W44" s="94"/>
      <c r="X44" s="94"/>
      <c r="Y44" s="1655" t="s">
        <v>554</v>
      </c>
      <c r="Z44" s="94"/>
      <c r="AA44" s="1654"/>
      <c r="AB44" s="94"/>
      <c r="AC44" s="1655" t="s">
        <v>554</v>
      </c>
      <c r="AD44" s="1655"/>
      <c r="AE44" s="1655"/>
      <c r="AF44" s="1654"/>
      <c r="AG44" s="1654"/>
      <c r="AH44" s="1655"/>
      <c r="AI44" s="1655" t="s">
        <v>554</v>
      </c>
      <c r="AJ44" s="1654" t="s">
        <v>554</v>
      </c>
      <c r="AK44" s="94" t="s">
        <v>554</v>
      </c>
      <c r="AL44" s="1657" t="s">
        <v>554</v>
      </c>
      <c r="AM44" s="59"/>
      <c r="AN44" s="59"/>
      <c r="AO44" s="59"/>
      <c r="AP44" s="59"/>
      <c r="AQ44" s="59" t="s">
        <v>554</v>
      </c>
      <c r="AR44" s="59" t="s">
        <v>554</v>
      </c>
      <c r="AS44" s="59" t="s">
        <v>554</v>
      </c>
      <c r="AT44" s="59" t="s">
        <v>554</v>
      </c>
      <c r="AU44" s="59" t="s">
        <v>554</v>
      </c>
      <c r="AV44" s="59"/>
      <c r="AW44" s="59"/>
      <c r="AX44" s="59"/>
      <c r="AY44" s="59"/>
      <c r="AZ44" s="59"/>
      <c r="BA44" s="59"/>
      <c r="BB44" s="59"/>
      <c r="BC44" s="59"/>
      <c r="BD44" s="59" t="s">
        <v>554</v>
      </c>
      <c r="BE44" s="59"/>
      <c r="BF44" s="59"/>
      <c r="BG44" s="59"/>
      <c r="BH44" s="59"/>
      <c r="BI44" s="59"/>
    </row>
    <row r="45" spans="1:61" ht="15.75" thickBot="1">
      <c r="B45" s="81" t="s">
        <v>67</v>
      </c>
      <c r="C45" s="87" t="s">
        <v>241</v>
      </c>
      <c r="D45" s="66" t="s">
        <v>374</v>
      </c>
      <c r="E45" s="84" t="s">
        <v>370</v>
      </c>
      <c r="F45" s="1755"/>
      <c r="G45" s="1639" t="s">
        <v>379</v>
      </c>
      <c r="H45" s="1654"/>
      <c r="I45" s="1654"/>
      <c r="J45" s="94"/>
      <c r="K45" s="94"/>
      <c r="L45" s="1654"/>
      <c r="M45" s="1654"/>
      <c r="N45" s="1655"/>
      <c r="O45" s="94"/>
      <c r="P45" s="94"/>
      <c r="Q45" s="94"/>
      <c r="R45" s="1655"/>
      <c r="S45" s="1655"/>
      <c r="T45" s="1655"/>
      <c r="U45" s="1655" t="s">
        <v>554</v>
      </c>
      <c r="V45" s="1656"/>
      <c r="W45" s="94" t="s">
        <v>554</v>
      </c>
      <c r="X45" s="94"/>
      <c r="Y45" s="94"/>
      <c r="Z45" s="94"/>
      <c r="AA45" s="94"/>
      <c r="AB45" s="94"/>
      <c r="AC45" s="94"/>
      <c r="AD45" s="94"/>
      <c r="AE45" s="94"/>
      <c r="AF45" s="1654" t="s">
        <v>554</v>
      </c>
      <c r="AG45" s="1654"/>
      <c r="AH45" s="1655"/>
      <c r="AI45" s="1655"/>
      <c r="AJ45" s="1654" t="s">
        <v>554</v>
      </c>
      <c r="AK45" s="94" t="s">
        <v>554</v>
      </c>
      <c r="AL45" s="59"/>
      <c r="AM45" s="59"/>
      <c r="AN45" s="59"/>
      <c r="AO45" s="59"/>
      <c r="AP45" s="59"/>
      <c r="AQ45" s="59"/>
      <c r="AR45" s="59"/>
      <c r="AS45" s="59"/>
      <c r="AT45" s="59"/>
      <c r="AU45" s="59"/>
      <c r="AV45" s="59"/>
      <c r="AW45" s="59"/>
      <c r="AX45" s="59"/>
      <c r="AY45" s="59"/>
      <c r="AZ45" s="59"/>
      <c r="BA45" s="59"/>
      <c r="BB45" s="59"/>
      <c r="BC45" s="59"/>
      <c r="BD45" s="59"/>
      <c r="BE45" s="59"/>
      <c r="BF45" s="59"/>
      <c r="BG45" s="59"/>
      <c r="BH45" s="59" t="s">
        <v>554</v>
      </c>
      <c r="BI45" s="59"/>
    </row>
    <row r="46" spans="1:61">
      <c r="B46" s="1626"/>
      <c r="C46" s="1626"/>
      <c r="D46" s="61"/>
      <c r="E46" s="1626"/>
      <c r="F46" s="1626"/>
      <c r="G46" s="1626"/>
      <c r="H46" s="68">
        <f>COUNTA(H4:H45)</f>
        <v>10</v>
      </c>
      <c r="I46" s="68">
        <f>COUNTA(I4:I45)</f>
        <v>7</v>
      </c>
      <c r="J46" s="68">
        <f t="shared" ref="J46:BI46" si="0">COUNTA(J4:J45)</f>
        <v>9</v>
      </c>
      <c r="K46" s="68">
        <f t="shared" si="0"/>
        <v>8</v>
      </c>
      <c r="L46" s="68">
        <f t="shared" si="0"/>
        <v>7</v>
      </c>
      <c r="M46" s="68">
        <f t="shared" si="0"/>
        <v>10</v>
      </c>
      <c r="N46" s="68">
        <f t="shared" si="0"/>
        <v>10</v>
      </c>
      <c r="O46" s="68">
        <f t="shared" si="0"/>
        <v>10</v>
      </c>
      <c r="P46" s="68">
        <f t="shared" si="0"/>
        <v>7</v>
      </c>
      <c r="Q46" s="68">
        <f t="shared" si="0"/>
        <v>10</v>
      </c>
      <c r="R46" s="68">
        <f t="shared" si="0"/>
        <v>10</v>
      </c>
      <c r="S46" s="68">
        <f t="shared" si="0"/>
        <v>10</v>
      </c>
      <c r="T46" s="68">
        <f t="shared" si="0"/>
        <v>9</v>
      </c>
      <c r="U46" s="68">
        <f t="shared" si="0"/>
        <v>10</v>
      </c>
      <c r="V46" s="68">
        <f t="shared" si="0"/>
        <v>11</v>
      </c>
      <c r="W46" s="68">
        <f t="shared" si="0"/>
        <v>10</v>
      </c>
      <c r="X46" s="68">
        <f t="shared" si="0"/>
        <v>7</v>
      </c>
      <c r="Y46" s="68">
        <f t="shared" si="0"/>
        <v>11</v>
      </c>
      <c r="Z46" s="68">
        <f t="shared" si="0"/>
        <v>8</v>
      </c>
      <c r="AA46" s="68">
        <f t="shared" si="0"/>
        <v>10</v>
      </c>
      <c r="AB46" s="68">
        <f t="shared" si="0"/>
        <v>7</v>
      </c>
      <c r="AC46" s="68">
        <f t="shared" si="0"/>
        <v>11</v>
      </c>
      <c r="AD46" s="68">
        <f t="shared" si="0"/>
        <v>12</v>
      </c>
      <c r="AE46" s="68">
        <f t="shared" si="0"/>
        <v>12</v>
      </c>
      <c r="AF46" s="68">
        <f t="shared" si="0"/>
        <v>10</v>
      </c>
      <c r="AG46" s="68">
        <f t="shared" si="0"/>
        <v>10</v>
      </c>
      <c r="AH46" s="68">
        <f t="shared" si="0"/>
        <v>9</v>
      </c>
      <c r="AI46" s="68">
        <f t="shared" si="0"/>
        <v>10</v>
      </c>
      <c r="AJ46" s="68">
        <f t="shared" si="0"/>
        <v>8</v>
      </c>
      <c r="AK46" s="68">
        <f t="shared" si="0"/>
        <v>10</v>
      </c>
      <c r="AL46" s="68">
        <f t="shared" si="0"/>
        <v>10</v>
      </c>
      <c r="AM46" s="68">
        <f t="shared" si="0"/>
        <v>8</v>
      </c>
      <c r="AN46" s="68">
        <f t="shared" si="0"/>
        <v>8</v>
      </c>
      <c r="AO46" s="68">
        <f t="shared" si="0"/>
        <v>7</v>
      </c>
      <c r="AP46" s="68">
        <f t="shared" si="0"/>
        <v>7</v>
      </c>
      <c r="AQ46" s="68">
        <f t="shared" si="0"/>
        <v>10</v>
      </c>
      <c r="AR46" s="68">
        <f t="shared" si="0"/>
        <v>10</v>
      </c>
      <c r="AS46" s="68">
        <f t="shared" si="0"/>
        <v>10</v>
      </c>
      <c r="AT46" s="68">
        <f t="shared" si="0"/>
        <v>8</v>
      </c>
      <c r="AU46" s="68">
        <f t="shared" si="0"/>
        <v>9</v>
      </c>
      <c r="AV46" s="68">
        <f t="shared" si="0"/>
        <v>10</v>
      </c>
      <c r="AW46" s="68">
        <f t="shared" si="0"/>
        <v>10</v>
      </c>
      <c r="AX46" s="68">
        <f t="shared" si="0"/>
        <v>10</v>
      </c>
      <c r="AY46" s="68">
        <f t="shared" si="0"/>
        <v>10</v>
      </c>
      <c r="AZ46" s="68">
        <f t="shared" si="0"/>
        <v>10</v>
      </c>
      <c r="BA46" s="68">
        <f t="shared" si="0"/>
        <v>9</v>
      </c>
      <c r="BB46" s="68">
        <f t="shared" si="0"/>
        <v>10</v>
      </c>
      <c r="BC46" s="68">
        <f t="shared" si="0"/>
        <v>10</v>
      </c>
      <c r="BD46" s="68">
        <f t="shared" si="0"/>
        <v>7</v>
      </c>
      <c r="BE46" s="68"/>
      <c r="BF46" s="68">
        <f t="shared" si="0"/>
        <v>10</v>
      </c>
      <c r="BG46" s="68">
        <f t="shared" si="0"/>
        <v>8</v>
      </c>
      <c r="BH46" s="68">
        <f t="shared" si="0"/>
        <v>9</v>
      </c>
      <c r="BI46" s="68">
        <f t="shared" si="0"/>
        <v>8</v>
      </c>
    </row>
  </sheetData>
  <mergeCells count="14">
    <mergeCell ref="B2:G2"/>
    <mergeCell ref="F4:F6"/>
    <mergeCell ref="F7:F9"/>
    <mergeCell ref="F10:F11"/>
    <mergeCell ref="F12:F21"/>
    <mergeCell ref="F35:F36"/>
    <mergeCell ref="F37:F40"/>
    <mergeCell ref="F41:F42"/>
    <mergeCell ref="F43:F45"/>
    <mergeCell ref="F22:F23"/>
    <mergeCell ref="F24:F25"/>
    <mergeCell ref="F26:F28"/>
    <mergeCell ref="F30:F31"/>
    <mergeCell ref="F32:F34"/>
  </mergeCells>
  <hyperlinks>
    <hyperlink ref="T2" location="CCPC!A1" display="CCPC"/>
    <hyperlink ref="Q2" location="CALN!A1" display="CALN"/>
    <hyperlink ref="U2" location="CCPV!A1" display="CCPV"/>
    <hyperlink ref="Z2" location="HVSO!A1" display="HVSO"/>
    <hyperlink ref="AA2" location="LAON!A1" display="LAON"/>
    <hyperlink ref="Y2" location="HVOI!A1" display="HVOI"/>
    <hyperlink ref="AC2" location="MVOI!A1" display="MVOI"/>
    <hyperlink ref="AB2" location="MASO!A1" display="MASO"/>
    <hyperlink ref="V2" location="CMOB!A1" display="CMOB"/>
    <hyperlink ref="R2" location="CCPB!A1" display="CCPB"/>
    <hyperlink ref="N2:N3" location="BSPM!A1" display="BSPM"/>
    <hyperlink ref="O2:O3" location="BVNI!A1" display="BVNI"/>
    <hyperlink ref="W2" location="CMOE!A1" display="CMOE"/>
    <hyperlink ref="BF2" location="CPVS!A1" display="CPVS"/>
    <hyperlink ref="BH2" location="VAUT!A1" display="VAUT"/>
    <hyperlink ref="AW2" location="PSEB!A1" display="PSEB"/>
    <hyperlink ref="AU2" location="PMPH!A1" display="PMPH"/>
    <hyperlink ref="AJ2" location="OPFE!A1" display="OPFE"/>
    <hyperlink ref="BB2" location="SASO!A1" display="SASO"/>
    <hyperlink ref="BD2" location="STJU!A1" display="STJU"/>
    <hyperlink ref="AF2" location="NPCE!A1" display="NPCE"/>
    <hyperlink ref="AH2:AH3" location="NPCR!A1" display="NPCR"/>
    <hyperlink ref="AI2:AI3" location="OPFB!A1" display="OPFB"/>
    <hyperlink ref="AK2:AK3" location="OURQ!A1" display="OURQ"/>
    <hyperlink ref="I2" location="BAHO!A1" display="BAHO"/>
    <hyperlink ref="AD2:AD3" location="MVSO!A1" display="MVSO"/>
    <hyperlink ref="AL2:AL3" location="PAVN!A1" display="PAVB"/>
  </hyperlinks>
  <pageMargins left="0.7" right="0.7" top="0.75" bottom="0.75" header="0.3" footer="0.3"/>
  <pageSetup paperSize="8" orientation="landscape"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W66"/>
  <sheetViews>
    <sheetView topLeftCell="A43" workbookViewId="0">
      <selection activeCell="F45" sqref="F45:H45"/>
    </sheetView>
  </sheetViews>
  <sheetFormatPr baseColWidth="10" defaultRowHeight="15"/>
  <cols>
    <col min="1" max="1" width="20.42578125" style="1" bestFit="1" customWidth="1"/>
    <col min="2" max="2" width="15.7109375" style="1" customWidth="1"/>
    <col min="3" max="3" width="52.28515625" style="1" customWidth="1"/>
    <col min="4" max="4" width="6.85546875" style="1" bestFit="1" customWidth="1"/>
    <col min="5" max="5" width="7.5703125" style="1" customWidth="1"/>
    <col min="6" max="6" width="16.28515625" style="1" bestFit="1" customWidth="1"/>
    <col min="7" max="7" width="16.42578125" style="1" customWidth="1"/>
    <col min="8" max="8" width="16.5703125" bestFit="1" customWidth="1"/>
    <col min="10" max="10" width="16.42578125" bestFit="1" customWidth="1"/>
  </cols>
  <sheetData>
    <row r="1" spans="1:23" ht="15.75" thickBot="1">
      <c r="A1" s="182"/>
      <c r="B1" s="182"/>
      <c r="C1" s="182"/>
      <c r="D1" s="182"/>
      <c r="E1" s="182"/>
      <c r="F1" s="182"/>
      <c r="G1" s="182"/>
      <c r="H1" s="182"/>
    </row>
    <row r="2" spans="1:23" ht="15.75" thickBot="1">
      <c r="A2" s="328" t="s">
        <v>0</v>
      </c>
      <c r="B2" s="1808" t="s">
        <v>349</v>
      </c>
      <c r="C2" s="1910"/>
      <c r="D2" s="1911"/>
      <c r="E2" s="329"/>
      <c r="F2" s="329"/>
      <c r="G2" s="330" t="s">
        <v>462</v>
      </c>
      <c r="H2" s="112" t="s">
        <v>53</v>
      </c>
    </row>
    <row r="3" spans="1:23" ht="15.75" thickBot="1">
      <c r="A3" s="331" t="s">
        <v>344</v>
      </c>
      <c r="B3" s="1808" t="s">
        <v>896</v>
      </c>
      <c r="C3" s="1910"/>
      <c r="D3" s="1911"/>
      <c r="E3" s="329"/>
      <c r="F3" s="329"/>
      <c r="G3" s="332" t="s">
        <v>10</v>
      </c>
      <c r="H3" s="112" t="s">
        <v>16</v>
      </c>
      <c r="J3" s="13" t="s">
        <v>73</v>
      </c>
    </row>
    <row r="4" spans="1:23" ht="15.75" customHeight="1" thickBot="1">
      <c r="A4" s="332" t="s">
        <v>3</v>
      </c>
      <c r="B4" s="1909" t="s">
        <v>897</v>
      </c>
      <c r="C4" s="1910"/>
      <c r="D4" s="1911"/>
      <c r="E4" s="333"/>
      <c r="F4" s="329"/>
      <c r="G4" s="334" t="s">
        <v>26</v>
      </c>
      <c r="H4" s="392">
        <v>10</v>
      </c>
      <c r="J4" s="13"/>
    </row>
    <row r="5" spans="1:23" ht="15.75" customHeight="1" thickBot="1">
      <c r="A5" s="329"/>
      <c r="B5" s="329"/>
      <c r="C5" s="329"/>
      <c r="D5" s="329"/>
      <c r="E5" s="329"/>
      <c r="F5" s="329"/>
      <c r="G5" s="329"/>
      <c r="H5" s="329"/>
      <c r="J5" s="13" t="s">
        <v>381</v>
      </c>
    </row>
    <row r="6" spans="1:23" ht="165.75" customHeight="1" thickBot="1">
      <c r="A6" s="328" t="s">
        <v>465</v>
      </c>
      <c r="B6" s="1909" t="s">
        <v>1595</v>
      </c>
      <c r="C6" s="1811"/>
      <c r="D6" s="1812"/>
      <c r="E6" s="329"/>
      <c r="F6" s="329"/>
      <c r="G6" s="335" t="s">
        <v>466</v>
      </c>
      <c r="H6" s="119" t="s">
        <v>898</v>
      </c>
    </row>
    <row r="7" spans="1:23" ht="15.75" thickBot="1">
      <c r="A7" s="182"/>
      <c r="B7" s="329"/>
      <c r="C7" s="329"/>
      <c r="D7" s="329"/>
      <c r="E7" s="329"/>
      <c r="F7" s="329"/>
      <c r="G7" s="337"/>
      <c r="H7" s="329"/>
    </row>
    <row r="8" spans="1:23" ht="30.75" customHeight="1" thickBot="1">
      <c r="A8" s="338" t="s">
        <v>7</v>
      </c>
      <c r="B8" s="1809"/>
      <c r="C8" s="2425"/>
      <c r="D8" s="2426"/>
      <c r="E8" s="333"/>
      <c r="F8" s="339"/>
      <c r="G8" s="338" t="s">
        <v>469</v>
      </c>
      <c r="H8" s="123" t="s">
        <v>470</v>
      </c>
    </row>
    <row r="9" spans="1:23">
      <c r="A9" s="182"/>
      <c r="B9" s="329"/>
      <c r="C9" s="329"/>
      <c r="D9" s="329"/>
      <c r="E9" s="329"/>
      <c r="F9" s="329"/>
      <c r="G9" s="337"/>
      <c r="H9" s="329"/>
    </row>
    <row r="10" spans="1:23" ht="73.5" customHeight="1">
      <c r="A10" s="1813" t="s">
        <v>471</v>
      </c>
      <c r="B10" s="2424"/>
      <c r="C10" s="1824" t="s">
        <v>899</v>
      </c>
      <c r="D10" s="1806"/>
      <c r="E10" s="1806"/>
      <c r="F10" s="1806"/>
      <c r="G10" s="1806"/>
      <c r="H10" s="1806"/>
      <c r="J10" s="1259"/>
    </row>
    <row r="11" spans="1:23">
      <c r="A11" s="343"/>
      <c r="B11" s="333"/>
      <c r="C11" s="333"/>
      <c r="D11" s="333"/>
      <c r="E11" s="333"/>
      <c r="F11" s="339"/>
      <c r="G11" s="342"/>
      <c r="H11" s="342"/>
    </row>
    <row r="12" spans="1:23" ht="15" customHeight="1">
      <c r="A12" s="343"/>
      <c r="B12" s="333"/>
      <c r="C12" s="333"/>
      <c r="D12" s="333"/>
      <c r="E12" s="1814" t="s">
        <v>473</v>
      </c>
      <c r="F12" s="2424"/>
      <c r="G12" s="2424"/>
      <c r="H12" s="2424"/>
    </row>
    <row r="13" spans="1:23" ht="39" customHeight="1">
      <c r="A13" s="329"/>
      <c r="B13" s="329"/>
      <c r="C13" s="329"/>
      <c r="D13" s="329"/>
      <c r="E13" s="2428"/>
      <c r="F13" s="2428"/>
      <c r="G13" s="2428"/>
      <c r="H13" s="2428"/>
      <c r="I13" s="1817">
        <v>2025</v>
      </c>
      <c r="J13" s="2418"/>
      <c r="K13" s="2418"/>
      <c r="L13" s="2418"/>
      <c r="M13" s="2419"/>
      <c r="N13" s="1817">
        <v>2026</v>
      </c>
      <c r="O13" s="2418"/>
      <c r="P13" s="2418"/>
      <c r="Q13" s="2418"/>
      <c r="R13" s="2419"/>
      <c r="S13" s="1817">
        <v>2027</v>
      </c>
      <c r="T13" s="2418"/>
      <c r="U13" s="2418"/>
      <c r="V13" s="2418"/>
      <c r="W13" s="2419"/>
    </row>
    <row r="14" spans="1:23" ht="37.5" customHeight="1" thickBot="1">
      <c r="A14" s="1816" t="s">
        <v>5</v>
      </c>
      <c r="B14" s="2429"/>
      <c r="C14" s="344" t="s">
        <v>1</v>
      </c>
      <c r="D14" s="344" t="s">
        <v>260</v>
      </c>
      <c r="E14" s="394" t="s">
        <v>474</v>
      </c>
      <c r="F14" s="1815" t="s">
        <v>6</v>
      </c>
      <c r="G14" s="2418"/>
      <c r="H14" s="2419"/>
      <c r="I14" s="643" t="s">
        <v>474</v>
      </c>
      <c r="J14" s="644" t="s">
        <v>944</v>
      </c>
      <c r="K14" s="645" t="s">
        <v>945</v>
      </c>
      <c r="L14" s="644" t="s">
        <v>946</v>
      </c>
      <c r="M14" s="646" t="s">
        <v>947</v>
      </c>
      <c r="N14" s="643" t="s">
        <v>474</v>
      </c>
      <c r="O14" s="644" t="s">
        <v>944</v>
      </c>
      <c r="P14" s="645" t="s">
        <v>945</v>
      </c>
      <c r="Q14" s="644" t="s">
        <v>946</v>
      </c>
      <c r="R14" s="646" t="s">
        <v>947</v>
      </c>
      <c r="S14" s="643" t="s">
        <v>474</v>
      </c>
      <c r="T14" s="644" t="s">
        <v>944</v>
      </c>
      <c r="U14" s="645" t="s">
        <v>945</v>
      </c>
      <c r="V14" s="644" t="s">
        <v>946</v>
      </c>
      <c r="W14" s="646" t="s">
        <v>947</v>
      </c>
    </row>
    <row r="15" spans="1:23" ht="30" customHeight="1">
      <c r="A15" s="1804" t="s">
        <v>17</v>
      </c>
      <c r="B15" s="2423"/>
      <c r="C15" s="346" t="s">
        <v>59</v>
      </c>
      <c r="D15" s="347" t="s">
        <v>251</v>
      </c>
      <c r="E15" s="348"/>
      <c r="F15" s="1791" t="s">
        <v>475</v>
      </c>
      <c r="G15" s="2423"/>
      <c r="H15" s="2429"/>
      <c r="I15" s="650"/>
      <c r="J15" s="648"/>
      <c r="K15" s="648"/>
      <c r="L15" s="648"/>
      <c r="M15" s="649"/>
      <c r="N15" s="650"/>
      <c r="O15" s="648"/>
      <c r="P15" s="648"/>
      <c r="Q15" s="648"/>
      <c r="R15" s="649"/>
      <c r="S15" s="650"/>
      <c r="T15" s="648"/>
      <c r="U15" s="648"/>
      <c r="V15" s="648"/>
      <c r="W15" s="651"/>
    </row>
    <row r="16" spans="1:23" ht="34.5" customHeight="1">
      <c r="A16" s="2424"/>
      <c r="B16" s="2424"/>
      <c r="C16" s="349" t="s">
        <v>18</v>
      </c>
      <c r="D16" s="350" t="s">
        <v>168</v>
      </c>
      <c r="E16" s="351"/>
      <c r="F16" s="2436"/>
      <c r="G16" s="2436"/>
      <c r="H16" s="2435"/>
      <c r="I16" s="653"/>
      <c r="J16" s="632"/>
      <c r="K16" s="632"/>
      <c r="L16" s="632"/>
      <c r="M16" s="632"/>
      <c r="N16" s="653"/>
      <c r="O16" s="632"/>
      <c r="P16" s="632"/>
      <c r="Q16" s="632"/>
      <c r="R16" s="632"/>
      <c r="S16" s="653"/>
      <c r="T16" s="632"/>
      <c r="U16" s="632"/>
      <c r="V16" s="632"/>
      <c r="W16" s="654"/>
    </row>
    <row r="17" spans="1:23" ht="63" customHeight="1" thickBot="1">
      <c r="A17" s="2428"/>
      <c r="B17" s="2428"/>
      <c r="C17" s="352" t="s">
        <v>19</v>
      </c>
      <c r="D17" s="353" t="s">
        <v>233</v>
      </c>
      <c r="E17" s="354"/>
      <c r="F17" s="2428"/>
      <c r="G17" s="2428"/>
      <c r="H17" s="2430"/>
      <c r="I17" s="656"/>
      <c r="J17" s="632"/>
      <c r="K17" s="632"/>
      <c r="L17" s="632"/>
      <c r="M17" s="632"/>
      <c r="N17" s="656"/>
      <c r="O17" s="632"/>
      <c r="P17" s="632"/>
      <c r="Q17" s="632"/>
      <c r="R17" s="632"/>
      <c r="S17" s="656"/>
      <c r="T17" s="632"/>
      <c r="U17" s="632"/>
      <c r="V17" s="632"/>
      <c r="W17" s="654"/>
    </row>
    <row r="18" spans="1:23" ht="30" customHeight="1">
      <c r="A18" s="1804" t="s">
        <v>20</v>
      </c>
      <c r="B18" s="2423"/>
      <c r="C18" s="346" t="s">
        <v>54</v>
      </c>
      <c r="D18" s="353" t="s">
        <v>261</v>
      </c>
      <c r="E18" s="354"/>
      <c r="F18" s="1791" t="s">
        <v>475</v>
      </c>
      <c r="G18" s="2423"/>
      <c r="H18" s="2429"/>
      <c r="I18" s="656"/>
      <c r="J18" s="632"/>
      <c r="K18" s="632"/>
      <c r="L18" s="632"/>
      <c r="M18" s="632"/>
      <c r="N18" s="656"/>
      <c r="O18" s="632"/>
      <c r="P18" s="632"/>
      <c r="Q18" s="632"/>
      <c r="R18" s="632"/>
      <c r="S18" s="656"/>
      <c r="T18" s="632"/>
      <c r="U18" s="632"/>
      <c r="V18" s="632"/>
      <c r="W18" s="654"/>
    </row>
    <row r="19" spans="1:23" ht="29.25" customHeight="1">
      <c r="A19" s="2424"/>
      <c r="B19" s="2424"/>
      <c r="C19" s="355" t="s">
        <v>21</v>
      </c>
      <c r="D19" s="353" t="s">
        <v>234</v>
      </c>
      <c r="E19" s="354"/>
      <c r="F19" s="2436"/>
      <c r="G19" s="2436"/>
      <c r="H19" s="2435"/>
      <c r="I19" s="656"/>
      <c r="J19" s="632"/>
      <c r="K19" s="632"/>
      <c r="L19" s="632"/>
      <c r="M19" s="632"/>
      <c r="N19" s="656"/>
      <c r="O19" s="632"/>
      <c r="P19" s="632"/>
      <c r="Q19" s="632"/>
      <c r="R19" s="632"/>
      <c r="S19" s="656"/>
      <c r="T19" s="632"/>
      <c r="U19" s="632"/>
      <c r="V19" s="632"/>
      <c r="W19" s="654"/>
    </row>
    <row r="20" spans="1:23" ht="30" customHeight="1" thickBot="1">
      <c r="A20" s="2424"/>
      <c r="B20" s="2424"/>
      <c r="C20" s="352" t="s">
        <v>22</v>
      </c>
      <c r="D20" s="353" t="s">
        <v>235</v>
      </c>
      <c r="E20" s="354"/>
      <c r="F20" s="2428"/>
      <c r="G20" s="2428"/>
      <c r="H20" s="2430"/>
      <c r="I20" s="656"/>
      <c r="J20" s="632"/>
      <c r="K20" s="632"/>
      <c r="L20" s="632"/>
      <c r="M20" s="632"/>
      <c r="N20" s="656"/>
      <c r="O20" s="632"/>
      <c r="P20" s="632"/>
      <c r="Q20" s="632"/>
      <c r="R20" s="632"/>
      <c r="S20" s="656"/>
      <c r="T20" s="632"/>
      <c r="U20" s="632"/>
      <c r="V20" s="632"/>
      <c r="W20" s="654"/>
    </row>
    <row r="21" spans="1:23" ht="15" customHeight="1">
      <c r="A21" s="1804" t="s">
        <v>23</v>
      </c>
      <c r="B21" s="2423"/>
      <c r="C21" s="356" t="s">
        <v>69</v>
      </c>
      <c r="D21" s="353" t="s">
        <v>267</v>
      </c>
      <c r="E21" s="354"/>
      <c r="F21" s="1791" t="s">
        <v>477</v>
      </c>
      <c r="G21" s="2423"/>
      <c r="H21" s="2429"/>
      <c r="I21" s="656"/>
      <c r="J21" s="632"/>
      <c r="K21" s="632"/>
      <c r="L21" s="632"/>
      <c r="M21" s="632"/>
      <c r="N21" s="656"/>
      <c r="O21" s="632"/>
      <c r="P21" s="632"/>
      <c r="Q21" s="632"/>
      <c r="R21" s="632"/>
      <c r="S21" s="656"/>
      <c r="T21" s="632"/>
      <c r="U21" s="632"/>
      <c r="V21" s="632"/>
      <c r="W21" s="654"/>
    </row>
    <row r="22" spans="1:23" ht="15" customHeight="1" thickBot="1">
      <c r="A22" s="2428"/>
      <c r="B22" s="2428"/>
      <c r="C22" s="357" t="s">
        <v>24</v>
      </c>
      <c r="D22" s="358" t="s">
        <v>236</v>
      </c>
      <c r="E22" s="354"/>
      <c r="F22" s="2428"/>
      <c r="G22" s="2428"/>
      <c r="H22" s="2430"/>
      <c r="I22" s="656"/>
      <c r="J22" s="632"/>
      <c r="K22" s="632"/>
      <c r="L22" s="632"/>
      <c r="M22" s="632"/>
      <c r="N22" s="656"/>
      <c r="O22" s="632"/>
      <c r="P22" s="632"/>
      <c r="Q22" s="632"/>
      <c r="R22" s="632"/>
      <c r="S22" s="656"/>
      <c r="T22" s="632"/>
      <c r="U22" s="632"/>
      <c r="V22" s="632"/>
      <c r="W22" s="654"/>
    </row>
    <row r="23" spans="1:23" ht="27" customHeight="1">
      <c r="A23" s="1801" t="s">
        <v>478</v>
      </c>
      <c r="B23" s="2429"/>
      <c r="C23" s="359" t="s">
        <v>360</v>
      </c>
      <c r="D23" s="358" t="s">
        <v>265</v>
      </c>
      <c r="E23" s="354"/>
      <c r="F23" s="1791" t="s">
        <v>477</v>
      </c>
      <c r="G23" s="2423"/>
      <c r="H23" s="2429"/>
      <c r="I23" s="656"/>
      <c r="J23" s="632"/>
      <c r="K23" s="632"/>
      <c r="L23" s="632"/>
      <c r="M23" s="632"/>
      <c r="N23" s="656"/>
      <c r="O23" s="632"/>
      <c r="P23" s="632"/>
      <c r="Q23" s="632"/>
      <c r="R23" s="632"/>
      <c r="S23" s="656"/>
      <c r="T23" s="632"/>
      <c r="U23" s="632"/>
      <c r="V23" s="632"/>
      <c r="W23" s="654"/>
    </row>
    <row r="24" spans="1:23" ht="30" customHeight="1">
      <c r="A24" s="2427"/>
      <c r="B24" s="2435"/>
      <c r="C24" s="360" t="s">
        <v>361</v>
      </c>
      <c r="D24" s="358" t="s">
        <v>362</v>
      </c>
      <c r="E24" s="354"/>
      <c r="F24" s="2436"/>
      <c r="G24" s="2436"/>
      <c r="H24" s="2435"/>
      <c r="I24" s="656"/>
      <c r="J24" s="632"/>
      <c r="K24" s="632"/>
      <c r="L24" s="632"/>
      <c r="M24" s="632"/>
      <c r="N24" s="656"/>
      <c r="O24" s="632"/>
      <c r="P24" s="632"/>
      <c r="Q24" s="632"/>
      <c r="R24" s="632"/>
      <c r="S24" s="656"/>
      <c r="T24" s="632"/>
      <c r="U24" s="632"/>
      <c r="V24" s="632"/>
      <c r="W24" s="654"/>
    </row>
    <row r="25" spans="1:23" ht="30" customHeight="1" thickBot="1">
      <c r="A25" s="2427"/>
      <c r="B25" s="2435"/>
      <c r="C25" s="361" t="s">
        <v>479</v>
      </c>
      <c r="D25" s="358" t="s">
        <v>480</v>
      </c>
      <c r="E25" s="354"/>
      <c r="F25" s="2428"/>
      <c r="G25" s="2428"/>
      <c r="H25" s="2430"/>
      <c r="I25" s="656"/>
      <c r="J25" s="632"/>
      <c r="K25" s="632"/>
      <c r="L25" s="632"/>
      <c r="M25" s="632"/>
      <c r="N25" s="656"/>
      <c r="O25" s="632"/>
      <c r="P25" s="632"/>
      <c r="Q25" s="632"/>
      <c r="R25" s="632"/>
      <c r="S25" s="656"/>
      <c r="T25" s="632"/>
      <c r="U25" s="632"/>
      <c r="V25" s="632"/>
      <c r="W25" s="654"/>
    </row>
    <row r="26" spans="1:23" ht="30" customHeight="1" thickBot="1">
      <c r="A26" s="1802" t="s">
        <v>25</v>
      </c>
      <c r="B26" s="2425"/>
      <c r="C26" s="2426"/>
      <c r="D26" s="362" t="s">
        <v>270</v>
      </c>
      <c r="E26" s="354"/>
      <c r="F26" s="1763" t="s">
        <v>481</v>
      </c>
      <c r="G26" s="2418"/>
      <c r="H26" s="2419"/>
      <c r="I26" s="656"/>
      <c r="J26" s="632"/>
      <c r="K26" s="632"/>
      <c r="L26" s="632"/>
      <c r="M26" s="632"/>
      <c r="N26" s="656"/>
      <c r="O26" s="632"/>
      <c r="P26" s="632"/>
      <c r="Q26" s="632"/>
      <c r="R26" s="632"/>
      <c r="S26" s="656"/>
      <c r="T26" s="632"/>
      <c r="U26" s="632"/>
      <c r="V26" s="632"/>
      <c r="W26" s="654"/>
    </row>
    <row r="27" spans="1:23" ht="15.75" customHeight="1">
      <c r="A27" s="1803" t="s">
        <v>153</v>
      </c>
      <c r="B27" s="2432"/>
      <c r="C27" s="363" t="s">
        <v>152</v>
      </c>
      <c r="D27" s="364" t="s">
        <v>268</v>
      </c>
      <c r="E27" s="354"/>
      <c r="F27" s="1791" t="s">
        <v>475</v>
      </c>
      <c r="G27" s="2423"/>
      <c r="H27" s="2429"/>
      <c r="I27" s="656"/>
      <c r="J27" s="632"/>
      <c r="K27" s="632"/>
      <c r="L27" s="632"/>
      <c r="M27" s="632"/>
      <c r="N27" s="656"/>
      <c r="O27" s="632"/>
      <c r="P27" s="632"/>
      <c r="Q27" s="632"/>
      <c r="R27" s="632"/>
      <c r="S27" s="656"/>
      <c r="T27" s="632"/>
      <c r="U27" s="632"/>
      <c r="V27" s="632"/>
      <c r="W27" s="654"/>
    </row>
    <row r="28" spans="1:23" ht="15.75">
      <c r="A28" s="2427"/>
      <c r="B28" s="2432"/>
      <c r="C28" s="365" t="s">
        <v>154</v>
      </c>
      <c r="D28" s="364" t="s">
        <v>392</v>
      </c>
      <c r="E28" s="354"/>
      <c r="F28" s="2436"/>
      <c r="G28" s="2436"/>
      <c r="H28" s="2435"/>
      <c r="I28" s="656"/>
      <c r="J28" s="632"/>
      <c r="K28" s="632"/>
      <c r="L28" s="632"/>
      <c r="M28" s="632"/>
      <c r="N28" s="656"/>
      <c r="O28" s="632"/>
      <c r="P28" s="632"/>
      <c r="Q28" s="632"/>
      <c r="R28" s="632"/>
      <c r="S28" s="656"/>
      <c r="T28" s="632"/>
      <c r="U28" s="632"/>
      <c r="V28" s="632"/>
      <c r="W28" s="654"/>
    </row>
    <row r="29" spans="1:23" ht="16.5" thickBot="1">
      <c r="A29" s="2421"/>
      <c r="B29" s="2422"/>
      <c r="C29" s="366" t="s">
        <v>400</v>
      </c>
      <c r="D29" s="364" t="s">
        <v>393</v>
      </c>
      <c r="E29" s="354"/>
      <c r="F29" s="2428"/>
      <c r="G29" s="2428"/>
      <c r="H29" s="2430"/>
      <c r="I29" s="656"/>
      <c r="J29" s="632"/>
      <c r="K29" s="632"/>
      <c r="L29" s="632"/>
      <c r="M29" s="632"/>
      <c r="N29" s="656"/>
      <c r="O29" s="632"/>
      <c r="P29" s="632"/>
      <c r="Q29" s="632"/>
      <c r="R29" s="632"/>
      <c r="S29" s="656"/>
      <c r="T29" s="632"/>
      <c r="U29" s="632"/>
      <c r="V29" s="632"/>
      <c r="W29" s="654"/>
    </row>
    <row r="30" spans="1:23" ht="15.75" customHeight="1">
      <c r="A30" s="1797" t="s">
        <v>153</v>
      </c>
      <c r="B30" s="2420"/>
      <c r="C30" s="367" t="s">
        <v>155</v>
      </c>
      <c r="D30" s="364" t="s">
        <v>266</v>
      </c>
      <c r="E30" s="354"/>
      <c r="F30" s="1791" t="s">
        <v>475</v>
      </c>
      <c r="G30" s="2423"/>
      <c r="H30" s="2429"/>
      <c r="I30" s="656"/>
      <c r="J30" s="632"/>
      <c r="K30" s="632"/>
      <c r="L30" s="632"/>
      <c r="M30" s="632"/>
      <c r="N30" s="656"/>
      <c r="O30" s="632"/>
      <c r="P30" s="632"/>
      <c r="Q30" s="632"/>
      <c r="R30" s="632"/>
      <c r="S30" s="656"/>
      <c r="T30" s="632"/>
      <c r="U30" s="632"/>
      <c r="V30" s="632"/>
      <c r="W30" s="654"/>
    </row>
    <row r="31" spans="1:23" ht="15.75">
      <c r="A31" s="2427"/>
      <c r="B31" s="2432"/>
      <c r="C31" s="365" t="s">
        <v>156</v>
      </c>
      <c r="D31" s="364" t="s">
        <v>394</v>
      </c>
      <c r="E31" s="354"/>
      <c r="F31" s="2436"/>
      <c r="G31" s="2436"/>
      <c r="H31" s="2435"/>
      <c r="I31" s="656"/>
      <c r="J31" s="632"/>
      <c r="K31" s="632"/>
      <c r="L31" s="632"/>
      <c r="M31" s="632"/>
      <c r="N31" s="656"/>
      <c r="O31" s="632"/>
      <c r="P31" s="632"/>
      <c r="Q31" s="632"/>
      <c r="R31" s="632"/>
      <c r="S31" s="656"/>
      <c r="T31" s="632"/>
      <c r="U31" s="632"/>
      <c r="V31" s="632"/>
      <c r="W31" s="654"/>
    </row>
    <row r="32" spans="1:23" ht="16.5" thickBot="1">
      <c r="A32" s="2421"/>
      <c r="B32" s="2422"/>
      <c r="C32" s="366" t="s">
        <v>399</v>
      </c>
      <c r="D32" s="364" t="s">
        <v>395</v>
      </c>
      <c r="E32" s="354"/>
      <c r="F32" s="2428"/>
      <c r="G32" s="2428"/>
      <c r="H32" s="2430"/>
      <c r="I32" s="656"/>
      <c r="J32" s="632"/>
      <c r="K32" s="632"/>
      <c r="L32" s="632"/>
      <c r="M32" s="632"/>
      <c r="N32" s="656"/>
      <c r="O32" s="632"/>
      <c r="P32" s="632"/>
      <c r="Q32" s="632"/>
      <c r="R32" s="632"/>
      <c r="S32" s="656"/>
      <c r="T32" s="632"/>
      <c r="U32" s="632"/>
      <c r="V32" s="632"/>
      <c r="W32" s="654"/>
    </row>
    <row r="33" spans="1:23" ht="16.5" customHeight="1" thickBot="1">
      <c r="A33" s="1797" t="s">
        <v>482</v>
      </c>
      <c r="B33" s="2420"/>
      <c r="C33" s="367" t="s">
        <v>365</v>
      </c>
      <c r="D33" s="364" t="s">
        <v>252</v>
      </c>
      <c r="E33" s="354"/>
      <c r="F33" s="1791" t="s">
        <v>483</v>
      </c>
      <c r="G33" s="2423"/>
      <c r="H33" s="2429"/>
      <c r="I33" s="656"/>
      <c r="J33" s="632"/>
      <c r="K33" s="632"/>
      <c r="L33" s="632"/>
      <c r="M33" s="632"/>
      <c r="N33" s="656"/>
      <c r="O33" s="632"/>
      <c r="P33" s="632"/>
      <c r="Q33" s="632"/>
      <c r="R33" s="632"/>
      <c r="S33" s="656"/>
      <c r="T33" s="632"/>
      <c r="U33" s="632"/>
      <c r="V33" s="632"/>
      <c r="W33" s="654"/>
    </row>
    <row r="34" spans="1:23" ht="16.5" customHeight="1" thickBot="1">
      <c r="A34" s="1797" t="s">
        <v>484</v>
      </c>
      <c r="B34" s="2420"/>
      <c r="C34" s="367" t="s">
        <v>485</v>
      </c>
      <c r="D34" s="364" t="s">
        <v>264</v>
      </c>
      <c r="E34" s="354"/>
      <c r="F34" s="1800"/>
      <c r="G34" s="2423"/>
      <c r="H34" s="2429"/>
      <c r="I34" s="656"/>
      <c r="J34" s="632"/>
      <c r="K34" s="632"/>
      <c r="L34" s="632"/>
      <c r="M34" s="632"/>
      <c r="N34" s="656"/>
      <c r="O34" s="632"/>
      <c r="P34" s="632"/>
      <c r="Q34" s="632"/>
      <c r="R34" s="632"/>
      <c r="S34" s="656"/>
      <c r="T34" s="632"/>
      <c r="U34" s="632"/>
      <c r="V34" s="632"/>
      <c r="W34" s="654"/>
    </row>
    <row r="35" spans="1:23" ht="15.75" customHeight="1">
      <c r="A35" s="1795" t="s">
        <v>486</v>
      </c>
      <c r="B35" s="2420"/>
      <c r="C35" s="368" t="s">
        <v>43</v>
      </c>
      <c r="D35" s="369" t="s">
        <v>256</v>
      </c>
      <c r="E35" s="138"/>
      <c r="F35" s="1828" t="s">
        <v>900</v>
      </c>
      <c r="G35" s="2423"/>
      <c r="H35" s="2429"/>
      <c r="I35" s="656"/>
      <c r="J35" s="632"/>
      <c r="K35" s="632"/>
      <c r="L35" s="632"/>
      <c r="M35" s="632"/>
      <c r="N35" s="656"/>
      <c r="O35" s="632"/>
      <c r="P35" s="632"/>
      <c r="Q35" s="632"/>
      <c r="R35" s="632"/>
      <c r="S35" s="656"/>
      <c r="T35" s="632"/>
      <c r="U35" s="632"/>
      <c r="V35" s="632"/>
      <c r="W35" s="632"/>
    </row>
    <row r="36" spans="1:23" ht="16.5" thickBot="1">
      <c r="A36" s="2421"/>
      <c r="B36" s="2422"/>
      <c r="C36" s="370" t="s">
        <v>60</v>
      </c>
      <c r="D36" s="369" t="s">
        <v>257</v>
      </c>
      <c r="E36" s="354"/>
      <c r="F36" s="2428"/>
      <c r="G36" s="2428"/>
      <c r="H36" s="2430"/>
      <c r="I36" s="656"/>
      <c r="J36" s="632"/>
      <c r="K36" s="632"/>
      <c r="L36" s="632"/>
      <c r="M36" s="632"/>
      <c r="N36" s="656"/>
      <c r="O36" s="632"/>
      <c r="P36" s="632"/>
      <c r="Q36" s="632"/>
      <c r="R36" s="632"/>
      <c r="S36" s="656"/>
      <c r="T36" s="632"/>
      <c r="U36" s="632"/>
      <c r="V36" s="632"/>
      <c r="W36" s="632"/>
    </row>
    <row r="37" spans="1:23" ht="30" customHeight="1">
      <c r="A37" s="1796" t="s">
        <v>33</v>
      </c>
      <c r="B37" s="2423"/>
      <c r="C37" s="371" t="s">
        <v>30</v>
      </c>
      <c r="D37" s="372" t="s">
        <v>170</v>
      </c>
      <c r="E37" s="354" t="s">
        <v>277</v>
      </c>
      <c r="F37" s="2381" t="s">
        <v>488</v>
      </c>
      <c r="G37" s="2381"/>
      <c r="H37" s="2381"/>
      <c r="I37" s="656" t="s">
        <v>277</v>
      </c>
      <c r="J37" s="632">
        <v>1</v>
      </c>
      <c r="K37" s="632"/>
      <c r="L37" s="632">
        <v>150</v>
      </c>
      <c r="M37" s="632">
        <v>90750</v>
      </c>
      <c r="N37" s="656" t="s">
        <v>277</v>
      </c>
      <c r="O37" s="632">
        <v>1</v>
      </c>
      <c r="P37" s="632"/>
      <c r="Q37" s="632">
        <v>150</v>
      </c>
      <c r="R37" s="632">
        <v>90750</v>
      </c>
      <c r="S37" s="656" t="s">
        <v>277</v>
      </c>
      <c r="T37" s="632">
        <v>1</v>
      </c>
      <c r="U37" s="632"/>
      <c r="V37" s="632">
        <v>150</v>
      </c>
      <c r="W37" s="632">
        <v>90750</v>
      </c>
    </row>
    <row r="38" spans="1:23" ht="30" customHeight="1">
      <c r="A38" s="2427"/>
      <c r="B38" s="2424"/>
      <c r="C38" s="373" t="s">
        <v>31</v>
      </c>
      <c r="D38" s="372" t="s">
        <v>169</v>
      </c>
      <c r="E38" s="326" t="s">
        <v>277</v>
      </c>
      <c r="F38" s="2381" t="s">
        <v>901</v>
      </c>
      <c r="G38" s="2381"/>
      <c r="H38" s="2381"/>
      <c r="I38" s="656" t="s">
        <v>277</v>
      </c>
      <c r="J38" s="632">
        <v>5</v>
      </c>
      <c r="K38" s="632"/>
      <c r="L38" s="632">
        <v>500</v>
      </c>
      <c r="M38" s="632">
        <v>442500</v>
      </c>
      <c r="N38" s="656" t="s">
        <v>277</v>
      </c>
      <c r="O38" s="632">
        <v>5</v>
      </c>
      <c r="P38" s="632"/>
      <c r="Q38" s="632">
        <v>500</v>
      </c>
      <c r="R38" s="632">
        <v>442500</v>
      </c>
      <c r="S38" s="656" t="s">
        <v>277</v>
      </c>
      <c r="T38" s="632">
        <v>5</v>
      </c>
      <c r="U38" s="632"/>
      <c r="V38" s="632">
        <v>500</v>
      </c>
      <c r="W38" s="632">
        <v>442500</v>
      </c>
    </row>
    <row r="39" spans="1:23" ht="30.75" thickBot="1">
      <c r="A39" s="2427"/>
      <c r="B39" s="2424"/>
      <c r="C39" s="374" t="s">
        <v>32</v>
      </c>
      <c r="D39" s="372" t="s">
        <v>250</v>
      </c>
      <c r="E39" s="326" t="s">
        <v>277</v>
      </c>
      <c r="F39" s="2381" t="s">
        <v>902</v>
      </c>
      <c r="G39" s="2381"/>
      <c r="H39" s="2381"/>
      <c r="I39" s="656" t="s">
        <v>277</v>
      </c>
      <c r="J39" s="632">
        <v>5</v>
      </c>
      <c r="K39" s="632"/>
      <c r="L39" s="632">
        <v>450</v>
      </c>
      <c r="M39" s="632">
        <v>524250</v>
      </c>
      <c r="N39" s="656" t="s">
        <v>277</v>
      </c>
      <c r="O39" s="632">
        <v>5</v>
      </c>
      <c r="P39" s="632"/>
      <c r="Q39" s="632">
        <v>450</v>
      </c>
      <c r="R39" s="632">
        <v>524250</v>
      </c>
      <c r="S39" s="656" t="s">
        <v>277</v>
      </c>
      <c r="T39" s="632">
        <v>5</v>
      </c>
      <c r="U39" s="632"/>
      <c r="V39" s="632">
        <v>450</v>
      </c>
      <c r="W39" s="632">
        <v>524250</v>
      </c>
    </row>
    <row r="40" spans="1:23" ht="15.75" customHeight="1">
      <c r="A40" s="1786" t="s">
        <v>491</v>
      </c>
      <c r="B40" s="2431"/>
      <c r="C40" s="375" t="s">
        <v>144</v>
      </c>
      <c r="D40" s="376" t="s">
        <v>253</v>
      </c>
      <c r="E40" s="354"/>
      <c r="F40" s="1871" t="s">
        <v>492</v>
      </c>
      <c r="G40" s="2424"/>
      <c r="H40" s="2435"/>
      <c r="I40" s="656"/>
      <c r="J40" s="632"/>
      <c r="K40" s="632"/>
      <c r="L40" s="632"/>
      <c r="M40" s="632"/>
      <c r="N40" s="656"/>
      <c r="O40" s="632"/>
      <c r="P40" s="632"/>
      <c r="Q40" s="632"/>
      <c r="R40" s="632"/>
      <c r="S40" s="656"/>
      <c r="T40" s="632"/>
      <c r="U40" s="632"/>
      <c r="V40" s="632"/>
      <c r="W40" s="632"/>
    </row>
    <row r="41" spans="1:23" ht="16.5" thickBot="1">
      <c r="A41" s="2424"/>
      <c r="B41" s="2432"/>
      <c r="C41" s="377" t="s">
        <v>145</v>
      </c>
      <c r="D41" s="376" t="s">
        <v>254</v>
      </c>
      <c r="E41" s="354"/>
      <c r="F41" s="2428"/>
      <c r="G41" s="2428"/>
      <c r="H41" s="2430"/>
      <c r="I41" s="656"/>
      <c r="J41" s="632"/>
      <c r="K41" s="632"/>
      <c r="L41" s="632"/>
      <c r="M41" s="632"/>
      <c r="N41" s="656"/>
      <c r="O41" s="632"/>
      <c r="P41" s="632"/>
      <c r="Q41" s="632"/>
      <c r="R41" s="632"/>
      <c r="S41" s="656"/>
      <c r="T41" s="632"/>
      <c r="U41" s="632"/>
      <c r="V41" s="632"/>
      <c r="W41" s="632"/>
    </row>
    <row r="42" spans="1:23" ht="32.25" thickBot="1">
      <c r="A42" s="2433"/>
      <c r="B42" s="2434"/>
      <c r="C42" s="378" t="s">
        <v>128</v>
      </c>
      <c r="D42" s="376" t="s">
        <v>262</v>
      </c>
      <c r="E42" s="138" t="s">
        <v>277</v>
      </c>
      <c r="F42" s="1794"/>
      <c r="G42" s="2418"/>
      <c r="H42" s="2419"/>
      <c r="I42" s="656" t="s">
        <v>277</v>
      </c>
      <c r="J42" s="632">
        <v>10</v>
      </c>
      <c r="K42" s="632"/>
      <c r="L42" s="632">
        <v>500</v>
      </c>
      <c r="M42" s="632">
        <v>180000</v>
      </c>
      <c r="N42" s="656" t="s">
        <v>277</v>
      </c>
      <c r="O42" s="632">
        <v>10</v>
      </c>
      <c r="P42" s="632"/>
      <c r="Q42" s="632">
        <v>500</v>
      </c>
      <c r="R42" s="632">
        <v>180000</v>
      </c>
      <c r="S42" s="656" t="s">
        <v>277</v>
      </c>
      <c r="T42" s="632">
        <v>10</v>
      </c>
      <c r="U42" s="632"/>
      <c r="V42" s="632">
        <v>500</v>
      </c>
      <c r="W42" s="632">
        <v>180000</v>
      </c>
    </row>
    <row r="43" spans="1:23" ht="15.75" customHeight="1" thickBot="1">
      <c r="A43" s="1775" t="s">
        <v>493</v>
      </c>
      <c r="B43" s="2425"/>
      <c r="C43" s="2426"/>
      <c r="D43" s="379" t="s">
        <v>237</v>
      </c>
      <c r="E43" s="138" t="s">
        <v>277</v>
      </c>
      <c r="F43" s="1818" t="s">
        <v>903</v>
      </c>
      <c r="G43" s="2418"/>
      <c r="H43" s="2419"/>
      <c r="I43" s="656" t="s">
        <v>277</v>
      </c>
      <c r="J43" s="632">
        <v>3</v>
      </c>
      <c r="K43" s="632"/>
      <c r="L43" s="632">
        <v>18</v>
      </c>
      <c r="M43" s="632">
        <v>58680</v>
      </c>
      <c r="N43" s="656" t="s">
        <v>277</v>
      </c>
      <c r="O43" s="632">
        <v>3</v>
      </c>
      <c r="P43" s="632"/>
      <c r="Q43" s="632">
        <v>18</v>
      </c>
      <c r="R43" s="632">
        <v>58680</v>
      </c>
      <c r="S43" s="656" t="s">
        <v>277</v>
      </c>
      <c r="T43" s="632">
        <v>3</v>
      </c>
      <c r="U43" s="632"/>
      <c r="V43" s="632">
        <v>18</v>
      </c>
      <c r="W43" s="632">
        <v>58680</v>
      </c>
    </row>
    <row r="44" spans="1:23" ht="15.75" customHeight="1" thickBot="1">
      <c r="A44" s="1775" t="s">
        <v>133</v>
      </c>
      <c r="B44" s="2425"/>
      <c r="C44" s="2426"/>
      <c r="D44" s="379" t="s">
        <v>238</v>
      </c>
      <c r="E44" s="354"/>
      <c r="F44" s="1763" t="s">
        <v>495</v>
      </c>
      <c r="G44" s="2418"/>
      <c r="H44" s="2419"/>
      <c r="I44" s="656"/>
      <c r="J44" s="632"/>
      <c r="K44" s="632"/>
      <c r="L44" s="632"/>
      <c r="M44" s="632"/>
      <c r="N44" s="656"/>
      <c r="O44" s="632"/>
      <c r="P44" s="632"/>
      <c r="Q44" s="632"/>
      <c r="R44" s="632"/>
      <c r="S44" s="656"/>
      <c r="T44" s="632"/>
      <c r="U44" s="632"/>
      <c r="V44" s="632"/>
      <c r="W44" s="632"/>
    </row>
    <row r="45" spans="1:23" ht="73.5" customHeight="1">
      <c r="A45" s="1778" t="s">
        <v>41</v>
      </c>
      <c r="B45" s="2424"/>
      <c r="C45" s="380" t="s">
        <v>50</v>
      </c>
      <c r="D45" s="381" t="s">
        <v>246</v>
      </c>
      <c r="E45" s="138" t="s">
        <v>277</v>
      </c>
      <c r="F45" s="1785" t="s">
        <v>1651</v>
      </c>
      <c r="G45" s="2418"/>
      <c r="H45" s="2419"/>
      <c r="I45" s="656" t="s">
        <v>277</v>
      </c>
      <c r="J45" s="632">
        <v>1</v>
      </c>
      <c r="K45" s="632"/>
      <c r="L45" s="632">
        <v>10</v>
      </c>
      <c r="M45" s="632">
        <v>4100</v>
      </c>
      <c r="N45" s="656" t="s">
        <v>277</v>
      </c>
      <c r="O45" s="632">
        <v>1</v>
      </c>
      <c r="P45" s="632"/>
      <c r="Q45" s="632">
        <v>10</v>
      </c>
      <c r="R45" s="632">
        <v>4100</v>
      </c>
      <c r="S45" s="656" t="s">
        <v>277</v>
      </c>
      <c r="T45" s="632">
        <v>1</v>
      </c>
      <c r="U45" s="632"/>
      <c r="V45" s="632">
        <v>10</v>
      </c>
      <c r="W45" s="632">
        <v>4100</v>
      </c>
    </row>
    <row r="46" spans="1:23" ht="79.5" customHeight="1">
      <c r="A46" s="2427"/>
      <c r="B46" s="2424"/>
      <c r="C46" s="382" t="s">
        <v>51</v>
      </c>
      <c r="D46" s="381" t="s">
        <v>247</v>
      </c>
      <c r="E46" s="138" t="s">
        <v>277</v>
      </c>
      <c r="F46" s="1785" t="s">
        <v>496</v>
      </c>
      <c r="G46" s="2418"/>
      <c r="H46" s="2419"/>
      <c r="I46" s="656" t="s">
        <v>277</v>
      </c>
      <c r="J46" s="632">
        <v>10</v>
      </c>
      <c r="K46" s="632"/>
      <c r="L46" s="632">
        <v>100</v>
      </c>
      <c r="M46" s="632">
        <v>72500</v>
      </c>
      <c r="N46" s="656" t="s">
        <v>277</v>
      </c>
      <c r="O46" s="632">
        <v>10</v>
      </c>
      <c r="P46" s="632"/>
      <c r="Q46" s="632">
        <v>100</v>
      </c>
      <c r="R46" s="632">
        <v>72500</v>
      </c>
      <c r="S46" s="656" t="s">
        <v>277</v>
      </c>
      <c r="T46" s="632">
        <v>10</v>
      </c>
      <c r="U46" s="632"/>
      <c r="V46" s="632">
        <v>100</v>
      </c>
      <c r="W46" s="632">
        <v>72500</v>
      </c>
    </row>
    <row r="47" spans="1:23" ht="62.25" customHeight="1">
      <c r="A47" s="2427"/>
      <c r="B47" s="2424"/>
      <c r="C47" s="382" t="s">
        <v>39</v>
      </c>
      <c r="D47" s="381" t="s">
        <v>248</v>
      </c>
      <c r="E47" s="138" t="s">
        <v>277</v>
      </c>
      <c r="F47" s="1785" t="s">
        <v>904</v>
      </c>
      <c r="G47" s="2418"/>
      <c r="H47" s="2419"/>
      <c r="I47" s="656" t="s">
        <v>277</v>
      </c>
      <c r="J47" s="632">
        <v>8</v>
      </c>
      <c r="K47" s="632"/>
      <c r="L47" s="632">
        <v>80</v>
      </c>
      <c r="M47" s="632">
        <v>80000</v>
      </c>
      <c r="N47" s="656" t="s">
        <v>277</v>
      </c>
      <c r="O47" s="632">
        <v>8</v>
      </c>
      <c r="P47" s="632"/>
      <c r="Q47" s="632">
        <v>80</v>
      </c>
      <c r="R47" s="632">
        <v>80000</v>
      </c>
      <c r="S47" s="656" t="s">
        <v>277</v>
      </c>
      <c r="T47" s="632">
        <v>8</v>
      </c>
      <c r="U47" s="632"/>
      <c r="V47" s="632">
        <v>80</v>
      </c>
      <c r="W47" s="632">
        <v>80000</v>
      </c>
    </row>
    <row r="48" spans="1:23" ht="15.75" customHeight="1" thickBot="1">
      <c r="A48" s="2421"/>
      <c r="B48" s="2428"/>
      <c r="C48" s="383" t="s">
        <v>40</v>
      </c>
      <c r="D48" s="381" t="s">
        <v>249</v>
      </c>
      <c r="E48" s="354"/>
      <c r="F48" s="1781" t="s">
        <v>498</v>
      </c>
      <c r="G48" s="2418"/>
      <c r="H48" s="2419"/>
      <c r="I48" s="656"/>
      <c r="J48" s="632"/>
      <c r="K48" s="632"/>
      <c r="L48" s="632"/>
      <c r="M48" s="632"/>
      <c r="N48" s="656"/>
      <c r="O48" s="632"/>
      <c r="P48" s="632"/>
      <c r="Q48" s="632"/>
      <c r="R48" s="632"/>
      <c r="S48" s="656"/>
      <c r="T48" s="632"/>
      <c r="U48" s="632"/>
      <c r="V48" s="632"/>
      <c r="W48" s="632"/>
    </row>
    <row r="49" spans="1:23" ht="15.75" customHeight="1">
      <c r="A49" s="1765" t="s">
        <v>130</v>
      </c>
      <c r="B49" s="2420"/>
      <c r="C49" s="375" t="s">
        <v>131</v>
      </c>
      <c r="D49" s="376" t="s">
        <v>255</v>
      </c>
      <c r="E49" s="354"/>
      <c r="F49" s="1769"/>
      <c r="G49" s="2418"/>
      <c r="H49" s="2419"/>
      <c r="I49" s="656"/>
      <c r="J49" s="632"/>
      <c r="K49" s="632"/>
      <c r="L49" s="632"/>
      <c r="M49" s="632"/>
      <c r="N49" s="656"/>
      <c r="O49" s="632"/>
      <c r="P49" s="632"/>
      <c r="Q49" s="632"/>
      <c r="R49" s="632"/>
      <c r="S49" s="656"/>
      <c r="T49" s="632"/>
      <c r="U49" s="632"/>
      <c r="V49" s="632"/>
      <c r="W49" s="632"/>
    </row>
    <row r="50" spans="1:23" ht="32.25" thickBot="1">
      <c r="A50" s="2421"/>
      <c r="B50" s="2422"/>
      <c r="C50" s="384" t="s">
        <v>132</v>
      </c>
      <c r="D50" s="376" t="s">
        <v>263</v>
      </c>
      <c r="E50" s="354"/>
      <c r="F50" s="1769"/>
      <c r="G50" s="2418"/>
      <c r="H50" s="2419"/>
      <c r="I50" s="656"/>
      <c r="J50" s="632"/>
      <c r="K50" s="632"/>
      <c r="L50" s="632"/>
      <c r="M50" s="632"/>
      <c r="N50" s="656"/>
      <c r="O50" s="632"/>
      <c r="P50" s="632"/>
      <c r="Q50" s="632"/>
      <c r="R50" s="632"/>
      <c r="S50" s="656"/>
      <c r="T50" s="632"/>
      <c r="U50" s="632"/>
      <c r="V50" s="632"/>
      <c r="W50" s="632"/>
    </row>
    <row r="51" spans="1:23" ht="15" customHeight="1">
      <c r="A51" s="1770" t="s">
        <v>42</v>
      </c>
      <c r="B51" s="2423"/>
      <c r="C51" s="385" t="s">
        <v>38</v>
      </c>
      <c r="D51" s="386" t="s">
        <v>239</v>
      </c>
      <c r="E51" s="138" t="s">
        <v>277</v>
      </c>
      <c r="F51" s="1818" t="s">
        <v>905</v>
      </c>
      <c r="G51" s="2418"/>
      <c r="H51" s="2419"/>
      <c r="I51" s="656" t="s">
        <v>277</v>
      </c>
      <c r="J51" s="632">
        <v>10</v>
      </c>
      <c r="K51" s="632"/>
      <c r="L51" s="632">
        <v>10000</v>
      </c>
      <c r="M51" s="632">
        <v>40000</v>
      </c>
      <c r="N51" s="656" t="s">
        <v>277</v>
      </c>
      <c r="O51" s="632">
        <v>10</v>
      </c>
      <c r="P51" s="632"/>
      <c r="Q51" s="632">
        <v>10000</v>
      </c>
      <c r="R51" s="632">
        <v>40000</v>
      </c>
      <c r="S51" s="656" t="s">
        <v>277</v>
      </c>
      <c r="T51" s="632">
        <v>10</v>
      </c>
      <c r="U51" s="632"/>
      <c r="V51" s="632">
        <v>10000</v>
      </c>
      <c r="W51" s="632">
        <v>40000</v>
      </c>
    </row>
    <row r="52" spans="1:23">
      <c r="A52" s="2424"/>
      <c r="B52" s="2424"/>
      <c r="C52" s="387" t="s">
        <v>55</v>
      </c>
      <c r="D52" s="386" t="s">
        <v>240</v>
      </c>
      <c r="E52" s="138" t="s">
        <v>277</v>
      </c>
      <c r="F52" s="1773"/>
      <c r="G52" s="2418"/>
      <c r="H52" s="2419"/>
      <c r="I52" s="656" t="s">
        <v>277</v>
      </c>
      <c r="J52" s="632">
        <v>10</v>
      </c>
      <c r="K52" s="632"/>
      <c r="L52" s="632">
        <v>100</v>
      </c>
      <c r="M52" s="632">
        <v>31000</v>
      </c>
      <c r="N52" s="656" t="s">
        <v>277</v>
      </c>
      <c r="O52" s="632">
        <v>10</v>
      </c>
      <c r="P52" s="632"/>
      <c r="Q52" s="632">
        <v>100</v>
      </c>
      <c r="R52" s="632">
        <v>31000</v>
      </c>
      <c r="S52" s="656" t="s">
        <v>277</v>
      </c>
      <c r="T52" s="632">
        <v>10</v>
      </c>
      <c r="U52" s="632"/>
      <c r="V52" s="632">
        <v>100</v>
      </c>
      <c r="W52" s="632">
        <v>31000</v>
      </c>
    </row>
    <row r="53" spans="1:23" ht="16.5" thickBot="1">
      <c r="A53" s="2424"/>
      <c r="B53" s="2424"/>
      <c r="C53" s="377" t="s">
        <v>48</v>
      </c>
      <c r="D53" s="388" t="s">
        <v>241</v>
      </c>
      <c r="E53" s="354"/>
      <c r="F53" s="1774"/>
      <c r="G53" s="2418"/>
      <c r="H53" s="2419"/>
      <c r="I53" s="656"/>
      <c r="J53" s="632"/>
      <c r="K53" s="632"/>
      <c r="L53" s="632"/>
      <c r="M53" s="632"/>
      <c r="N53" s="656"/>
      <c r="O53" s="632"/>
      <c r="P53" s="632"/>
      <c r="Q53" s="632"/>
      <c r="R53" s="632"/>
      <c r="S53" s="656"/>
      <c r="T53" s="632"/>
      <c r="U53" s="632"/>
      <c r="V53" s="632"/>
      <c r="W53" s="654"/>
    </row>
    <row r="54" spans="1:23" ht="16.5" customHeight="1" thickBot="1">
      <c r="A54" s="1761" t="s">
        <v>500</v>
      </c>
      <c r="B54" s="2418"/>
      <c r="C54" s="389" t="s">
        <v>134</v>
      </c>
      <c r="D54" s="390" t="s">
        <v>269</v>
      </c>
      <c r="E54" s="391"/>
      <c r="F54" s="1763" t="s">
        <v>501</v>
      </c>
      <c r="G54" s="2418"/>
      <c r="H54" s="2419"/>
      <c r="I54" s="659"/>
      <c r="J54" s="658"/>
      <c r="K54" s="658"/>
      <c r="L54" s="658"/>
      <c r="M54" s="658"/>
      <c r="N54" s="659"/>
      <c r="O54" s="658"/>
      <c r="P54" s="658"/>
      <c r="Q54" s="658"/>
      <c r="R54" s="658"/>
      <c r="S54" s="659"/>
      <c r="T54" s="658"/>
      <c r="U54" s="658"/>
      <c r="V54" s="658"/>
      <c r="W54" s="660"/>
    </row>
    <row r="56" spans="1:23">
      <c r="M56">
        <f>SUM(M37:M53)</f>
        <v>1523780</v>
      </c>
    </row>
    <row r="58" spans="1:23">
      <c r="A58" s="1829" t="s">
        <v>1270</v>
      </c>
      <c r="B58" s="2437"/>
      <c r="C58" s="2437"/>
      <c r="D58" s="2437"/>
      <c r="E58" s="2437"/>
      <c r="F58" s="2437"/>
    </row>
    <row r="59" spans="1:23" ht="90">
      <c r="A59" s="1414" t="s">
        <v>1271</v>
      </c>
      <c r="B59" s="1414" t="s">
        <v>1272</v>
      </c>
      <c r="C59" s="1414" t="s">
        <v>1471</v>
      </c>
      <c r="D59" s="1414" t="s">
        <v>1274</v>
      </c>
      <c r="E59" s="1414" t="s">
        <v>1275</v>
      </c>
      <c r="F59" s="1414" t="s">
        <v>1276</v>
      </c>
    </row>
    <row r="60" spans="1:23" ht="90">
      <c r="A60" s="1415" t="s">
        <v>1293</v>
      </c>
      <c r="B60" s="1417" t="s">
        <v>1294</v>
      </c>
      <c r="C60" s="1413">
        <v>1</v>
      </c>
      <c r="D60" s="1416" t="s">
        <v>1084</v>
      </c>
      <c r="E60" s="1416" t="s">
        <v>1295</v>
      </c>
      <c r="F60" s="1413">
        <v>10</v>
      </c>
    </row>
    <row r="61" spans="1:23" ht="45">
      <c r="A61" s="1415" t="s">
        <v>1296</v>
      </c>
      <c r="B61" s="1417" t="s">
        <v>1294</v>
      </c>
      <c r="C61" s="1413">
        <v>1</v>
      </c>
      <c r="D61" s="1416" t="s">
        <v>1297</v>
      </c>
      <c r="E61" s="1416" t="s">
        <v>1295</v>
      </c>
      <c r="F61" s="1413">
        <v>10</v>
      </c>
    </row>
    <row r="62" spans="1:23" ht="75">
      <c r="A62" s="1415" t="s">
        <v>1298</v>
      </c>
      <c r="B62" s="1417" t="s">
        <v>1294</v>
      </c>
      <c r="C62" s="1413">
        <v>1</v>
      </c>
      <c r="D62" s="1416" t="s">
        <v>1297</v>
      </c>
      <c r="E62" s="1416" t="s">
        <v>1299</v>
      </c>
      <c r="F62" s="1413">
        <v>10</v>
      </c>
    </row>
    <row r="63" spans="1:23" ht="75">
      <c r="A63" s="1415" t="s">
        <v>1300</v>
      </c>
      <c r="B63" s="1417" t="s">
        <v>1294</v>
      </c>
      <c r="C63" s="1413">
        <v>1</v>
      </c>
      <c r="D63" s="1416" t="s">
        <v>1297</v>
      </c>
      <c r="E63" s="1416" t="s">
        <v>1301</v>
      </c>
      <c r="F63" s="1413">
        <v>10</v>
      </c>
    </row>
    <row r="64" spans="1:23" ht="60">
      <c r="A64" s="1415" t="s">
        <v>1302</v>
      </c>
      <c r="B64" s="1417" t="s">
        <v>1294</v>
      </c>
      <c r="C64" s="1413">
        <v>1</v>
      </c>
      <c r="D64" s="1416" t="s">
        <v>1297</v>
      </c>
      <c r="E64" s="1416" t="s">
        <v>1301</v>
      </c>
      <c r="F64" s="1413">
        <v>10</v>
      </c>
    </row>
    <row r="65" spans="1:6">
      <c r="A65" s="1413" t="s">
        <v>1303</v>
      </c>
      <c r="B65" s="1413"/>
      <c r="C65" s="1413">
        <v>0.5</v>
      </c>
      <c r="D65" s="1413"/>
      <c r="E65" s="1413"/>
      <c r="F65" s="1413"/>
    </row>
    <row r="66" spans="1:6">
      <c r="A66" s="1413" t="s">
        <v>1304</v>
      </c>
      <c r="B66" s="1413"/>
      <c r="C66" s="1413">
        <v>0.5</v>
      </c>
      <c r="D66" s="1413"/>
      <c r="E66" s="1413"/>
      <c r="F66" s="1413"/>
    </row>
  </sheetData>
  <mergeCells count="59">
    <mergeCell ref="A58:F58"/>
    <mergeCell ref="I13:M13"/>
    <mergeCell ref="N13:R13"/>
    <mergeCell ref="S13:W13"/>
    <mergeCell ref="A10:B10"/>
    <mergeCell ref="E12:H13"/>
    <mergeCell ref="A14:B14"/>
    <mergeCell ref="F14:H14"/>
    <mergeCell ref="C10:H10"/>
    <mergeCell ref="A15:B17"/>
    <mergeCell ref="F15:H17"/>
    <mergeCell ref="F18:H20"/>
    <mergeCell ref="F21:H22"/>
    <mergeCell ref="A23:B25"/>
    <mergeCell ref="F23:H25"/>
    <mergeCell ref="A21:B22"/>
    <mergeCell ref="B2:D2"/>
    <mergeCell ref="B3:D3"/>
    <mergeCell ref="B8:D8"/>
    <mergeCell ref="B4:D4"/>
    <mergeCell ref="B6:D6"/>
    <mergeCell ref="A18:B20"/>
    <mergeCell ref="A26:C26"/>
    <mergeCell ref="F26:H26"/>
    <mergeCell ref="A27:B29"/>
    <mergeCell ref="F27:H29"/>
    <mergeCell ref="A30:B32"/>
    <mergeCell ref="F30:H32"/>
    <mergeCell ref="A33:B33"/>
    <mergeCell ref="F33:H33"/>
    <mergeCell ref="A34:B34"/>
    <mergeCell ref="F34:H34"/>
    <mergeCell ref="A35:B36"/>
    <mergeCell ref="F35:H36"/>
    <mergeCell ref="A37:B39"/>
    <mergeCell ref="F37:H37"/>
    <mergeCell ref="A40:B42"/>
    <mergeCell ref="F40:H41"/>
    <mergeCell ref="F42:H42"/>
    <mergeCell ref="F38:H38"/>
    <mergeCell ref="F39:H39"/>
    <mergeCell ref="A43:C43"/>
    <mergeCell ref="F43:H43"/>
    <mergeCell ref="A44:C44"/>
    <mergeCell ref="F44:H44"/>
    <mergeCell ref="A45:B48"/>
    <mergeCell ref="F45:H45"/>
    <mergeCell ref="F46:H46"/>
    <mergeCell ref="F47:H47"/>
    <mergeCell ref="F48:H48"/>
    <mergeCell ref="A54:B54"/>
    <mergeCell ref="F54:H54"/>
    <mergeCell ref="A49:B50"/>
    <mergeCell ref="F49:H49"/>
    <mergeCell ref="F50:H50"/>
    <mergeCell ref="A51:B53"/>
    <mergeCell ref="F51:H51"/>
    <mergeCell ref="F52:H52"/>
    <mergeCell ref="F53:H53"/>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3" location="SOMMAIRE!A1" display="Retour sommaire"/>
    <hyperlink ref="J5" location="SYNTHESE!A1" display="Retour synthèse"/>
  </hyperlink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W79"/>
  <sheetViews>
    <sheetView topLeftCell="A46" zoomScale="78" zoomScaleNormal="78" workbookViewId="0">
      <selection activeCell="F47" sqref="F47:H47"/>
    </sheetView>
  </sheetViews>
  <sheetFormatPr baseColWidth="10" defaultRowHeight="15"/>
  <cols>
    <col min="3" max="3" width="52" customWidth="1"/>
    <col min="8" max="8" width="17.7109375" customWidth="1"/>
  </cols>
  <sheetData>
    <row r="1" spans="1:23" ht="15.75" thickBot="1">
      <c r="A1" s="182"/>
      <c r="B1" s="182"/>
      <c r="C1" s="182"/>
      <c r="D1" s="182"/>
      <c r="E1" s="182"/>
      <c r="F1" s="182"/>
      <c r="G1" s="182"/>
      <c r="H1" s="182"/>
    </row>
    <row r="2" spans="1:23" ht="15.75" thickBot="1">
      <c r="A2" s="328" t="s">
        <v>0</v>
      </c>
      <c r="B2" s="2438" t="s">
        <v>906</v>
      </c>
      <c r="C2" s="2439"/>
      <c r="D2" s="2440"/>
      <c r="E2" s="329"/>
      <c r="F2" s="329"/>
      <c r="G2" s="330" t="s">
        <v>462</v>
      </c>
      <c r="H2" s="112" t="s">
        <v>14</v>
      </c>
      <c r="J2" s="13" t="s">
        <v>73</v>
      </c>
      <c r="K2" s="1251"/>
    </row>
    <row r="3" spans="1:23" ht="16.5" thickTop="1" thickBot="1">
      <c r="A3" s="331" t="s">
        <v>344</v>
      </c>
      <c r="B3" s="2441" t="s">
        <v>907</v>
      </c>
      <c r="C3" s="2442"/>
      <c r="D3" s="2443"/>
      <c r="E3" s="329"/>
      <c r="F3" s="329"/>
      <c r="G3" s="332" t="s">
        <v>10</v>
      </c>
      <c r="H3" s="112" t="s">
        <v>16</v>
      </c>
      <c r="J3" s="13"/>
      <c r="K3" s="1251"/>
    </row>
    <row r="4" spans="1:23" ht="16.5" thickTop="1" thickBot="1">
      <c r="A4" s="332" t="s">
        <v>3</v>
      </c>
      <c r="B4" s="2444" t="s">
        <v>1221</v>
      </c>
      <c r="C4" s="2445"/>
      <c r="D4" s="2446"/>
      <c r="E4" s="333"/>
      <c r="F4" s="329"/>
      <c r="G4" s="334" t="s">
        <v>26</v>
      </c>
      <c r="H4" s="392">
        <v>10</v>
      </c>
      <c r="J4" s="13" t="s">
        <v>381</v>
      </c>
      <c r="K4" s="1251"/>
    </row>
    <row r="5" spans="1:23" ht="15.75" thickBot="1">
      <c r="A5" s="329"/>
      <c r="B5" s="575"/>
      <c r="C5" s="576"/>
      <c r="D5" s="577"/>
      <c r="E5" s="329"/>
      <c r="F5" s="329"/>
      <c r="G5" s="329"/>
      <c r="H5" s="329"/>
    </row>
    <row r="6" spans="1:23" ht="121.5" customHeight="1" thickTop="1" thickBot="1">
      <c r="A6" s="328" t="s">
        <v>465</v>
      </c>
      <c r="B6" s="2450" t="s">
        <v>1596</v>
      </c>
      <c r="C6" s="2451"/>
      <c r="D6" s="2452"/>
      <c r="E6" s="329"/>
      <c r="F6" s="329"/>
      <c r="G6" s="335" t="s">
        <v>466</v>
      </c>
      <c r="H6" s="1165" t="s">
        <v>1217</v>
      </c>
    </row>
    <row r="7" spans="1:23" ht="15.75" thickBot="1">
      <c r="A7" s="182"/>
      <c r="B7" s="329"/>
      <c r="C7" s="329"/>
      <c r="D7" s="329"/>
      <c r="E7" s="329"/>
      <c r="F7" s="329"/>
      <c r="G7" s="337"/>
      <c r="H7" s="329"/>
    </row>
    <row r="8" spans="1:23" ht="60.75" customHeight="1" thickBot="1">
      <c r="A8" s="338" t="s">
        <v>7</v>
      </c>
      <c r="B8" s="2453" t="s">
        <v>1218</v>
      </c>
      <c r="C8" s="2454"/>
      <c r="D8" s="2455"/>
      <c r="E8" s="333"/>
      <c r="F8" s="339"/>
      <c r="G8" s="338" t="s">
        <v>469</v>
      </c>
      <c r="H8" s="123" t="s">
        <v>508</v>
      </c>
    </row>
    <row r="9" spans="1:23">
      <c r="A9" s="182"/>
      <c r="B9" s="329"/>
      <c r="C9" s="329"/>
      <c r="D9" s="329"/>
      <c r="E9" s="329"/>
      <c r="F9" s="329"/>
      <c r="G9" s="337"/>
      <c r="H9" s="329"/>
    </row>
    <row r="10" spans="1:23" ht="75.75" customHeight="1">
      <c r="A10" s="1813" t="s">
        <v>471</v>
      </c>
      <c r="B10" s="2424"/>
      <c r="C10" s="1805" t="s">
        <v>1219</v>
      </c>
      <c r="D10" s="1806"/>
      <c r="E10" s="1806"/>
      <c r="F10" s="1806"/>
      <c r="G10" s="1806"/>
      <c r="H10" s="1806"/>
    </row>
    <row r="11" spans="1:23">
      <c r="A11" s="343"/>
      <c r="B11" s="333"/>
      <c r="C11" s="333"/>
      <c r="D11" s="333"/>
      <c r="E11" s="333"/>
      <c r="F11" s="339"/>
      <c r="G11" s="342"/>
      <c r="H11" s="342"/>
    </row>
    <row r="12" spans="1:23">
      <c r="A12" s="343"/>
      <c r="B12" s="333"/>
      <c r="C12" s="333"/>
      <c r="D12" s="333"/>
      <c r="E12" s="1814" t="s">
        <v>473</v>
      </c>
      <c r="F12" s="2424"/>
      <c r="G12" s="2424"/>
      <c r="H12" s="2424"/>
    </row>
    <row r="13" spans="1:23">
      <c r="A13" s="329"/>
      <c r="B13" s="329"/>
      <c r="C13" s="329"/>
      <c r="D13" s="329"/>
      <c r="E13" s="2428"/>
      <c r="F13" s="2428"/>
      <c r="G13" s="2428"/>
      <c r="H13" s="2428"/>
      <c r="I13" s="1817">
        <v>2025</v>
      </c>
      <c r="J13" s="2418"/>
      <c r="K13" s="2418"/>
      <c r="L13" s="2418"/>
      <c r="M13" s="2419"/>
      <c r="N13" s="1817">
        <v>2026</v>
      </c>
      <c r="O13" s="2418"/>
      <c r="P13" s="2418"/>
      <c r="Q13" s="2418"/>
      <c r="R13" s="2419"/>
      <c r="S13" s="1817">
        <v>2027</v>
      </c>
      <c r="T13" s="2418"/>
      <c r="U13" s="2418"/>
      <c r="V13" s="2418"/>
      <c r="W13" s="2419"/>
    </row>
    <row r="14" spans="1:23" ht="45.75" thickBot="1">
      <c r="A14" s="1816" t="s">
        <v>5</v>
      </c>
      <c r="B14" s="2429"/>
      <c r="C14" s="344" t="s">
        <v>1</v>
      </c>
      <c r="D14" s="344" t="s">
        <v>260</v>
      </c>
      <c r="E14" s="394" t="s">
        <v>474</v>
      </c>
      <c r="F14" s="1815" t="s">
        <v>6</v>
      </c>
      <c r="G14" s="2418"/>
      <c r="H14" s="2419"/>
      <c r="I14" s="643" t="s">
        <v>474</v>
      </c>
      <c r="J14" s="644" t="s">
        <v>944</v>
      </c>
      <c r="K14" s="645" t="s">
        <v>945</v>
      </c>
      <c r="L14" s="644" t="s">
        <v>946</v>
      </c>
      <c r="M14" s="646" t="s">
        <v>947</v>
      </c>
      <c r="N14" s="643" t="s">
        <v>474</v>
      </c>
      <c r="O14" s="644" t="s">
        <v>944</v>
      </c>
      <c r="P14" s="645" t="s">
        <v>945</v>
      </c>
      <c r="Q14" s="644" t="s">
        <v>946</v>
      </c>
      <c r="R14" s="646" t="s">
        <v>947</v>
      </c>
      <c r="S14" s="643" t="s">
        <v>474</v>
      </c>
      <c r="T14" s="644" t="s">
        <v>944</v>
      </c>
      <c r="U14" s="645" t="s">
        <v>945</v>
      </c>
      <c r="V14" s="644" t="s">
        <v>946</v>
      </c>
      <c r="W14" s="646" t="s">
        <v>947</v>
      </c>
    </row>
    <row r="15" spans="1:23" ht="15" customHeight="1">
      <c r="A15" s="1804" t="s">
        <v>17</v>
      </c>
      <c r="B15" s="2423"/>
      <c r="C15" s="346" t="s">
        <v>59</v>
      </c>
      <c r="D15" s="347" t="s">
        <v>251</v>
      </c>
      <c r="E15" s="348"/>
      <c r="F15" s="1828" t="s">
        <v>1220</v>
      </c>
      <c r="G15" s="2447"/>
      <c r="H15" s="2447"/>
      <c r="I15" s="722"/>
      <c r="J15" s="1177"/>
      <c r="K15" s="1177"/>
      <c r="L15" s="1177"/>
      <c r="M15" s="1178"/>
      <c r="N15" s="1195"/>
      <c r="O15" s="1196"/>
      <c r="P15" s="1196"/>
      <c r="Q15" s="1196"/>
      <c r="R15" s="1197"/>
      <c r="S15" s="1195"/>
      <c r="T15" s="1196"/>
      <c r="U15" s="1196"/>
      <c r="V15" s="1196"/>
      <c r="W15" s="1206"/>
    </row>
    <row r="16" spans="1:23">
      <c r="A16" s="2424"/>
      <c r="B16" s="2424"/>
      <c r="C16" s="349" t="s">
        <v>18</v>
      </c>
      <c r="D16" s="350" t="s">
        <v>168</v>
      </c>
      <c r="E16" s="135" t="s">
        <v>277</v>
      </c>
      <c r="F16" s="1798"/>
      <c r="G16" s="1798"/>
      <c r="H16" s="2448"/>
      <c r="I16" s="723" t="s">
        <v>277</v>
      </c>
      <c r="J16" s="1207">
        <v>1</v>
      </c>
      <c r="K16" s="1181"/>
      <c r="L16" s="1181">
        <v>100</v>
      </c>
      <c r="M16" s="1181">
        <f>(L16*143)*5</f>
        <v>71500</v>
      </c>
      <c r="N16" s="723" t="s">
        <v>277</v>
      </c>
      <c r="O16" s="1207">
        <v>1</v>
      </c>
      <c r="P16" s="1181"/>
      <c r="Q16" s="1181">
        <v>100</v>
      </c>
      <c r="R16" s="1181">
        <f>(Q16*143)*5</f>
        <v>71500</v>
      </c>
      <c r="S16" s="723" t="s">
        <v>277</v>
      </c>
      <c r="T16" s="1207">
        <v>1</v>
      </c>
      <c r="U16" s="1181"/>
      <c r="V16" s="1181">
        <v>100</v>
      </c>
      <c r="W16" s="1181">
        <f>(V16*143)*5</f>
        <v>71500</v>
      </c>
    </row>
    <row r="17" spans="1:23" ht="15.75" thickBot="1">
      <c r="A17" s="2428"/>
      <c r="B17" s="2428"/>
      <c r="C17" s="352" t="s">
        <v>19</v>
      </c>
      <c r="D17" s="353" t="s">
        <v>233</v>
      </c>
      <c r="E17" s="138" t="s">
        <v>277</v>
      </c>
      <c r="F17" s="2449"/>
      <c r="G17" s="2449"/>
      <c r="H17" s="2449"/>
      <c r="I17" s="723" t="s">
        <v>277</v>
      </c>
      <c r="J17" s="1207">
        <v>1</v>
      </c>
      <c r="K17" s="1181"/>
      <c r="L17" s="1181">
        <v>100</v>
      </c>
      <c r="M17" s="1181">
        <f>(L17*281)*5</f>
        <v>140500</v>
      </c>
      <c r="N17" s="723" t="s">
        <v>277</v>
      </c>
      <c r="O17" s="1207">
        <v>1</v>
      </c>
      <c r="P17" s="1181"/>
      <c r="Q17" s="1181">
        <v>100</v>
      </c>
      <c r="R17" s="1181">
        <f>(Q17*281)*5</f>
        <v>140500</v>
      </c>
      <c r="S17" s="723" t="s">
        <v>277</v>
      </c>
      <c r="T17" s="1207">
        <v>1</v>
      </c>
      <c r="U17" s="1181"/>
      <c r="V17" s="1181">
        <v>100</v>
      </c>
      <c r="W17" s="1181">
        <f>(V17*281)*5</f>
        <v>140500</v>
      </c>
    </row>
    <row r="18" spans="1:23">
      <c r="A18" s="1804" t="s">
        <v>20</v>
      </c>
      <c r="B18" s="2423"/>
      <c r="C18" s="346" t="s">
        <v>54</v>
      </c>
      <c r="D18" s="353" t="s">
        <v>261</v>
      </c>
      <c r="E18" s="354"/>
      <c r="F18" s="1791" t="s">
        <v>475</v>
      </c>
      <c r="G18" s="2423"/>
      <c r="H18" s="2429"/>
      <c r="I18" s="1183"/>
      <c r="J18" s="1181"/>
      <c r="K18" s="1181"/>
      <c r="L18" s="1181"/>
      <c r="M18" s="1181"/>
      <c r="N18" s="1183"/>
      <c r="O18" s="1181"/>
      <c r="P18" s="1181"/>
      <c r="Q18" s="1181"/>
      <c r="R18" s="1181"/>
      <c r="S18" s="1183"/>
      <c r="T18" s="1181"/>
      <c r="U18" s="1181"/>
      <c r="V18" s="1181"/>
      <c r="W18" s="1181"/>
    </row>
    <row r="19" spans="1:23">
      <c r="A19" s="2424"/>
      <c r="B19" s="2424"/>
      <c r="C19" s="355" t="s">
        <v>21</v>
      </c>
      <c r="D19" s="353" t="s">
        <v>234</v>
      </c>
      <c r="E19" s="354"/>
      <c r="F19" s="2436"/>
      <c r="G19" s="2436"/>
      <c r="H19" s="2435"/>
      <c r="I19" s="1183"/>
      <c r="J19" s="1181"/>
      <c r="K19" s="1181"/>
      <c r="L19" s="1181"/>
      <c r="M19" s="1181"/>
      <c r="N19" s="1183"/>
      <c r="O19" s="1181"/>
      <c r="P19" s="1181"/>
      <c r="Q19" s="1181"/>
      <c r="R19" s="1181"/>
      <c r="S19" s="1183"/>
      <c r="T19" s="1181"/>
      <c r="U19" s="1181"/>
      <c r="V19" s="1181"/>
      <c r="W19" s="1181"/>
    </row>
    <row r="20" spans="1:23" ht="15.75" thickBot="1">
      <c r="A20" s="2424"/>
      <c r="B20" s="2424"/>
      <c r="C20" s="352" t="s">
        <v>22</v>
      </c>
      <c r="D20" s="353" t="s">
        <v>235</v>
      </c>
      <c r="E20" s="354"/>
      <c r="F20" s="2428"/>
      <c r="G20" s="2428"/>
      <c r="H20" s="2430"/>
      <c r="I20" s="1183"/>
      <c r="J20" s="1181"/>
      <c r="K20" s="1181"/>
      <c r="L20" s="1181"/>
      <c r="M20" s="1181"/>
      <c r="N20" s="1183"/>
      <c r="O20" s="1181"/>
      <c r="P20" s="1181"/>
      <c r="Q20" s="1181"/>
      <c r="R20" s="1181"/>
      <c r="S20" s="1183"/>
      <c r="T20" s="1181"/>
      <c r="U20" s="1181"/>
      <c r="V20" s="1181"/>
      <c r="W20" s="1181"/>
    </row>
    <row r="21" spans="1:23">
      <c r="A21" s="1804" t="s">
        <v>23</v>
      </c>
      <c r="B21" s="2423"/>
      <c r="C21" s="356" t="s">
        <v>69</v>
      </c>
      <c r="D21" s="353" t="s">
        <v>267</v>
      </c>
      <c r="E21" s="354"/>
      <c r="F21" s="1791" t="s">
        <v>477</v>
      </c>
      <c r="G21" s="2423"/>
      <c r="H21" s="2429"/>
      <c r="I21" s="1183"/>
      <c r="J21" s="1181"/>
      <c r="K21" s="1181"/>
      <c r="L21" s="1181"/>
      <c r="M21" s="1181"/>
      <c r="N21" s="1183"/>
      <c r="O21" s="1181"/>
      <c r="P21" s="1181"/>
      <c r="Q21" s="1181"/>
      <c r="R21" s="1181"/>
      <c r="S21" s="1183"/>
      <c r="T21" s="1181"/>
      <c r="U21" s="1181"/>
      <c r="V21" s="1181"/>
      <c r="W21" s="1181"/>
    </row>
    <row r="22" spans="1:23" ht="15.75" thickBot="1">
      <c r="A22" s="2428"/>
      <c r="B22" s="2428"/>
      <c r="C22" s="357" t="s">
        <v>24</v>
      </c>
      <c r="D22" s="358" t="s">
        <v>236</v>
      </c>
      <c r="E22" s="354"/>
      <c r="F22" s="2428"/>
      <c r="G22" s="2428"/>
      <c r="H22" s="2430"/>
      <c r="I22" s="1183"/>
      <c r="J22" s="1181"/>
      <c r="K22" s="1181"/>
      <c r="L22" s="1181"/>
      <c r="M22" s="1181"/>
      <c r="N22" s="1183"/>
      <c r="O22" s="1181"/>
      <c r="P22" s="1181"/>
      <c r="Q22" s="1181"/>
      <c r="R22" s="1181"/>
      <c r="S22" s="1183"/>
      <c r="T22" s="1181"/>
      <c r="U22" s="1181"/>
      <c r="V22" s="1181"/>
      <c r="W22" s="1181"/>
    </row>
    <row r="23" spans="1:23" ht="15.75">
      <c r="A23" s="1801" t="s">
        <v>478</v>
      </c>
      <c r="B23" s="2429"/>
      <c r="C23" s="359" t="s">
        <v>360</v>
      </c>
      <c r="D23" s="358" t="s">
        <v>265</v>
      </c>
      <c r="E23" s="354"/>
      <c r="F23" s="1791" t="s">
        <v>477</v>
      </c>
      <c r="G23" s="2423"/>
      <c r="H23" s="2429"/>
      <c r="I23" s="1183"/>
      <c r="J23" s="1181"/>
      <c r="K23" s="1181"/>
      <c r="L23" s="1181"/>
      <c r="M23" s="1181"/>
      <c r="N23" s="1183"/>
      <c r="O23" s="1181"/>
      <c r="P23" s="1181"/>
      <c r="Q23" s="1181"/>
      <c r="R23" s="1181"/>
      <c r="S23" s="1183"/>
      <c r="T23" s="1181"/>
      <c r="U23" s="1181"/>
      <c r="V23" s="1181"/>
      <c r="W23" s="1181"/>
    </row>
    <row r="24" spans="1:23" ht="15.75">
      <c r="A24" s="2427"/>
      <c r="B24" s="2435"/>
      <c r="C24" s="360" t="s">
        <v>361</v>
      </c>
      <c r="D24" s="358" t="s">
        <v>362</v>
      </c>
      <c r="E24" s="354"/>
      <c r="F24" s="2436"/>
      <c r="G24" s="2436"/>
      <c r="H24" s="2435"/>
      <c r="I24" s="1183"/>
      <c r="J24" s="1181"/>
      <c r="K24" s="1181"/>
      <c r="L24" s="1181"/>
      <c r="M24" s="1181"/>
      <c r="N24" s="1183"/>
      <c r="O24" s="1181"/>
      <c r="P24" s="1181"/>
      <c r="Q24" s="1181"/>
      <c r="R24" s="1181"/>
      <c r="S24" s="1183"/>
      <c r="T24" s="1181"/>
      <c r="U24" s="1181"/>
      <c r="V24" s="1181"/>
      <c r="W24" s="1181"/>
    </row>
    <row r="25" spans="1:23" ht="16.5" thickBot="1">
      <c r="A25" s="2427"/>
      <c r="B25" s="2435"/>
      <c r="C25" s="361" t="s">
        <v>479</v>
      </c>
      <c r="D25" s="358" t="s">
        <v>480</v>
      </c>
      <c r="E25" s="354"/>
      <c r="F25" s="2428"/>
      <c r="G25" s="2428"/>
      <c r="H25" s="2430"/>
      <c r="I25" s="1183"/>
      <c r="J25" s="1181"/>
      <c r="K25" s="1181"/>
      <c r="L25" s="1181"/>
      <c r="M25" s="1181"/>
      <c r="N25" s="1183"/>
      <c r="O25" s="1181"/>
      <c r="P25" s="1181"/>
      <c r="Q25" s="1181"/>
      <c r="R25" s="1181"/>
      <c r="S25" s="1183"/>
      <c r="T25" s="1181"/>
      <c r="U25" s="1181"/>
      <c r="V25" s="1181"/>
      <c r="W25" s="1181"/>
    </row>
    <row r="26" spans="1:23" ht="15.75" thickBot="1">
      <c r="A26" s="1802" t="s">
        <v>25</v>
      </c>
      <c r="B26" s="2425"/>
      <c r="C26" s="2426"/>
      <c r="D26" s="362" t="s">
        <v>270</v>
      </c>
      <c r="E26" s="354"/>
      <c r="F26" s="1763" t="s">
        <v>481</v>
      </c>
      <c r="G26" s="2418"/>
      <c r="H26" s="2419"/>
      <c r="I26" s="1183"/>
      <c r="J26" s="1181"/>
      <c r="K26" s="1181"/>
      <c r="L26" s="1181"/>
      <c r="M26" s="1181"/>
      <c r="N26" s="1183"/>
      <c r="O26" s="1181"/>
      <c r="P26" s="1181"/>
      <c r="Q26" s="1181"/>
      <c r="R26" s="1181"/>
      <c r="S26" s="1183"/>
      <c r="T26" s="1181"/>
      <c r="U26" s="1181"/>
      <c r="V26" s="1181"/>
      <c r="W26" s="1181"/>
    </row>
    <row r="27" spans="1:23" ht="15.75">
      <c r="A27" s="1803" t="s">
        <v>153</v>
      </c>
      <c r="B27" s="2432"/>
      <c r="C27" s="363" t="s">
        <v>152</v>
      </c>
      <c r="D27" s="364" t="s">
        <v>268</v>
      </c>
      <c r="E27" s="354"/>
      <c r="F27" s="1791" t="s">
        <v>475</v>
      </c>
      <c r="G27" s="2423"/>
      <c r="H27" s="2429"/>
      <c r="I27" s="1183"/>
      <c r="J27" s="1181"/>
      <c r="K27" s="1181"/>
      <c r="L27" s="1181"/>
      <c r="M27" s="1181"/>
      <c r="N27" s="1183"/>
      <c r="O27" s="1181"/>
      <c r="P27" s="1181"/>
      <c r="Q27" s="1181"/>
      <c r="R27" s="1181"/>
      <c r="S27" s="1183"/>
      <c r="T27" s="1181"/>
      <c r="U27" s="1181"/>
      <c r="V27" s="1181"/>
      <c r="W27" s="1181"/>
    </row>
    <row r="28" spans="1:23" ht="15.75">
      <c r="A28" s="2427"/>
      <c r="B28" s="2432"/>
      <c r="C28" s="365" t="s">
        <v>154</v>
      </c>
      <c r="D28" s="364" t="s">
        <v>392</v>
      </c>
      <c r="E28" s="354"/>
      <c r="F28" s="2436"/>
      <c r="G28" s="2436"/>
      <c r="H28" s="2435"/>
      <c r="I28" s="1183"/>
      <c r="J28" s="1181"/>
      <c r="K28" s="1181"/>
      <c r="L28" s="1181"/>
      <c r="M28" s="1181"/>
      <c r="N28" s="1183"/>
      <c r="O28" s="1181"/>
      <c r="P28" s="1181"/>
      <c r="Q28" s="1181"/>
      <c r="R28" s="1181"/>
      <c r="S28" s="1183"/>
      <c r="T28" s="1181"/>
      <c r="U28" s="1181"/>
      <c r="V28" s="1181"/>
      <c r="W28" s="1181"/>
    </row>
    <row r="29" spans="1:23" ht="16.5" thickBot="1">
      <c r="A29" s="2421"/>
      <c r="B29" s="2422"/>
      <c r="C29" s="366" t="s">
        <v>400</v>
      </c>
      <c r="D29" s="364" t="s">
        <v>393</v>
      </c>
      <c r="E29" s="354"/>
      <c r="F29" s="2428"/>
      <c r="G29" s="2428"/>
      <c r="H29" s="2430"/>
      <c r="I29" s="1183"/>
      <c r="J29" s="1181"/>
      <c r="K29" s="1181"/>
      <c r="L29" s="1181"/>
      <c r="M29" s="1181"/>
      <c r="N29" s="1183"/>
      <c r="O29" s="1181"/>
      <c r="P29" s="1181"/>
      <c r="Q29" s="1181"/>
      <c r="R29" s="1181"/>
      <c r="S29" s="1183"/>
      <c r="T29" s="1181"/>
      <c r="U29" s="1181"/>
      <c r="V29" s="1181"/>
      <c r="W29" s="1181"/>
    </row>
    <row r="30" spans="1:23" ht="15.75">
      <c r="A30" s="1797" t="s">
        <v>153</v>
      </c>
      <c r="B30" s="2420"/>
      <c r="C30" s="367" t="s">
        <v>155</v>
      </c>
      <c r="D30" s="364" t="s">
        <v>266</v>
      </c>
      <c r="E30" s="354"/>
      <c r="F30" s="1791" t="s">
        <v>475</v>
      </c>
      <c r="G30" s="2423"/>
      <c r="H30" s="2429"/>
      <c r="I30" s="1183"/>
      <c r="J30" s="1181"/>
      <c r="K30" s="1181"/>
      <c r="L30" s="1181"/>
      <c r="M30" s="1181"/>
      <c r="N30" s="1183"/>
      <c r="O30" s="1181"/>
      <c r="P30" s="1181"/>
      <c r="Q30" s="1181"/>
      <c r="R30" s="1181"/>
      <c r="S30" s="1183"/>
      <c r="T30" s="1181"/>
      <c r="U30" s="1181"/>
      <c r="V30" s="1181"/>
      <c r="W30" s="1181"/>
    </row>
    <row r="31" spans="1:23" ht="15.75">
      <c r="A31" s="2427"/>
      <c r="B31" s="2432"/>
      <c r="C31" s="365" t="s">
        <v>156</v>
      </c>
      <c r="D31" s="364" t="s">
        <v>394</v>
      </c>
      <c r="E31" s="354"/>
      <c r="F31" s="2436"/>
      <c r="G31" s="2436"/>
      <c r="H31" s="2435"/>
      <c r="I31" s="1183"/>
      <c r="J31" s="1181"/>
      <c r="K31" s="1181"/>
      <c r="L31" s="1181"/>
      <c r="M31" s="1181"/>
      <c r="N31" s="1183"/>
      <c r="O31" s="1181"/>
      <c r="P31" s="1181"/>
      <c r="Q31" s="1181"/>
      <c r="R31" s="1181"/>
      <c r="S31" s="1183"/>
      <c r="T31" s="1181"/>
      <c r="U31" s="1181"/>
      <c r="V31" s="1181"/>
      <c r="W31" s="1181"/>
    </row>
    <row r="32" spans="1:23" ht="16.5" thickBot="1">
      <c r="A32" s="2421"/>
      <c r="B32" s="2422"/>
      <c r="C32" s="366" t="s">
        <v>399</v>
      </c>
      <c r="D32" s="364" t="s">
        <v>395</v>
      </c>
      <c r="E32" s="354"/>
      <c r="F32" s="2428"/>
      <c r="G32" s="2428"/>
      <c r="H32" s="2430"/>
      <c r="I32" s="1183"/>
      <c r="J32" s="1181"/>
      <c r="K32" s="1181"/>
      <c r="L32" s="1181"/>
      <c r="M32" s="1181"/>
      <c r="N32" s="1183"/>
      <c r="O32" s="1181"/>
      <c r="P32" s="1181"/>
      <c r="Q32" s="1181"/>
      <c r="R32" s="1181"/>
      <c r="S32" s="1183"/>
      <c r="T32" s="1181"/>
      <c r="U32" s="1181"/>
      <c r="V32" s="1181"/>
      <c r="W32" s="1181"/>
    </row>
    <row r="33" spans="1:23" ht="16.5" thickBot="1">
      <c r="A33" s="1797" t="s">
        <v>482</v>
      </c>
      <c r="B33" s="2420"/>
      <c r="C33" s="367" t="s">
        <v>365</v>
      </c>
      <c r="D33" s="364" t="s">
        <v>252</v>
      </c>
      <c r="E33" s="354"/>
      <c r="F33" s="1791" t="s">
        <v>483</v>
      </c>
      <c r="G33" s="2423"/>
      <c r="H33" s="2429"/>
      <c r="I33" s="1183"/>
      <c r="J33" s="1181"/>
      <c r="K33" s="1181"/>
      <c r="L33" s="1181"/>
      <c r="M33" s="1181"/>
      <c r="N33" s="1183"/>
      <c r="O33" s="1181"/>
      <c r="P33" s="1181"/>
      <c r="Q33" s="1181"/>
      <c r="R33" s="1181"/>
      <c r="S33" s="1183"/>
      <c r="T33" s="1181"/>
      <c r="U33" s="1181"/>
      <c r="V33" s="1181"/>
      <c r="W33" s="1181"/>
    </row>
    <row r="34" spans="1:23" ht="16.5" thickBot="1">
      <c r="A34" s="1797" t="s">
        <v>484</v>
      </c>
      <c r="B34" s="2420"/>
      <c r="C34" s="367" t="s">
        <v>485</v>
      </c>
      <c r="D34" s="364" t="s">
        <v>264</v>
      </c>
      <c r="E34" s="354"/>
      <c r="F34" s="1800"/>
      <c r="G34" s="2423"/>
      <c r="H34" s="2429"/>
      <c r="I34" s="1183"/>
      <c r="J34" s="1181"/>
      <c r="K34" s="1181"/>
      <c r="L34" s="1181"/>
      <c r="M34" s="1181"/>
      <c r="N34" s="1183"/>
      <c r="O34" s="1181"/>
      <c r="P34" s="1181"/>
      <c r="Q34" s="1181"/>
      <c r="R34" s="1181"/>
      <c r="S34" s="1183"/>
      <c r="T34" s="1181"/>
      <c r="U34" s="1181"/>
      <c r="V34" s="1181"/>
      <c r="W34" s="1181"/>
    </row>
    <row r="35" spans="1:23" ht="15.75">
      <c r="A35" s="1795" t="s">
        <v>486</v>
      </c>
      <c r="B35" s="2420"/>
      <c r="C35" s="368" t="s">
        <v>43</v>
      </c>
      <c r="D35" s="369" t="s">
        <v>256</v>
      </c>
      <c r="E35" s="138"/>
      <c r="F35" s="1828" t="s">
        <v>900</v>
      </c>
      <c r="G35" s="2423"/>
      <c r="H35" s="2429"/>
      <c r="I35" s="1183"/>
      <c r="J35" s="1181"/>
      <c r="K35" s="1181"/>
      <c r="L35" s="1181"/>
      <c r="M35" s="1181"/>
      <c r="N35" s="1183"/>
      <c r="O35" s="1181"/>
      <c r="P35" s="1181"/>
      <c r="Q35" s="1181"/>
      <c r="R35" s="1181"/>
      <c r="S35" s="1183"/>
      <c r="T35" s="1181"/>
      <c r="U35" s="1181"/>
      <c r="V35" s="1181"/>
      <c r="W35" s="1181"/>
    </row>
    <row r="36" spans="1:23" ht="16.5" thickBot="1">
      <c r="A36" s="2421"/>
      <c r="B36" s="2422"/>
      <c r="C36" s="370" t="s">
        <v>60</v>
      </c>
      <c r="D36" s="369" t="s">
        <v>257</v>
      </c>
      <c r="E36" s="354"/>
      <c r="F36" s="2428"/>
      <c r="G36" s="2428"/>
      <c r="H36" s="2430"/>
      <c r="I36" s="1183"/>
      <c r="J36" s="1181"/>
      <c r="K36" s="1181"/>
      <c r="L36" s="1181"/>
      <c r="M36" s="1181"/>
      <c r="N36" s="1183"/>
      <c r="O36" s="1181"/>
      <c r="P36" s="1181"/>
      <c r="Q36" s="1181"/>
      <c r="R36" s="1181"/>
      <c r="S36" s="1183"/>
      <c r="T36" s="1181"/>
      <c r="U36" s="1181"/>
      <c r="V36" s="1181"/>
      <c r="W36" s="1181"/>
    </row>
    <row r="37" spans="1:23" s="1161" customFormat="1" ht="30">
      <c r="A37" s="1796" t="s">
        <v>33</v>
      </c>
      <c r="B37" s="2423"/>
      <c r="C37" s="373" t="s">
        <v>30</v>
      </c>
      <c r="D37" s="373" t="s">
        <v>170</v>
      </c>
      <c r="E37" s="354"/>
      <c r="F37" s="2457"/>
      <c r="G37" s="2458"/>
      <c r="H37" s="2459"/>
      <c r="I37" s="1183"/>
      <c r="J37" s="1181"/>
      <c r="K37" s="1181"/>
      <c r="L37" s="1181"/>
      <c r="M37" s="1181"/>
      <c r="N37" s="1183"/>
      <c r="O37" s="1181"/>
      <c r="P37" s="1181"/>
      <c r="Q37" s="1181"/>
      <c r="R37" s="1181"/>
      <c r="S37" s="1183"/>
      <c r="T37" s="1181"/>
      <c r="U37" s="1181"/>
      <c r="V37" s="1181"/>
      <c r="W37" s="1181"/>
    </row>
    <row r="38" spans="1:23" ht="30">
      <c r="A38" s="2427"/>
      <c r="B38" s="2424"/>
      <c r="C38" s="373" t="s">
        <v>31</v>
      </c>
      <c r="D38" s="372" t="s">
        <v>169</v>
      </c>
      <c r="E38" s="326" t="s">
        <v>277</v>
      </c>
      <c r="F38" s="2381" t="s">
        <v>901</v>
      </c>
      <c r="G38" s="2381"/>
      <c r="H38" s="2381"/>
      <c r="I38" s="704" t="s">
        <v>277</v>
      </c>
      <c r="J38" s="1181">
        <v>2</v>
      </c>
      <c r="K38" s="1181"/>
      <c r="L38" s="1181">
        <v>200</v>
      </c>
      <c r="M38" s="1181">
        <f>(L38*177)*5</f>
        <v>177000</v>
      </c>
      <c r="N38" s="704" t="s">
        <v>277</v>
      </c>
      <c r="O38" s="1181">
        <v>2</v>
      </c>
      <c r="P38" s="1181"/>
      <c r="Q38" s="1181">
        <v>200</v>
      </c>
      <c r="R38" s="1181">
        <f>(Q38*177)*5</f>
        <v>177000</v>
      </c>
      <c r="S38" s="704" t="s">
        <v>277</v>
      </c>
      <c r="T38" s="1181">
        <v>2</v>
      </c>
      <c r="U38" s="1181"/>
      <c r="V38" s="1181">
        <v>200</v>
      </c>
      <c r="W38" s="1181">
        <f>(V38*177)*5</f>
        <v>177000</v>
      </c>
    </row>
    <row r="39" spans="1:23" ht="30.75" thickBot="1">
      <c r="A39" s="2427"/>
      <c r="B39" s="2424"/>
      <c r="C39" s="374" t="s">
        <v>32</v>
      </c>
      <c r="D39" s="372" t="s">
        <v>250</v>
      </c>
      <c r="E39" s="326" t="s">
        <v>277</v>
      </c>
      <c r="F39" s="2381" t="s">
        <v>902</v>
      </c>
      <c r="G39" s="2381"/>
      <c r="H39" s="2381"/>
      <c r="I39" s="704" t="s">
        <v>277</v>
      </c>
      <c r="J39" s="1181">
        <v>2</v>
      </c>
      <c r="K39" s="1181"/>
      <c r="L39" s="1181">
        <v>200</v>
      </c>
      <c r="M39" s="1181">
        <f>(L39*233)*5</f>
        <v>233000</v>
      </c>
      <c r="N39" s="704" t="s">
        <v>277</v>
      </c>
      <c r="O39" s="1181">
        <v>2</v>
      </c>
      <c r="P39" s="1181"/>
      <c r="Q39" s="1181">
        <v>200</v>
      </c>
      <c r="R39" s="1181">
        <f>(Q39*233)*5</f>
        <v>233000</v>
      </c>
      <c r="S39" s="704" t="s">
        <v>277</v>
      </c>
      <c r="T39" s="1181">
        <v>2</v>
      </c>
      <c r="U39" s="1181"/>
      <c r="V39" s="1181">
        <v>200</v>
      </c>
      <c r="W39" s="1181">
        <f>(V39*233)*5</f>
        <v>233000</v>
      </c>
    </row>
    <row r="40" spans="1:23" ht="15.75">
      <c r="A40" s="1786" t="s">
        <v>491</v>
      </c>
      <c r="B40" s="2431"/>
      <c r="C40" s="375" t="s">
        <v>144</v>
      </c>
      <c r="D40" s="376" t="s">
        <v>253</v>
      </c>
      <c r="E40" s="354"/>
      <c r="F40" s="1871" t="s">
        <v>492</v>
      </c>
      <c r="G40" s="2424"/>
      <c r="H40" s="2435"/>
      <c r="I40" s="1183"/>
      <c r="J40" s="1181"/>
      <c r="K40" s="1181"/>
      <c r="L40" s="1181"/>
      <c r="M40" s="1181"/>
      <c r="N40" s="1183"/>
      <c r="O40" s="1181"/>
      <c r="P40" s="1181"/>
      <c r="Q40" s="1181"/>
      <c r="R40" s="1181"/>
      <c r="S40" s="1183"/>
      <c r="T40" s="1181"/>
      <c r="U40" s="1181"/>
      <c r="V40" s="1181"/>
      <c r="W40" s="1181"/>
    </row>
    <row r="41" spans="1:23" ht="16.5" thickBot="1">
      <c r="A41" s="2424"/>
      <c r="B41" s="2432"/>
      <c r="C41" s="377" t="s">
        <v>145</v>
      </c>
      <c r="D41" s="376" t="s">
        <v>254</v>
      </c>
      <c r="E41" s="354"/>
      <c r="F41" s="2428"/>
      <c r="G41" s="2428"/>
      <c r="H41" s="2430"/>
      <c r="I41" s="1183"/>
      <c r="J41" s="1181"/>
      <c r="K41" s="1181"/>
      <c r="L41" s="1181"/>
      <c r="M41" s="1181"/>
      <c r="N41" s="1183"/>
      <c r="O41" s="1181"/>
      <c r="P41" s="1181"/>
      <c r="Q41" s="1181"/>
      <c r="R41" s="1181"/>
      <c r="S41" s="1183"/>
      <c r="T41" s="1181"/>
      <c r="U41" s="1181"/>
      <c r="V41" s="1181"/>
      <c r="W41" s="1181"/>
    </row>
    <row r="42" spans="1:23" s="1161" customFormat="1" ht="16.5" thickBot="1">
      <c r="A42" s="2433"/>
      <c r="B42" s="2434"/>
      <c r="C42" s="377" t="s">
        <v>128</v>
      </c>
      <c r="D42" s="377" t="s">
        <v>262</v>
      </c>
      <c r="E42" s="354"/>
      <c r="F42" s="2460"/>
      <c r="G42" s="2461"/>
      <c r="H42" s="2462"/>
      <c r="I42" s="1183"/>
      <c r="J42" s="1181"/>
      <c r="K42" s="1181"/>
      <c r="L42" s="1181"/>
      <c r="M42" s="1181"/>
      <c r="N42" s="1183"/>
      <c r="O42" s="1181"/>
      <c r="P42" s="1181"/>
      <c r="Q42" s="1181"/>
      <c r="R42" s="1181"/>
      <c r="S42" s="1183"/>
      <c r="T42" s="1181"/>
      <c r="U42" s="1181"/>
      <c r="V42" s="1181"/>
      <c r="W42" s="1181"/>
    </row>
    <row r="43" spans="1:23" ht="99.75" customHeight="1" thickBot="1">
      <c r="A43" s="1775" t="s">
        <v>493</v>
      </c>
      <c r="B43" s="2425"/>
      <c r="C43" s="2426"/>
      <c r="D43" s="379" t="s">
        <v>237</v>
      </c>
      <c r="E43" s="138" t="s">
        <v>277</v>
      </c>
      <c r="F43" s="2096" t="s">
        <v>603</v>
      </c>
      <c r="G43" s="2117"/>
      <c r="H43" s="2117"/>
      <c r="I43" s="704" t="s">
        <v>277</v>
      </c>
      <c r="J43" s="1181">
        <v>5</v>
      </c>
      <c r="K43" s="1181"/>
      <c r="L43" s="1181">
        <v>40</v>
      </c>
      <c r="M43" s="1181">
        <f>(L43*652)*5</f>
        <v>130400</v>
      </c>
      <c r="N43" s="704" t="s">
        <v>277</v>
      </c>
      <c r="O43" s="1181">
        <v>5</v>
      </c>
      <c r="P43" s="1181"/>
      <c r="Q43" s="1181">
        <v>40</v>
      </c>
      <c r="R43" s="1181">
        <f>(Q43*652)*5</f>
        <v>130400</v>
      </c>
      <c r="S43" s="704" t="s">
        <v>277</v>
      </c>
      <c r="T43" s="1181">
        <v>5</v>
      </c>
      <c r="U43" s="1181"/>
      <c r="V43" s="1181">
        <v>40</v>
      </c>
      <c r="W43" s="1181">
        <f>(V43*652)*5</f>
        <v>130400</v>
      </c>
    </row>
    <row r="44" spans="1:23" s="1161" customFormat="1" ht="15.75" customHeight="1" thickBot="1">
      <c r="A44" s="1775" t="s">
        <v>133</v>
      </c>
      <c r="B44" s="2425"/>
      <c r="C44" s="2426"/>
      <c r="D44" s="379" t="s">
        <v>238</v>
      </c>
      <c r="E44" s="1246"/>
      <c r="F44" s="2461"/>
      <c r="G44" s="2461"/>
      <c r="H44" s="2462"/>
      <c r="I44" s="1183"/>
      <c r="J44" s="1181"/>
      <c r="K44" s="1181"/>
      <c r="L44" s="1181"/>
      <c r="M44" s="1181"/>
      <c r="N44" s="1183"/>
      <c r="O44" s="1181"/>
      <c r="P44" s="1181"/>
      <c r="Q44" s="1181"/>
      <c r="R44" s="1181"/>
      <c r="S44" s="1183"/>
      <c r="T44" s="1181"/>
      <c r="U44" s="1181"/>
      <c r="V44" s="1181"/>
      <c r="W44" s="1181"/>
    </row>
    <row r="45" spans="1:23" ht="114.75" customHeight="1" thickBot="1">
      <c r="A45" s="1778" t="s">
        <v>41</v>
      </c>
      <c r="B45" s="2424"/>
      <c r="C45" s="380" t="s">
        <v>50</v>
      </c>
      <c r="D45" s="381" t="s">
        <v>246</v>
      </c>
      <c r="E45" s="138" t="s">
        <v>277</v>
      </c>
      <c r="F45" s="1782" t="s">
        <v>1264</v>
      </c>
      <c r="G45" s="1783"/>
      <c r="H45" s="2456"/>
      <c r="I45" s="704" t="s">
        <v>277</v>
      </c>
      <c r="J45" s="1181">
        <v>2</v>
      </c>
      <c r="K45" s="1181"/>
      <c r="L45" s="1181">
        <v>20</v>
      </c>
      <c r="M45" s="1181">
        <f>(L45*82)*5</f>
        <v>8200</v>
      </c>
      <c r="N45" s="704" t="s">
        <v>277</v>
      </c>
      <c r="O45" s="1181">
        <v>2</v>
      </c>
      <c r="P45" s="1181"/>
      <c r="Q45" s="1181">
        <v>20</v>
      </c>
      <c r="R45" s="1181">
        <f>(Q45*82)*5</f>
        <v>8200</v>
      </c>
      <c r="S45" s="704" t="s">
        <v>277</v>
      </c>
      <c r="T45" s="1181">
        <v>2</v>
      </c>
      <c r="U45" s="1181"/>
      <c r="V45" s="1181">
        <v>20</v>
      </c>
      <c r="W45" s="1181">
        <f>(V45*82)*5</f>
        <v>8200</v>
      </c>
    </row>
    <row r="46" spans="1:23" ht="165.75" customHeight="1" thickBot="1">
      <c r="A46" s="2427"/>
      <c r="B46" s="2424"/>
      <c r="C46" s="382" t="s">
        <v>51</v>
      </c>
      <c r="D46" s="381" t="s">
        <v>247</v>
      </c>
      <c r="E46" s="138" t="s">
        <v>277</v>
      </c>
      <c r="F46" s="1782" t="s">
        <v>1265</v>
      </c>
      <c r="G46" s="1783"/>
      <c r="H46" s="2456"/>
      <c r="I46" s="704" t="s">
        <v>277</v>
      </c>
      <c r="J46" s="1181">
        <v>5</v>
      </c>
      <c r="K46" s="1181"/>
      <c r="L46" s="1181">
        <v>40</v>
      </c>
      <c r="M46" s="1181">
        <f>(L46*145)*5</f>
        <v>29000</v>
      </c>
      <c r="N46" s="704" t="s">
        <v>277</v>
      </c>
      <c r="O46" s="1181">
        <v>5</v>
      </c>
      <c r="P46" s="1181"/>
      <c r="Q46" s="1181">
        <v>40</v>
      </c>
      <c r="R46" s="1181">
        <f>(Q46*145)*5</f>
        <v>29000</v>
      </c>
      <c r="S46" s="704" t="s">
        <v>277</v>
      </c>
      <c r="T46" s="1181">
        <v>5</v>
      </c>
      <c r="U46" s="1181"/>
      <c r="V46" s="1181">
        <v>40</v>
      </c>
      <c r="W46" s="1181">
        <f>(V46*145)*5</f>
        <v>29000</v>
      </c>
    </row>
    <row r="47" spans="1:23" ht="178.5" customHeight="1" thickBot="1">
      <c r="A47" s="2427"/>
      <c r="B47" s="2424"/>
      <c r="C47" s="382" t="s">
        <v>39</v>
      </c>
      <c r="D47" s="381" t="s">
        <v>248</v>
      </c>
      <c r="E47" s="138" t="s">
        <v>277</v>
      </c>
      <c r="F47" s="1782" t="s">
        <v>1266</v>
      </c>
      <c r="G47" s="1783"/>
      <c r="H47" s="2456"/>
      <c r="I47" s="704" t="s">
        <v>277</v>
      </c>
      <c r="J47" s="1181">
        <v>5</v>
      </c>
      <c r="K47" s="1181"/>
      <c r="L47" s="1181">
        <v>40</v>
      </c>
      <c r="M47" s="1181">
        <f>(L47*200)*5</f>
        <v>40000</v>
      </c>
      <c r="N47" s="704" t="s">
        <v>277</v>
      </c>
      <c r="O47" s="1181">
        <v>5</v>
      </c>
      <c r="P47" s="1181"/>
      <c r="Q47" s="1181">
        <v>40</v>
      </c>
      <c r="R47" s="1181">
        <f>(Q47*200)*5</f>
        <v>40000</v>
      </c>
      <c r="S47" s="704" t="s">
        <v>277</v>
      </c>
      <c r="T47" s="1181">
        <v>5</v>
      </c>
      <c r="U47" s="1181"/>
      <c r="V47" s="1181">
        <v>40</v>
      </c>
      <c r="W47" s="1181">
        <f>(V47*200)*5</f>
        <v>40000</v>
      </c>
    </row>
    <row r="48" spans="1:23" ht="15.75" thickBot="1">
      <c r="A48" s="2421"/>
      <c r="B48" s="2428"/>
      <c r="C48" s="383" t="s">
        <v>40</v>
      </c>
      <c r="D48" s="381" t="s">
        <v>249</v>
      </c>
      <c r="E48" s="354"/>
      <c r="F48" s="1781" t="s">
        <v>498</v>
      </c>
      <c r="G48" s="2418"/>
      <c r="H48" s="2419"/>
      <c r="I48" s="1183"/>
      <c r="J48" s="1181"/>
      <c r="K48" s="1181"/>
      <c r="L48" s="1181"/>
      <c r="M48" s="1181"/>
      <c r="N48" s="1183"/>
      <c r="O48" s="1181"/>
      <c r="P48" s="1181"/>
      <c r="Q48" s="1181"/>
      <c r="R48" s="1181"/>
      <c r="S48" s="1183"/>
      <c r="T48" s="1181"/>
      <c r="U48" s="1181"/>
      <c r="V48" s="1181"/>
      <c r="W48" s="1181"/>
    </row>
    <row r="49" spans="1:23" ht="15.75">
      <c r="A49" s="1765" t="s">
        <v>130</v>
      </c>
      <c r="B49" s="2420"/>
      <c r="C49" s="375" t="s">
        <v>131</v>
      </c>
      <c r="D49" s="376" t="s">
        <v>255</v>
      </c>
      <c r="E49" s="354"/>
      <c r="F49" s="1769"/>
      <c r="G49" s="2418"/>
      <c r="H49" s="2419"/>
      <c r="I49" s="1183"/>
      <c r="J49" s="1181"/>
      <c r="K49" s="1181"/>
      <c r="L49" s="1181"/>
      <c r="M49" s="1181"/>
      <c r="N49" s="1183"/>
      <c r="O49" s="1181"/>
      <c r="P49" s="1181"/>
      <c r="Q49" s="1181"/>
      <c r="R49" s="1181"/>
      <c r="S49" s="1183"/>
      <c r="T49" s="1181"/>
      <c r="U49" s="1181"/>
      <c r="V49" s="1181"/>
      <c r="W49" s="1181"/>
    </row>
    <row r="50" spans="1:23" ht="32.25" thickBot="1">
      <c r="A50" s="2421"/>
      <c r="B50" s="2422"/>
      <c r="C50" s="384" t="s">
        <v>132</v>
      </c>
      <c r="D50" s="376" t="s">
        <v>263</v>
      </c>
      <c r="E50" s="354"/>
      <c r="F50" s="1769"/>
      <c r="G50" s="2418"/>
      <c r="H50" s="2419"/>
      <c r="I50" s="1183"/>
      <c r="J50" s="1181"/>
      <c r="K50" s="1181"/>
      <c r="L50" s="1181"/>
      <c r="M50" s="1181"/>
      <c r="N50" s="1183"/>
      <c r="O50" s="1181"/>
      <c r="P50" s="1181"/>
      <c r="Q50" s="1181"/>
      <c r="R50" s="1181"/>
      <c r="S50" s="1183"/>
      <c r="T50" s="1181"/>
      <c r="U50" s="1181"/>
      <c r="V50" s="1181"/>
      <c r="W50" s="1181"/>
    </row>
    <row r="51" spans="1:23">
      <c r="A51" s="1770" t="s">
        <v>42</v>
      </c>
      <c r="B51" s="2423"/>
      <c r="C51" s="385" t="s">
        <v>38</v>
      </c>
      <c r="D51" s="386" t="s">
        <v>239</v>
      </c>
      <c r="E51" s="138" t="s">
        <v>277</v>
      </c>
      <c r="F51" s="1818" t="s">
        <v>905</v>
      </c>
      <c r="G51" s="2418"/>
      <c r="H51" s="2419"/>
      <c r="I51" s="704" t="s">
        <v>277</v>
      </c>
      <c r="J51" s="1181">
        <v>3</v>
      </c>
      <c r="K51" s="1181"/>
      <c r="L51" s="1181">
        <v>4</v>
      </c>
      <c r="M51" s="1181">
        <f>(L51*800)*5</f>
        <v>16000</v>
      </c>
      <c r="N51" s="704" t="s">
        <v>277</v>
      </c>
      <c r="O51" s="1181">
        <v>3</v>
      </c>
      <c r="P51" s="1181"/>
      <c r="Q51" s="1181">
        <v>4</v>
      </c>
      <c r="R51" s="1181">
        <f>(Q51*800)*5</f>
        <v>16000</v>
      </c>
      <c r="S51" s="704" t="s">
        <v>277</v>
      </c>
      <c r="T51" s="1181">
        <v>3</v>
      </c>
      <c r="U51" s="1181"/>
      <c r="V51" s="1181">
        <v>4</v>
      </c>
      <c r="W51" s="1181">
        <f>(V51*800)*5</f>
        <v>16000</v>
      </c>
    </row>
    <row r="52" spans="1:23">
      <c r="A52" s="2424"/>
      <c r="B52" s="2424"/>
      <c r="C52" s="387" t="s">
        <v>55</v>
      </c>
      <c r="D52" s="386" t="s">
        <v>240</v>
      </c>
      <c r="E52" s="138" t="s">
        <v>277</v>
      </c>
      <c r="F52" s="1773"/>
      <c r="G52" s="2418"/>
      <c r="H52" s="2419"/>
      <c r="I52" s="704" t="s">
        <v>277</v>
      </c>
      <c r="J52" s="1181">
        <v>3</v>
      </c>
      <c r="K52" s="1181"/>
      <c r="L52" s="1181">
        <v>20</v>
      </c>
      <c r="M52" s="1181">
        <f>(L52*62)*5</f>
        <v>6200</v>
      </c>
      <c r="N52" s="704" t="s">
        <v>277</v>
      </c>
      <c r="O52" s="1181">
        <v>3</v>
      </c>
      <c r="P52" s="1181"/>
      <c r="Q52" s="1181">
        <v>20</v>
      </c>
      <c r="R52" s="1181">
        <f>(Q52*62)*5</f>
        <v>6200</v>
      </c>
      <c r="S52" s="704" t="s">
        <v>277</v>
      </c>
      <c r="T52" s="1181">
        <v>3</v>
      </c>
      <c r="U52" s="1181"/>
      <c r="V52" s="1181">
        <v>20</v>
      </c>
      <c r="W52" s="1181">
        <f>(V52*62)*5</f>
        <v>6200</v>
      </c>
    </row>
    <row r="53" spans="1:23" ht="16.5" thickBot="1">
      <c r="A53" s="2424"/>
      <c r="B53" s="2424"/>
      <c r="C53" s="377" t="s">
        <v>48</v>
      </c>
      <c r="D53" s="388" t="s">
        <v>241</v>
      </c>
      <c r="E53" s="354"/>
      <c r="F53" s="1774"/>
      <c r="G53" s="2418"/>
      <c r="H53" s="2419"/>
      <c r="I53" s="1183"/>
      <c r="J53" s="1181"/>
      <c r="K53" s="1181"/>
      <c r="L53" s="1181"/>
      <c r="M53" s="1181"/>
      <c r="N53" s="1185"/>
      <c r="O53" s="1186"/>
      <c r="P53" s="1186"/>
      <c r="Q53" s="1186"/>
      <c r="R53" s="1186"/>
      <c r="S53" s="1185"/>
      <c r="T53" s="1186"/>
      <c r="U53" s="1186"/>
      <c r="V53" s="1186"/>
      <c r="W53" s="1187"/>
    </row>
    <row r="54" spans="1:23" ht="16.5" thickBot="1">
      <c r="A54" s="1761" t="s">
        <v>500</v>
      </c>
      <c r="B54" s="2418"/>
      <c r="C54" s="389" t="s">
        <v>134</v>
      </c>
      <c r="D54" s="390" t="s">
        <v>269</v>
      </c>
      <c r="E54" s="391"/>
      <c r="F54" s="1763" t="s">
        <v>501</v>
      </c>
      <c r="G54" s="2418"/>
      <c r="H54" s="2419"/>
      <c r="I54" s="1208"/>
      <c r="J54" s="1209"/>
      <c r="K54" s="1209"/>
      <c r="L54" s="1209"/>
      <c r="M54" s="1209"/>
      <c r="N54" s="1188"/>
      <c r="O54" s="1189"/>
      <c r="P54" s="1189"/>
      <c r="Q54" s="1189"/>
      <c r="R54" s="1189"/>
      <c r="S54" s="1188"/>
      <c r="T54" s="1189"/>
      <c r="U54" s="1189"/>
      <c r="V54" s="1189"/>
      <c r="W54" s="1190"/>
    </row>
    <row r="56" spans="1:23">
      <c r="M56">
        <f>SUM(M37:M53)</f>
        <v>639800</v>
      </c>
    </row>
    <row r="57" spans="1:23" ht="60">
      <c r="A57" s="1191" t="s">
        <v>948</v>
      </c>
      <c r="B57" s="1191" t="s">
        <v>949</v>
      </c>
      <c r="C57" s="1191" t="s">
        <v>950</v>
      </c>
      <c r="D57" s="1191" t="s">
        <v>951</v>
      </c>
      <c r="E57" s="1191" t="s">
        <v>952</v>
      </c>
    </row>
    <row r="58" spans="1:23">
      <c r="A58" s="1204" t="s">
        <v>953</v>
      </c>
      <c r="B58" s="624" t="s">
        <v>1005</v>
      </c>
      <c r="C58" s="1207">
        <v>1</v>
      </c>
      <c r="D58" s="1181">
        <v>1</v>
      </c>
      <c r="E58" s="635" t="s">
        <v>1007</v>
      </c>
    </row>
    <row r="59" spans="1:23">
      <c r="A59" s="1204" t="s">
        <v>956</v>
      </c>
      <c r="B59" s="624" t="s">
        <v>1005</v>
      </c>
      <c r="C59" s="1207">
        <v>2</v>
      </c>
      <c r="D59" s="1181">
        <v>2</v>
      </c>
      <c r="E59" s="635" t="s">
        <v>1008</v>
      </c>
    </row>
    <row r="60" spans="1:23">
      <c r="A60" s="1204" t="s">
        <v>957</v>
      </c>
      <c r="B60" s="624" t="s">
        <v>1005</v>
      </c>
      <c r="C60" s="1207">
        <v>1</v>
      </c>
      <c r="D60" s="1181">
        <v>7</v>
      </c>
      <c r="E60" s="635" t="s">
        <v>1009</v>
      </c>
    </row>
    <row r="61" spans="1:23">
      <c r="A61" s="1204" t="s">
        <v>959</v>
      </c>
      <c r="B61" s="624" t="s">
        <v>1005</v>
      </c>
      <c r="C61" s="786" t="s">
        <v>1010</v>
      </c>
      <c r="D61" s="1181"/>
      <c r="E61" s="635" t="s">
        <v>1011</v>
      </c>
    </row>
    <row r="62" spans="1:23">
      <c r="A62" s="1204" t="s">
        <v>961</v>
      </c>
      <c r="B62" s="624" t="s">
        <v>954</v>
      </c>
      <c r="C62" s="1207">
        <v>20</v>
      </c>
      <c r="D62" s="1181">
        <v>20</v>
      </c>
      <c r="E62" s="635" t="s">
        <v>1236</v>
      </c>
    </row>
    <row r="63" spans="1:23">
      <c r="A63" s="1204" t="s">
        <v>963</v>
      </c>
      <c r="B63" s="624" t="s">
        <v>954</v>
      </c>
      <c r="C63" s="1207">
        <v>20</v>
      </c>
      <c r="D63" s="1181">
        <v>20</v>
      </c>
      <c r="E63" s="635" t="s">
        <v>1236</v>
      </c>
    </row>
    <row r="64" spans="1:23">
      <c r="A64" s="1204" t="s">
        <v>965</v>
      </c>
      <c r="B64" s="624" t="s">
        <v>1005</v>
      </c>
      <c r="C64" s="786" t="s">
        <v>1013</v>
      </c>
      <c r="D64" s="1181">
        <v>40</v>
      </c>
      <c r="E64" s="635" t="s">
        <v>1014</v>
      </c>
    </row>
    <row r="65" spans="1:6">
      <c r="A65" s="1204" t="s">
        <v>967</v>
      </c>
      <c r="B65" s="624" t="s">
        <v>1005</v>
      </c>
      <c r="C65" s="1210" t="s">
        <v>1015</v>
      </c>
      <c r="D65" s="1181"/>
      <c r="E65" s="635" t="s">
        <v>1011</v>
      </c>
    </row>
    <row r="66" spans="1:6">
      <c r="A66" s="1204" t="s">
        <v>969</v>
      </c>
      <c r="B66" s="624" t="s">
        <v>1005</v>
      </c>
      <c r="C66" s="786" t="s">
        <v>1016</v>
      </c>
      <c r="D66" s="1181">
        <v>7</v>
      </c>
      <c r="E66" s="635" t="s">
        <v>1011</v>
      </c>
    </row>
    <row r="67" spans="1:6">
      <c r="A67" s="1204" t="s">
        <v>971</v>
      </c>
      <c r="B67" s="624" t="s">
        <v>1005</v>
      </c>
      <c r="C67" s="786" t="s">
        <v>1013</v>
      </c>
      <c r="D67" s="1181">
        <v>10</v>
      </c>
      <c r="E67" s="635" t="s">
        <v>1011</v>
      </c>
    </row>
    <row r="68" spans="1:6">
      <c r="A68" s="1204" t="s">
        <v>986</v>
      </c>
      <c r="B68" s="1186"/>
      <c r="C68" s="1186"/>
      <c r="D68" s="1186"/>
      <c r="E68" s="1211"/>
    </row>
    <row r="69" spans="1:6">
      <c r="A69" s="1192"/>
      <c r="B69" s="1186"/>
      <c r="C69" s="1186"/>
      <c r="D69" s="1186"/>
      <c r="E69" s="1211"/>
    </row>
    <row r="70" spans="1:6">
      <c r="A70" s="1192"/>
      <c r="B70" s="1186"/>
      <c r="C70" s="1186"/>
      <c r="D70" s="1186"/>
      <c r="E70" s="1211"/>
    </row>
    <row r="73" spans="1:6">
      <c r="A73" s="1829" t="s">
        <v>1270</v>
      </c>
      <c r="B73" s="2437"/>
      <c r="C73" s="2437"/>
      <c r="D73" s="2437"/>
      <c r="E73" s="2437"/>
      <c r="F73" s="2437"/>
    </row>
    <row r="74" spans="1:6" ht="105">
      <c r="A74" s="1424" t="s">
        <v>1271</v>
      </c>
      <c r="B74" s="1424" t="s">
        <v>1272</v>
      </c>
      <c r="C74" s="1424" t="s">
        <v>1273</v>
      </c>
      <c r="D74" s="1424" t="s">
        <v>1274</v>
      </c>
      <c r="E74" s="1424" t="s">
        <v>1275</v>
      </c>
      <c r="F74" s="1424" t="s">
        <v>1276</v>
      </c>
    </row>
    <row r="75" spans="1:6" ht="150">
      <c r="A75" s="1425" t="s">
        <v>1293</v>
      </c>
      <c r="B75" s="1427" t="s">
        <v>1294</v>
      </c>
      <c r="C75" s="1423">
        <v>7</v>
      </c>
      <c r="D75" s="1426" t="s">
        <v>1084</v>
      </c>
      <c r="E75" s="1426" t="s">
        <v>1295</v>
      </c>
      <c r="F75" s="1423">
        <v>10</v>
      </c>
    </row>
    <row r="76" spans="1:6" ht="75">
      <c r="A76" s="1425" t="s">
        <v>1296</v>
      </c>
      <c r="B76" s="1427" t="s">
        <v>1294</v>
      </c>
      <c r="C76" s="1423">
        <v>7</v>
      </c>
      <c r="D76" s="1426" t="s">
        <v>1297</v>
      </c>
      <c r="E76" s="1426" t="s">
        <v>1295</v>
      </c>
      <c r="F76" s="1423">
        <v>10</v>
      </c>
    </row>
    <row r="77" spans="1:6" ht="135">
      <c r="A77" s="1425" t="s">
        <v>1298</v>
      </c>
      <c r="B77" s="1427" t="s">
        <v>1294</v>
      </c>
      <c r="C77" s="1423">
        <v>7</v>
      </c>
      <c r="D77" s="1426" t="s">
        <v>1297</v>
      </c>
      <c r="E77" s="1426" t="s">
        <v>1299</v>
      </c>
      <c r="F77" s="1423">
        <v>10</v>
      </c>
    </row>
    <row r="78" spans="1:6" ht="120">
      <c r="A78" s="1425" t="s">
        <v>1300</v>
      </c>
      <c r="B78" s="1427" t="s">
        <v>1294</v>
      </c>
      <c r="C78" s="1423">
        <v>7</v>
      </c>
      <c r="D78" s="1426" t="s">
        <v>1297</v>
      </c>
      <c r="E78" s="1426" t="s">
        <v>1301</v>
      </c>
      <c r="F78" s="1423">
        <v>10</v>
      </c>
    </row>
    <row r="79" spans="1:6" ht="120">
      <c r="A79" s="1425" t="s">
        <v>1302</v>
      </c>
      <c r="B79" s="1427" t="s">
        <v>1294</v>
      </c>
      <c r="C79" s="1423">
        <v>7</v>
      </c>
      <c r="D79" s="1426" t="s">
        <v>1297</v>
      </c>
      <c r="E79" s="1426" t="s">
        <v>1301</v>
      </c>
      <c r="F79" s="1423">
        <v>10</v>
      </c>
    </row>
  </sheetData>
  <mergeCells count="59">
    <mergeCell ref="A73:F73"/>
    <mergeCell ref="A54:B54"/>
    <mergeCell ref="F54:H54"/>
    <mergeCell ref="A49:B50"/>
    <mergeCell ref="F49:H49"/>
    <mergeCell ref="F50:H50"/>
    <mergeCell ref="I13:M13"/>
    <mergeCell ref="N13:R13"/>
    <mergeCell ref="S13:W13"/>
    <mergeCell ref="A51:B53"/>
    <mergeCell ref="F51:H51"/>
    <mergeCell ref="F52:H52"/>
    <mergeCell ref="F53:H53"/>
    <mergeCell ref="A40:B42"/>
    <mergeCell ref="F40:H41"/>
    <mergeCell ref="F42:H42"/>
    <mergeCell ref="A43:C43"/>
    <mergeCell ref="F43:H43"/>
    <mergeCell ref="A44:C44"/>
    <mergeCell ref="F44:H44"/>
    <mergeCell ref="A45:B48"/>
    <mergeCell ref="F45:H45"/>
    <mergeCell ref="F46:H46"/>
    <mergeCell ref="F47:H47"/>
    <mergeCell ref="F48:H48"/>
    <mergeCell ref="A34:B34"/>
    <mergeCell ref="F34:H34"/>
    <mergeCell ref="A35:B36"/>
    <mergeCell ref="F35:H36"/>
    <mergeCell ref="A37:B39"/>
    <mergeCell ref="F37:H37"/>
    <mergeCell ref="F38:H38"/>
    <mergeCell ref="F39:H39"/>
    <mergeCell ref="A27:B29"/>
    <mergeCell ref="F27:H29"/>
    <mergeCell ref="A30:B32"/>
    <mergeCell ref="F30:H32"/>
    <mergeCell ref="A33:B33"/>
    <mergeCell ref="F33:H33"/>
    <mergeCell ref="A21:B22"/>
    <mergeCell ref="F21:H22"/>
    <mergeCell ref="A23:B25"/>
    <mergeCell ref="F23:H25"/>
    <mergeCell ref="A26:C26"/>
    <mergeCell ref="F26:H26"/>
    <mergeCell ref="A18:B20"/>
    <mergeCell ref="F18:H20"/>
    <mergeCell ref="B2:D2"/>
    <mergeCell ref="B3:D3"/>
    <mergeCell ref="B4:D4"/>
    <mergeCell ref="A10:B10"/>
    <mergeCell ref="C10:H10"/>
    <mergeCell ref="E12:H13"/>
    <mergeCell ref="A14:B14"/>
    <mergeCell ref="F14:H14"/>
    <mergeCell ref="A15:B17"/>
    <mergeCell ref="F15:H17"/>
    <mergeCell ref="B6:D6"/>
    <mergeCell ref="B8:D8"/>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2" location="SOMMAIRE!A1" display="Retour sommaire"/>
    <hyperlink ref="J4" location="SYNTHESE!A1" display="Retour synthèse"/>
  </hyperlink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7E4FF"/>
  </sheetPr>
  <dimension ref="A1:W79"/>
  <sheetViews>
    <sheetView topLeftCell="A46" zoomScale="78" zoomScaleNormal="78" workbookViewId="0">
      <selection activeCell="F47" sqref="F47:H47"/>
    </sheetView>
  </sheetViews>
  <sheetFormatPr baseColWidth="10" defaultRowHeight="15"/>
  <cols>
    <col min="1" max="2" width="11.42578125" style="1610"/>
    <col min="3" max="3" width="52" style="1610" customWidth="1"/>
    <col min="4" max="7" width="11.42578125" style="1610"/>
    <col min="8" max="8" width="17.7109375" style="1610" customWidth="1"/>
    <col min="9" max="16384" width="11.42578125" style="1610"/>
  </cols>
  <sheetData>
    <row r="1" spans="1:23" ht="15.75" thickBot="1"/>
    <row r="2" spans="1:23" ht="15.75" thickBot="1">
      <c r="A2" s="328" t="s">
        <v>0</v>
      </c>
      <c r="B2" s="2438" t="s">
        <v>906</v>
      </c>
      <c r="C2" s="2439"/>
      <c r="D2" s="2440"/>
      <c r="E2" s="329"/>
      <c r="F2" s="329"/>
      <c r="G2" s="330" t="s">
        <v>462</v>
      </c>
      <c r="H2" s="112" t="s">
        <v>14</v>
      </c>
      <c r="J2" s="13" t="s">
        <v>73</v>
      </c>
    </row>
    <row r="3" spans="1:23" ht="16.5" thickTop="1" thickBot="1">
      <c r="A3" s="331" t="s">
        <v>344</v>
      </c>
      <c r="B3" s="2441" t="s">
        <v>907</v>
      </c>
      <c r="C3" s="2442"/>
      <c r="D3" s="2443"/>
      <c r="E3" s="329"/>
      <c r="F3" s="329"/>
      <c r="G3" s="332" t="s">
        <v>10</v>
      </c>
      <c r="H3" s="112" t="s">
        <v>16</v>
      </c>
      <c r="J3" s="13"/>
    </row>
    <row r="4" spans="1:23" ht="16.5" thickTop="1" thickBot="1">
      <c r="A4" s="332" t="s">
        <v>3</v>
      </c>
      <c r="B4" s="2444" t="s">
        <v>1614</v>
      </c>
      <c r="C4" s="2445"/>
      <c r="D4" s="2446"/>
      <c r="E4" s="333"/>
      <c r="F4" s="329"/>
      <c r="G4" s="334" t="s">
        <v>26</v>
      </c>
      <c r="H4" s="392">
        <v>10</v>
      </c>
      <c r="J4" s="13" t="s">
        <v>381</v>
      </c>
    </row>
    <row r="5" spans="1:23" ht="15.75" thickBot="1">
      <c r="A5" s="329"/>
      <c r="B5" s="575"/>
      <c r="C5" s="576"/>
      <c r="D5" s="577"/>
      <c r="E5" s="329"/>
      <c r="F5" s="329"/>
      <c r="G5" s="329"/>
      <c r="H5" s="329"/>
    </row>
    <row r="6" spans="1:23" ht="121.5" customHeight="1" thickTop="1" thickBot="1">
      <c r="A6" s="328" t="s">
        <v>465</v>
      </c>
      <c r="B6" s="2450" t="s">
        <v>1615</v>
      </c>
      <c r="C6" s="2451"/>
      <c r="D6" s="2452"/>
      <c r="E6" s="329"/>
      <c r="F6" s="329"/>
      <c r="G6" s="335" t="s">
        <v>466</v>
      </c>
      <c r="H6" s="1165" t="s">
        <v>1217</v>
      </c>
    </row>
    <row r="7" spans="1:23" ht="15.75" thickBot="1">
      <c r="B7" s="329"/>
      <c r="C7" s="329"/>
      <c r="D7" s="329"/>
      <c r="E7" s="329"/>
      <c r="F7" s="329"/>
      <c r="G7" s="337"/>
      <c r="H7" s="329"/>
    </row>
    <row r="8" spans="1:23" ht="60.75" customHeight="1" thickBot="1">
      <c r="A8" s="338" t="s">
        <v>7</v>
      </c>
      <c r="B8" s="2453" t="s">
        <v>1218</v>
      </c>
      <c r="C8" s="2454"/>
      <c r="D8" s="2455"/>
      <c r="E8" s="333"/>
      <c r="F8" s="339"/>
      <c r="G8" s="338" t="s">
        <v>469</v>
      </c>
      <c r="H8" s="123" t="s">
        <v>537</v>
      </c>
    </row>
    <row r="9" spans="1:23">
      <c r="B9" s="329"/>
      <c r="C9" s="329"/>
      <c r="D9" s="329"/>
      <c r="E9" s="329"/>
      <c r="F9" s="329"/>
      <c r="G9" s="337"/>
      <c r="H9" s="329"/>
    </row>
    <row r="10" spans="1:23" ht="75.75" customHeight="1">
      <c r="A10" s="1813" t="s">
        <v>471</v>
      </c>
      <c r="B10" s="2424"/>
      <c r="C10" s="1805" t="s">
        <v>1219</v>
      </c>
      <c r="D10" s="1806"/>
      <c r="E10" s="1806"/>
      <c r="F10" s="1806"/>
      <c r="G10" s="1806"/>
      <c r="H10" s="1806"/>
    </row>
    <row r="11" spans="1:23">
      <c r="A11" s="343"/>
      <c r="B11" s="333"/>
      <c r="C11" s="333"/>
      <c r="D11" s="333"/>
      <c r="E11" s="333"/>
      <c r="F11" s="339"/>
      <c r="G11" s="342"/>
      <c r="H11" s="342"/>
    </row>
    <row r="12" spans="1:23">
      <c r="A12" s="343"/>
      <c r="B12" s="333"/>
      <c r="C12" s="333"/>
      <c r="D12" s="333"/>
      <c r="E12" s="1814" t="s">
        <v>473</v>
      </c>
      <c r="F12" s="2424"/>
      <c r="G12" s="2424"/>
      <c r="H12" s="2424"/>
    </row>
    <row r="13" spans="1:23">
      <c r="A13" s="329"/>
      <c r="B13" s="329"/>
      <c r="C13" s="329"/>
      <c r="D13" s="329"/>
      <c r="E13" s="2428"/>
      <c r="F13" s="2428"/>
      <c r="G13" s="2428"/>
      <c r="H13" s="2428"/>
      <c r="I13" s="1817">
        <v>2025</v>
      </c>
      <c r="J13" s="2418"/>
      <c r="K13" s="2418"/>
      <c r="L13" s="2418"/>
      <c r="M13" s="2419"/>
      <c r="N13" s="1817">
        <v>2026</v>
      </c>
      <c r="O13" s="2418"/>
      <c r="P13" s="2418"/>
      <c r="Q13" s="2418"/>
      <c r="R13" s="2419"/>
      <c r="S13" s="1817">
        <v>2027</v>
      </c>
      <c r="T13" s="2418"/>
      <c r="U13" s="2418"/>
      <c r="V13" s="2418"/>
      <c r="W13" s="2419"/>
    </row>
    <row r="14" spans="1:23" ht="45.75" thickBot="1">
      <c r="A14" s="1816" t="s">
        <v>5</v>
      </c>
      <c r="B14" s="2429"/>
      <c r="C14" s="344" t="s">
        <v>1</v>
      </c>
      <c r="D14" s="344" t="s">
        <v>260</v>
      </c>
      <c r="E14" s="1612" t="s">
        <v>474</v>
      </c>
      <c r="F14" s="1815" t="s">
        <v>6</v>
      </c>
      <c r="G14" s="2418"/>
      <c r="H14" s="2419"/>
      <c r="I14" s="643" t="s">
        <v>474</v>
      </c>
      <c r="J14" s="644" t="s">
        <v>944</v>
      </c>
      <c r="K14" s="645" t="s">
        <v>945</v>
      </c>
      <c r="L14" s="644" t="s">
        <v>946</v>
      </c>
      <c r="M14" s="646" t="s">
        <v>947</v>
      </c>
      <c r="N14" s="643" t="s">
        <v>474</v>
      </c>
      <c r="O14" s="644" t="s">
        <v>944</v>
      </c>
      <c r="P14" s="645" t="s">
        <v>945</v>
      </c>
      <c r="Q14" s="644" t="s">
        <v>946</v>
      </c>
      <c r="R14" s="646" t="s">
        <v>947</v>
      </c>
      <c r="S14" s="643" t="s">
        <v>474</v>
      </c>
      <c r="T14" s="644" t="s">
        <v>944</v>
      </c>
      <c r="U14" s="645" t="s">
        <v>945</v>
      </c>
      <c r="V14" s="644" t="s">
        <v>946</v>
      </c>
      <c r="W14" s="646" t="s">
        <v>947</v>
      </c>
    </row>
    <row r="15" spans="1:23" ht="15" customHeight="1">
      <c r="A15" s="1804" t="s">
        <v>17</v>
      </c>
      <c r="B15" s="2423"/>
      <c r="C15" s="346" t="s">
        <v>59</v>
      </c>
      <c r="D15" s="347" t="s">
        <v>251</v>
      </c>
      <c r="E15" s="348"/>
      <c r="F15" s="1828" t="s">
        <v>1220</v>
      </c>
      <c r="G15" s="2447"/>
      <c r="H15" s="2447"/>
      <c r="I15" s="722"/>
      <c r="J15" s="1177"/>
      <c r="K15" s="1177"/>
      <c r="L15" s="1177"/>
      <c r="M15" s="1178"/>
      <c r="N15" s="1195"/>
      <c r="O15" s="1196"/>
      <c r="P15" s="1196"/>
      <c r="Q15" s="1196"/>
      <c r="R15" s="1197"/>
      <c r="S15" s="1195"/>
      <c r="T15" s="1196"/>
      <c r="U15" s="1196"/>
      <c r="V15" s="1196"/>
      <c r="W15" s="1206"/>
    </row>
    <row r="16" spans="1:23">
      <c r="A16" s="2424"/>
      <c r="B16" s="2424"/>
      <c r="C16" s="349" t="s">
        <v>18</v>
      </c>
      <c r="D16" s="350" t="s">
        <v>168</v>
      </c>
      <c r="E16" s="135" t="s">
        <v>277</v>
      </c>
      <c r="F16" s="1798"/>
      <c r="G16" s="1798"/>
      <c r="H16" s="2448"/>
      <c r="I16" s="723"/>
      <c r="J16" s="1207"/>
      <c r="K16" s="1181"/>
      <c r="L16" s="1181"/>
      <c r="M16" s="1181"/>
      <c r="N16" s="723"/>
      <c r="O16" s="1207"/>
      <c r="P16" s="1181"/>
      <c r="Q16" s="1181"/>
      <c r="R16" s="1181"/>
      <c r="S16" s="723"/>
      <c r="T16" s="1207"/>
      <c r="U16" s="1181"/>
      <c r="V16" s="1181"/>
      <c r="W16" s="1181"/>
    </row>
    <row r="17" spans="1:23" ht="15.75" thickBot="1">
      <c r="A17" s="2428"/>
      <c r="B17" s="2428"/>
      <c r="C17" s="352" t="s">
        <v>19</v>
      </c>
      <c r="D17" s="353" t="s">
        <v>233</v>
      </c>
      <c r="E17" s="138" t="s">
        <v>277</v>
      </c>
      <c r="F17" s="2449"/>
      <c r="G17" s="2449"/>
      <c r="H17" s="2449"/>
      <c r="I17" s="723"/>
      <c r="J17" s="1207"/>
      <c r="K17" s="1181"/>
      <c r="L17" s="1181"/>
      <c r="M17" s="1181"/>
      <c r="N17" s="723"/>
      <c r="O17" s="1207"/>
      <c r="P17" s="1181"/>
      <c r="Q17" s="1181"/>
      <c r="R17" s="1181"/>
      <c r="S17" s="723"/>
      <c r="T17" s="1207"/>
      <c r="U17" s="1181"/>
      <c r="V17" s="1181"/>
      <c r="W17" s="1181"/>
    </row>
    <row r="18" spans="1:23">
      <c r="A18" s="1804" t="s">
        <v>20</v>
      </c>
      <c r="B18" s="2423"/>
      <c r="C18" s="346" t="s">
        <v>54</v>
      </c>
      <c r="D18" s="353" t="s">
        <v>261</v>
      </c>
      <c r="E18" s="354"/>
      <c r="F18" s="1791" t="s">
        <v>475</v>
      </c>
      <c r="G18" s="2423"/>
      <c r="H18" s="2429"/>
      <c r="I18" s="1183"/>
      <c r="J18" s="1181"/>
      <c r="K18" s="1181"/>
      <c r="L18" s="1181"/>
      <c r="M18" s="1181"/>
      <c r="N18" s="1183"/>
      <c r="O18" s="1181"/>
      <c r="P18" s="1181"/>
      <c r="Q18" s="1181"/>
      <c r="R18" s="1181"/>
      <c r="S18" s="1183"/>
      <c r="T18" s="1181"/>
      <c r="U18" s="1181"/>
      <c r="V18" s="1181"/>
      <c r="W18" s="1181"/>
    </row>
    <row r="19" spans="1:23">
      <c r="A19" s="2424"/>
      <c r="B19" s="2424"/>
      <c r="C19" s="355" t="s">
        <v>21</v>
      </c>
      <c r="D19" s="353" t="s">
        <v>234</v>
      </c>
      <c r="E19" s="354"/>
      <c r="F19" s="2436"/>
      <c r="G19" s="2436"/>
      <c r="H19" s="2435"/>
      <c r="I19" s="1183"/>
      <c r="J19" s="1181"/>
      <c r="K19" s="1181"/>
      <c r="L19" s="1181"/>
      <c r="M19" s="1181"/>
      <c r="N19" s="1183"/>
      <c r="O19" s="1181"/>
      <c r="P19" s="1181"/>
      <c r="Q19" s="1181"/>
      <c r="R19" s="1181"/>
      <c r="S19" s="1183"/>
      <c r="T19" s="1181"/>
      <c r="U19" s="1181"/>
      <c r="V19" s="1181"/>
      <c r="W19" s="1181"/>
    </row>
    <row r="20" spans="1:23" ht="15.75" thickBot="1">
      <c r="A20" s="2424"/>
      <c r="B20" s="2424"/>
      <c r="C20" s="352" t="s">
        <v>22</v>
      </c>
      <c r="D20" s="353" t="s">
        <v>235</v>
      </c>
      <c r="E20" s="354"/>
      <c r="F20" s="2428"/>
      <c r="G20" s="2428"/>
      <c r="H20" s="2430"/>
      <c r="I20" s="1183"/>
      <c r="J20" s="1181"/>
      <c r="K20" s="1181"/>
      <c r="L20" s="1181"/>
      <c r="M20" s="1181"/>
      <c r="N20" s="1183"/>
      <c r="O20" s="1181"/>
      <c r="P20" s="1181"/>
      <c r="Q20" s="1181"/>
      <c r="R20" s="1181"/>
      <c r="S20" s="1183"/>
      <c r="T20" s="1181"/>
      <c r="U20" s="1181"/>
      <c r="V20" s="1181"/>
      <c r="W20" s="1181"/>
    </row>
    <row r="21" spans="1:23">
      <c r="A21" s="1804" t="s">
        <v>23</v>
      </c>
      <c r="B21" s="2423"/>
      <c r="C21" s="356" t="s">
        <v>69</v>
      </c>
      <c r="D21" s="353" t="s">
        <v>267</v>
      </c>
      <c r="E21" s="354"/>
      <c r="F21" s="1791" t="s">
        <v>477</v>
      </c>
      <c r="G21" s="2423"/>
      <c r="H21" s="2429"/>
      <c r="I21" s="1183"/>
      <c r="J21" s="1181"/>
      <c r="K21" s="1181"/>
      <c r="L21" s="1181"/>
      <c r="M21" s="1181"/>
      <c r="N21" s="1183"/>
      <c r="O21" s="1181"/>
      <c r="P21" s="1181"/>
      <c r="Q21" s="1181"/>
      <c r="R21" s="1181"/>
      <c r="S21" s="1183"/>
      <c r="T21" s="1181"/>
      <c r="U21" s="1181"/>
      <c r="V21" s="1181"/>
      <c r="W21" s="1181"/>
    </row>
    <row r="22" spans="1:23" ht="15.75" thickBot="1">
      <c r="A22" s="2428"/>
      <c r="B22" s="2428"/>
      <c r="C22" s="357" t="s">
        <v>24</v>
      </c>
      <c r="D22" s="358" t="s">
        <v>236</v>
      </c>
      <c r="E22" s="354"/>
      <c r="F22" s="2428"/>
      <c r="G22" s="2428"/>
      <c r="H22" s="2430"/>
      <c r="I22" s="1183"/>
      <c r="J22" s="1181"/>
      <c r="K22" s="1181"/>
      <c r="L22" s="1181"/>
      <c r="M22" s="1181"/>
      <c r="N22" s="1183"/>
      <c r="O22" s="1181"/>
      <c r="P22" s="1181"/>
      <c r="Q22" s="1181"/>
      <c r="R22" s="1181"/>
      <c r="S22" s="1183"/>
      <c r="T22" s="1181"/>
      <c r="U22" s="1181"/>
      <c r="V22" s="1181"/>
      <c r="W22" s="1181"/>
    </row>
    <row r="23" spans="1:23" ht="15.75">
      <c r="A23" s="1801" t="s">
        <v>478</v>
      </c>
      <c r="B23" s="2429"/>
      <c r="C23" s="359" t="s">
        <v>360</v>
      </c>
      <c r="D23" s="358" t="s">
        <v>265</v>
      </c>
      <c r="E23" s="354"/>
      <c r="F23" s="1791" t="s">
        <v>477</v>
      </c>
      <c r="G23" s="2423"/>
      <c r="H23" s="2429"/>
      <c r="I23" s="1183"/>
      <c r="J23" s="1181"/>
      <c r="K23" s="1181"/>
      <c r="L23" s="1181"/>
      <c r="M23" s="1181"/>
      <c r="N23" s="1183"/>
      <c r="O23" s="1181"/>
      <c r="P23" s="1181"/>
      <c r="Q23" s="1181"/>
      <c r="R23" s="1181"/>
      <c r="S23" s="1183"/>
      <c r="T23" s="1181"/>
      <c r="U23" s="1181"/>
      <c r="V23" s="1181"/>
      <c r="W23" s="1181"/>
    </row>
    <row r="24" spans="1:23" ht="15.75">
      <c r="A24" s="2427"/>
      <c r="B24" s="2435"/>
      <c r="C24" s="360" t="s">
        <v>361</v>
      </c>
      <c r="D24" s="358" t="s">
        <v>362</v>
      </c>
      <c r="E24" s="354"/>
      <c r="F24" s="2436"/>
      <c r="G24" s="2436"/>
      <c r="H24" s="2435"/>
      <c r="I24" s="1183"/>
      <c r="J24" s="1181"/>
      <c r="K24" s="1181"/>
      <c r="L24" s="1181"/>
      <c r="M24" s="1181"/>
      <c r="N24" s="1183"/>
      <c r="O24" s="1181"/>
      <c r="P24" s="1181"/>
      <c r="Q24" s="1181"/>
      <c r="R24" s="1181"/>
      <c r="S24" s="1183"/>
      <c r="T24" s="1181"/>
      <c r="U24" s="1181"/>
      <c r="V24" s="1181"/>
      <c r="W24" s="1181"/>
    </row>
    <row r="25" spans="1:23" ht="16.5" thickBot="1">
      <c r="A25" s="2427"/>
      <c r="B25" s="2435"/>
      <c r="C25" s="361" t="s">
        <v>479</v>
      </c>
      <c r="D25" s="358" t="s">
        <v>480</v>
      </c>
      <c r="E25" s="354"/>
      <c r="F25" s="2428"/>
      <c r="G25" s="2428"/>
      <c r="H25" s="2430"/>
      <c r="I25" s="1183"/>
      <c r="J25" s="1181"/>
      <c r="K25" s="1181"/>
      <c r="L25" s="1181"/>
      <c r="M25" s="1181"/>
      <c r="N25" s="1183"/>
      <c r="O25" s="1181"/>
      <c r="P25" s="1181"/>
      <c r="Q25" s="1181"/>
      <c r="R25" s="1181"/>
      <c r="S25" s="1183"/>
      <c r="T25" s="1181"/>
      <c r="U25" s="1181"/>
      <c r="V25" s="1181"/>
      <c r="W25" s="1181"/>
    </row>
    <row r="26" spans="1:23" ht="15.75" thickBot="1">
      <c r="A26" s="1802" t="s">
        <v>25</v>
      </c>
      <c r="B26" s="2425"/>
      <c r="C26" s="2426"/>
      <c r="D26" s="362" t="s">
        <v>270</v>
      </c>
      <c r="E26" s="354"/>
      <c r="F26" s="1763" t="s">
        <v>481</v>
      </c>
      <c r="G26" s="2418"/>
      <c r="H26" s="2419"/>
      <c r="I26" s="1183"/>
      <c r="J26" s="1181"/>
      <c r="K26" s="1181"/>
      <c r="L26" s="1181"/>
      <c r="M26" s="1181"/>
      <c r="N26" s="1183"/>
      <c r="O26" s="1181"/>
      <c r="P26" s="1181"/>
      <c r="Q26" s="1181"/>
      <c r="R26" s="1181"/>
      <c r="S26" s="1183"/>
      <c r="T26" s="1181"/>
      <c r="U26" s="1181"/>
      <c r="V26" s="1181"/>
      <c r="W26" s="1181"/>
    </row>
    <row r="27" spans="1:23" ht="15.75">
      <c r="A27" s="1803" t="s">
        <v>153</v>
      </c>
      <c r="B27" s="2432"/>
      <c r="C27" s="363" t="s">
        <v>152</v>
      </c>
      <c r="D27" s="364" t="s">
        <v>268</v>
      </c>
      <c r="E27" s="354"/>
      <c r="F27" s="1791" t="s">
        <v>475</v>
      </c>
      <c r="G27" s="2423"/>
      <c r="H27" s="2429"/>
      <c r="I27" s="1183"/>
      <c r="J27" s="1181"/>
      <c r="K27" s="1181"/>
      <c r="L27" s="1181"/>
      <c r="M27" s="1181"/>
      <c r="N27" s="1183"/>
      <c r="O27" s="1181"/>
      <c r="P27" s="1181"/>
      <c r="Q27" s="1181"/>
      <c r="R27" s="1181"/>
      <c r="S27" s="1183"/>
      <c r="T27" s="1181"/>
      <c r="U27" s="1181"/>
      <c r="V27" s="1181"/>
      <c r="W27" s="1181"/>
    </row>
    <row r="28" spans="1:23" ht="15.75">
      <c r="A28" s="2427"/>
      <c r="B28" s="2432"/>
      <c r="C28" s="365" t="s">
        <v>154</v>
      </c>
      <c r="D28" s="364" t="s">
        <v>392</v>
      </c>
      <c r="E28" s="354"/>
      <c r="F28" s="2436"/>
      <c r="G28" s="2436"/>
      <c r="H28" s="2435"/>
      <c r="I28" s="1183"/>
      <c r="J28" s="1181"/>
      <c r="K28" s="1181"/>
      <c r="L28" s="1181"/>
      <c r="M28" s="1181"/>
      <c r="N28" s="1183"/>
      <c r="O28" s="1181"/>
      <c r="P28" s="1181"/>
      <c r="Q28" s="1181"/>
      <c r="R28" s="1181"/>
      <c r="S28" s="1183"/>
      <c r="T28" s="1181"/>
      <c r="U28" s="1181"/>
      <c r="V28" s="1181"/>
      <c r="W28" s="1181"/>
    </row>
    <row r="29" spans="1:23" ht="16.5" thickBot="1">
      <c r="A29" s="2421"/>
      <c r="B29" s="2422"/>
      <c r="C29" s="366" t="s">
        <v>400</v>
      </c>
      <c r="D29" s="364" t="s">
        <v>393</v>
      </c>
      <c r="E29" s="354"/>
      <c r="F29" s="2428"/>
      <c r="G29" s="2428"/>
      <c r="H29" s="2430"/>
      <c r="I29" s="1183"/>
      <c r="J29" s="1181"/>
      <c r="K29" s="1181"/>
      <c r="L29" s="1181"/>
      <c r="M29" s="1181"/>
      <c r="N29" s="1183"/>
      <c r="O29" s="1181"/>
      <c r="P29" s="1181"/>
      <c r="Q29" s="1181"/>
      <c r="R29" s="1181"/>
      <c r="S29" s="1183"/>
      <c r="T29" s="1181"/>
      <c r="U29" s="1181"/>
      <c r="V29" s="1181"/>
      <c r="W29" s="1181"/>
    </row>
    <row r="30" spans="1:23" ht="15.75">
      <c r="A30" s="1797" t="s">
        <v>153</v>
      </c>
      <c r="B30" s="2420"/>
      <c r="C30" s="367" t="s">
        <v>155</v>
      </c>
      <c r="D30" s="364" t="s">
        <v>266</v>
      </c>
      <c r="E30" s="354"/>
      <c r="F30" s="1791" t="s">
        <v>475</v>
      </c>
      <c r="G30" s="2423"/>
      <c r="H30" s="2429"/>
      <c r="I30" s="1183"/>
      <c r="J30" s="1181"/>
      <c r="K30" s="1181"/>
      <c r="L30" s="1181"/>
      <c r="M30" s="1181"/>
      <c r="N30" s="1183"/>
      <c r="O30" s="1181"/>
      <c r="P30" s="1181"/>
      <c r="Q30" s="1181"/>
      <c r="R30" s="1181"/>
      <c r="S30" s="1183"/>
      <c r="T30" s="1181"/>
      <c r="U30" s="1181"/>
      <c r="V30" s="1181"/>
      <c r="W30" s="1181"/>
    </row>
    <row r="31" spans="1:23" ht="15.75">
      <c r="A31" s="2427"/>
      <c r="B31" s="2432"/>
      <c r="C31" s="365" t="s">
        <v>156</v>
      </c>
      <c r="D31" s="364" t="s">
        <v>394</v>
      </c>
      <c r="E31" s="354"/>
      <c r="F31" s="2436"/>
      <c r="G31" s="2436"/>
      <c r="H31" s="2435"/>
      <c r="I31" s="1183"/>
      <c r="J31" s="1181"/>
      <c r="K31" s="1181"/>
      <c r="L31" s="1181"/>
      <c r="M31" s="1181"/>
      <c r="N31" s="1183"/>
      <c r="O31" s="1181"/>
      <c r="P31" s="1181"/>
      <c r="Q31" s="1181"/>
      <c r="R31" s="1181"/>
      <c r="S31" s="1183"/>
      <c r="T31" s="1181"/>
      <c r="U31" s="1181"/>
      <c r="V31" s="1181"/>
      <c r="W31" s="1181"/>
    </row>
    <row r="32" spans="1:23" ht="16.5" thickBot="1">
      <c r="A32" s="2421"/>
      <c r="B32" s="2422"/>
      <c r="C32" s="366" t="s">
        <v>399</v>
      </c>
      <c r="D32" s="364" t="s">
        <v>395</v>
      </c>
      <c r="E32" s="354"/>
      <c r="F32" s="2428"/>
      <c r="G32" s="2428"/>
      <c r="H32" s="2430"/>
      <c r="I32" s="1183"/>
      <c r="J32" s="1181"/>
      <c r="K32" s="1181"/>
      <c r="L32" s="1181"/>
      <c r="M32" s="1181"/>
      <c r="N32" s="1183"/>
      <c r="O32" s="1181"/>
      <c r="P32" s="1181"/>
      <c r="Q32" s="1181"/>
      <c r="R32" s="1181"/>
      <c r="S32" s="1183"/>
      <c r="T32" s="1181"/>
      <c r="U32" s="1181"/>
      <c r="V32" s="1181"/>
      <c r="W32" s="1181"/>
    </row>
    <row r="33" spans="1:23" ht="16.5" thickBot="1">
      <c r="A33" s="1797" t="s">
        <v>482</v>
      </c>
      <c r="B33" s="2420"/>
      <c r="C33" s="367" t="s">
        <v>365</v>
      </c>
      <c r="D33" s="364" t="s">
        <v>252</v>
      </c>
      <c r="E33" s="354"/>
      <c r="F33" s="1791" t="s">
        <v>483</v>
      </c>
      <c r="G33" s="2423"/>
      <c r="H33" s="2429"/>
      <c r="I33" s="1183"/>
      <c r="J33" s="1181"/>
      <c r="K33" s="1181"/>
      <c r="L33" s="1181"/>
      <c r="M33" s="1181"/>
      <c r="N33" s="1183"/>
      <c r="O33" s="1181"/>
      <c r="P33" s="1181"/>
      <c r="Q33" s="1181"/>
      <c r="R33" s="1181"/>
      <c r="S33" s="1183"/>
      <c r="T33" s="1181"/>
      <c r="U33" s="1181"/>
      <c r="V33" s="1181"/>
      <c r="W33" s="1181"/>
    </row>
    <row r="34" spans="1:23" ht="16.5" thickBot="1">
      <c r="A34" s="1797" t="s">
        <v>484</v>
      </c>
      <c r="B34" s="2420"/>
      <c r="C34" s="367" t="s">
        <v>485</v>
      </c>
      <c r="D34" s="364" t="s">
        <v>264</v>
      </c>
      <c r="E34" s="354"/>
      <c r="F34" s="1800"/>
      <c r="G34" s="2423"/>
      <c r="H34" s="2429"/>
      <c r="I34" s="1183"/>
      <c r="J34" s="1181"/>
      <c r="K34" s="1181"/>
      <c r="L34" s="1181"/>
      <c r="M34" s="1181"/>
      <c r="N34" s="1183"/>
      <c r="O34" s="1181"/>
      <c r="P34" s="1181"/>
      <c r="Q34" s="1181"/>
      <c r="R34" s="1181"/>
      <c r="S34" s="1183"/>
      <c r="T34" s="1181"/>
      <c r="U34" s="1181"/>
      <c r="V34" s="1181"/>
      <c r="W34" s="1181"/>
    </row>
    <row r="35" spans="1:23" ht="15.75">
      <c r="A35" s="1795" t="s">
        <v>486</v>
      </c>
      <c r="B35" s="2420"/>
      <c r="C35" s="368" t="s">
        <v>43</v>
      </c>
      <c r="D35" s="369" t="s">
        <v>256</v>
      </c>
      <c r="E35" s="138"/>
      <c r="F35" s="1828" t="s">
        <v>900</v>
      </c>
      <c r="G35" s="2423"/>
      <c r="H35" s="2429"/>
      <c r="I35" s="1183"/>
      <c r="J35" s="1181"/>
      <c r="K35" s="1181"/>
      <c r="L35" s="1181"/>
      <c r="M35" s="1181"/>
      <c r="N35" s="1183"/>
      <c r="O35" s="1181"/>
      <c r="P35" s="1181"/>
      <c r="Q35" s="1181"/>
      <c r="R35" s="1181"/>
      <c r="S35" s="1183"/>
      <c r="T35" s="1181"/>
      <c r="U35" s="1181"/>
      <c r="V35" s="1181"/>
      <c r="W35" s="1181"/>
    </row>
    <row r="36" spans="1:23" ht="16.5" thickBot="1">
      <c r="A36" s="2421"/>
      <c r="B36" s="2422"/>
      <c r="C36" s="370" t="s">
        <v>60</v>
      </c>
      <c r="D36" s="369" t="s">
        <v>257</v>
      </c>
      <c r="E36" s="354"/>
      <c r="F36" s="2428"/>
      <c r="G36" s="2428"/>
      <c r="H36" s="2430"/>
      <c r="I36" s="1183"/>
      <c r="J36" s="1181"/>
      <c r="K36" s="1181"/>
      <c r="L36" s="1181"/>
      <c r="M36" s="1181"/>
      <c r="N36" s="1183"/>
      <c r="O36" s="1181"/>
      <c r="P36" s="1181"/>
      <c r="Q36" s="1181"/>
      <c r="R36" s="1181"/>
      <c r="S36" s="1183"/>
      <c r="T36" s="1181"/>
      <c r="U36" s="1181"/>
      <c r="V36" s="1181"/>
      <c r="W36" s="1181"/>
    </row>
    <row r="37" spans="1:23" s="1161" customFormat="1" ht="30">
      <c r="A37" s="1796" t="s">
        <v>33</v>
      </c>
      <c r="B37" s="2423"/>
      <c r="C37" s="373" t="s">
        <v>30</v>
      </c>
      <c r="D37" s="373" t="s">
        <v>170</v>
      </c>
      <c r="E37" s="354"/>
      <c r="F37" s="2457"/>
      <c r="G37" s="2458"/>
      <c r="H37" s="2459"/>
      <c r="I37" s="1183"/>
      <c r="J37" s="1181"/>
      <c r="K37" s="1181"/>
      <c r="L37" s="1181"/>
      <c r="M37" s="1181"/>
      <c r="N37" s="1183"/>
      <c r="O37" s="1181"/>
      <c r="P37" s="1181"/>
      <c r="Q37" s="1181"/>
      <c r="R37" s="1181"/>
      <c r="S37" s="1183"/>
      <c r="T37" s="1181"/>
      <c r="U37" s="1181"/>
      <c r="V37" s="1181"/>
      <c r="W37" s="1181"/>
    </row>
    <row r="38" spans="1:23" ht="30">
      <c r="A38" s="2427"/>
      <c r="B38" s="2424"/>
      <c r="C38" s="373" t="s">
        <v>31</v>
      </c>
      <c r="D38" s="372" t="s">
        <v>169</v>
      </c>
      <c r="E38" s="326" t="s">
        <v>277</v>
      </c>
      <c r="F38" s="2381" t="s">
        <v>901</v>
      </c>
      <c r="G38" s="2381"/>
      <c r="H38" s="2381"/>
      <c r="I38" s="704"/>
      <c r="J38" s="1181"/>
      <c r="K38" s="1181"/>
      <c r="L38" s="1181"/>
      <c r="M38" s="1181"/>
      <c r="N38" s="704"/>
      <c r="O38" s="1181"/>
      <c r="P38" s="1181"/>
      <c r="Q38" s="1181"/>
      <c r="R38" s="1181"/>
      <c r="S38" s="704"/>
      <c r="T38" s="1181"/>
      <c r="U38" s="1181"/>
      <c r="V38" s="1181"/>
      <c r="W38" s="1181"/>
    </row>
    <row r="39" spans="1:23" ht="30.75" thickBot="1">
      <c r="A39" s="2427"/>
      <c r="B39" s="2424"/>
      <c r="C39" s="374" t="s">
        <v>32</v>
      </c>
      <c r="D39" s="372" t="s">
        <v>250</v>
      </c>
      <c r="E39" s="326" t="s">
        <v>277</v>
      </c>
      <c r="F39" s="2381" t="s">
        <v>902</v>
      </c>
      <c r="G39" s="2381"/>
      <c r="H39" s="2381"/>
      <c r="I39" s="704"/>
      <c r="J39" s="1181"/>
      <c r="K39" s="1181"/>
      <c r="L39" s="1181"/>
      <c r="M39" s="1181"/>
      <c r="N39" s="704"/>
      <c r="O39" s="1181"/>
      <c r="P39" s="1181"/>
      <c r="Q39" s="1181"/>
      <c r="R39" s="1181"/>
      <c r="S39" s="704"/>
      <c r="T39" s="1181"/>
      <c r="U39" s="1181"/>
      <c r="V39" s="1181"/>
      <c r="W39" s="1181"/>
    </row>
    <row r="40" spans="1:23" ht="15.75">
      <c r="A40" s="1786" t="s">
        <v>491</v>
      </c>
      <c r="B40" s="2431"/>
      <c r="C40" s="375" t="s">
        <v>144</v>
      </c>
      <c r="D40" s="376" t="s">
        <v>253</v>
      </c>
      <c r="E40" s="354"/>
      <c r="F40" s="1871" t="s">
        <v>492</v>
      </c>
      <c r="G40" s="2424"/>
      <c r="H40" s="2435"/>
      <c r="I40" s="1183"/>
      <c r="J40" s="1181"/>
      <c r="K40" s="1181"/>
      <c r="L40" s="1181"/>
      <c r="M40" s="1181"/>
      <c r="N40" s="1183"/>
      <c r="O40" s="1181"/>
      <c r="P40" s="1181"/>
      <c r="Q40" s="1181"/>
      <c r="R40" s="1181"/>
      <c r="S40" s="1183"/>
      <c r="T40" s="1181"/>
      <c r="U40" s="1181"/>
      <c r="V40" s="1181"/>
      <c r="W40" s="1181"/>
    </row>
    <row r="41" spans="1:23" ht="16.5" thickBot="1">
      <c r="A41" s="2424"/>
      <c r="B41" s="2432"/>
      <c r="C41" s="377" t="s">
        <v>145</v>
      </c>
      <c r="D41" s="376" t="s">
        <v>254</v>
      </c>
      <c r="E41" s="354"/>
      <c r="F41" s="2428"/>
      <c r="G41" s="2428"/>
      <c r="H41" s="2430"/>
      <c r="I41" s="1183"/>
      <c r="J41" s="1181"/>
      <c r="K41" s="1181"/>
      <c r="L41" s="1181"/>
      <c r="M41" s="1181"/>
      <c r="N41" s="1183"/>
      <c r="O41" s="1181"/>
      <c r="P41" s="1181"/>
      <c r="Q41" s="1181"/>
      <c r="R41" s="1181"/>
      <c r="S41" s="1183"/>
      <c r="T41" s="1181"/>
      <c r="U41" s="1181"/>
      <c r="V41" s="1181"/>
      <c r="W41" s="1181"/>
    </row>
    <row r="42" spans="1:23" s="1161" customFormat="1" ht="16.5" thickBot="1">
      <c r="A42" s="2433"/>
      <c r="B42" s="2434"/>
      <c r="C42" s="377" t="s">
        <v>128</v>
      </c>
      <c r="D42" s="377" t="s">
        <v>262</v>
      </c>
      <c r="E42" s="354"/>
      <c r="F42" s="2460"/>
      <c r="G42" s="2461"/>
      <c r="H42" s="2462"/>
      <c r="I42" s="1183"/>
      <c r="J42" s="1181"/>
      <c r="K42" s="1181"/>
      <c r="L42" s="1181"/>
      <c r="M42" s="1181"/>
      <c r="N42" s="1183"/>
      <c r="O42" s="1181"/>
      <c r="P42" s="1181"/>
      <c r="Q42" s="1181"/>
      <c r="R42" s="1181"/>
      <c r="S42" s="1183"/>
      <c r="T42" s="1181"/>
      <c r="U42" s="1181"/>
      <c r="V42" s="1181"/>
      <c r="W42" s="1181"/>
    </row>
    <row r="43" spans="1:23" ht="99.75" customHeight="1" thickBot="1">
      <c r="A43" s="1775" t="s">
        <v>493</v>
      </c>
      <c r="B43" s="2425"/>
      <c r="C43" s="2426"/>
      <c r="D43" s="379" t="s">
        <v>237</v>
      </c>
      <c r="E43" s="138" t="s">
        <v>277</v>
      </c>
      <c r="F43" s="2096" t="s">
        <v>603</v>
      </c>
      <c r="G43" s="2117"/>
      <c r="H43" s="2117"/>
      <c r="I43" s="704"/>
      <c r="J43" s="1181"/>
      <c r="K43" s="1181"/>
      <c r="L43" s="1181"/>
      <c r="M43" s="1181"/>
      <c r="N43" s="704"/>
      <c r="O43" s="1181"/>
      <c r="P43" s="1181"/>
      <c r="Q43" s="1181"/>
      <c r="R43" s="1181"/>
      <c r="S43" s="704"/>
      <c r="T43" s="1181"/>
      <c r="U43" s="1181"/>
      <c r="V43" s="1181"/>
      <c r="W43" s="1181"/>
    </row>
    <row r="44" spans="1:23" s="1161" customFormat="1" ht="15.75" customHeight="1" thickBot="1">
      <c r="A44" s="1775" t="s">
        <v>133</v>
      </c>
      <c r="B44" s="2425"/>
      <c r="C44" s="2426"/>
      <c r="D44" s="379" t="s">
        <v>238</v>
      </c>
      <c r="E44" s="1246"/>
      <c r="F44" s="2461"/>
      <c r="G44" s="2461"/>
      <c r="H44" s="2462"/>
      <c r="I44" s="1183"/>
      <c r="J44" s="1181"/>
      <c r="K44" s="1181"/>
      <c r="L44" s="1181"/>
      <c r="M44" s="1181"/>
      <c r="N44" s="1183"/>
      <c r="O44" s="1181"/>
      <c r="P44" s="1181"/>
      <c r="Q44" s="1181"/>
      <c r="R44" s="1181"/>
      <c r="S44" s="1183"/>
      <c r="T44" s="1181"/>
      <c r="U44" s="1181"/>
      <c r="V44" s="1181"/>
      <c r="W44" s="1181"/>
    </row>
    <row r="45" spans="1:23" ht="114.75" customHeight="1" thickBot="1">
      <c r="A45" s="1778" t="s">
        <v>41</v>
      </c>
      <c r="B45" s="2424"/>
      <c r="C45" s="380" t="s">
        <v>50</v>
      </c>
      <c r="D45" s="381" t="s">
        <v>246</v>
      </c>
      <c r="E45" s="138" t="s">
        <v>277</v>
      </c>
      <c r="F45" s="1782" t="s">
        <v>1264</v>
      </c>
      <c r="G45" s="1783"/>
      <c r="H45" s="2456"/>
      <c r="I45" s="704"/>
      <c r="J45" s="1181"/>
      <c r="K45" s="1181"/>
      <c r="L45" s="1181"/>
      <c r="M45" s="1181"/>
      <c r="N45" s="704"/>
      <c r="O45" s="1181"/>
      <c r="P45" s="1181"/>
      <c r="Q45" s="1181"/>
      <c r="R45" s="1181"/>
      <c r="S45" s="704"/>
      <c r="T45" s="1181"/>
      <c r="U45" s="1181"/>
      <c r="V45" s="1181"/>
      <c r="W45" s="1181"/>
    </row>
    <row r="46" spans="1:23" ht="165.75" customHeight="1" thickBot="1">
      <c r="A46" s="2427"/>
      <c r="B46" s="2424"/>
      <c r="C46" s="382" t="s">
        <v>51</v>
      </c>
      <c r="D46" s="381" t="s">
        <v>247</v>
      </c>
      <c r="E46" s="138" t="s">
        <v>277</v>
      </c>
      <c r="F46" s="1782" t="s">
        <v>1265</v>
      </c>
      <c r="G46" s="1783"/>
      <c r="H46" s="2456"/>
      <c r="I46" s="704"/>
      <c r="J46" s="1181"/>
      <c r="K46" s="1181"/>
      <c r="L46" s="1181"/>
      <c r="M46" s="1181"/>
      <c r="N46" s="704"/>
      <c r="O46" s="1181"/>
      <c r="P46" s="1181"/>
      <c r="Q46" s="1181"/>
      <c r="R46" s="1181"/>
      <c r="S46" s="704"/>
      <c r="T46" s="1181"/>
      <c r="U46" s="1181"/>
      <c r="V46" s="1181"/>
      <c r="W46" s="1181"/>
    </row>
    <row r="47" spans="1:23" ht="178.5" customHeight="1" thickBot="1">
      <c r="A47" s="2427"/>
      <c r="B47" s="2424"/>
      <c r="C47" s="382" t="s">
        <v>39</v>
      </c>
      <c r="D47" s="381" t="s">
        <v>248</v>
      </c>
      <c r="E47" s="138" t="s">
        <v>277</v>
      </c>
      <c r="F47" s="1782" t="s">
        <v>1266</v>
      </c>
      <c r="G47" s="1783"/>
      <c r="H47" s="2456"/>
      <c r="I47" s="704"/>
      <c r="J47" s="1181"/>
      <c r="K47" s="1181"/>
      <c r="L47" s="1181"/>
      <c r="M47" s="1181"/>
      <c r="N47" s="704"/>
      <c r="O47" s="1181"/>
      <c r="P47" s="1181"/>
      <c r="Q47" s="1181"/>
      <c r="R47" s="1181"/>
      <c r="S47" s="704"/>
      <c r="T47" s="1181"/>
      <c r="U47" s="1181"/>
      <c r="V47" s="1181"/>
      <c r="W47" s="1181"/>
    </row>
    <row r="48" spans="1:23" ht="15.75" thickBot="1">
      <c r="A48" s="2421"/>
      <c r="B48" s="2428"/>
      <c r="C48" s="383" t="s">
        <v>40</v>
      </c>
      <c r="D48" s="381" t="s">
        <v>249</v>
      </c>
      <c r="E48" s="354"/>
      <c r="F48" s="1781" t="s">
        <v>498</v>
      </c>
      <c r="G48" s="2418"/>
      <c r="H48" s="2419"/>
      <c r="I48" s="1183"/>
      <c r="J48" s="1181"/>
      <c r="K48" s="1181"/>
      <c r="L48" s="1181"/>
      <c r="M48" s="1181"/>
      <c r="N48" s="1183"/>
      <c r="O48" s="1181"/>
      <c r="P48" s="1181"/>
      <c r="Q48" s="1181"/>
      <c r="R48" s="1181"/>
      <c r="S48" s="1183"/>
      <c r="T48" s="1181"/>
      <c r="U48" s="1181"/>
      <c r="V48" s="1181"/>
      <c r="W48" s="1181"/>
    </row>
    <row r="49" spans="1:23" ht="15.75">
      <c r="A49" s="1765" t="s">
        <v>130</v>
      </c>
      <c r="B49" s="2420"/>
      <c r="C49" s="375" t="s">
        <v>131</v>
      </c>
      <c r="D49" s="376" t="s">
        <v>255</v>
      </c>
      <c r="E49" s="354"/>
      <c r="F49" s="1769"/>
      <c r="G49" s="2418"/>
      <c r="H49" s="2419"/>
      <c r="I49" s="1183"/>
      <c r="J49" s="1181"/>
      <c r="K49" s="1181"/>
      <c r="L49" s="1181"/>
      <c r="M49" s="1181"/>
      <c r="N49" s="1183"/>
      <c r="O49" s="1181"/>
      <c r="P49" s="1181"/>
      <c r="Q49" s="1181"/>
      <c r="R49" s="1181"/>
      <c r="S49" s="1183"/>
      <c r="T49" s="1181"/>
      <c r="U49" s="1181"/>
      <c r="V49" s="1181"/>
      <c r="W49" s="1181"/>
    </row>
    <row r="50" spans="1:23" ht="32.25" thickBot="1">
      <c r="A50" s="2421"/>
      <c r="B50" s="2422"/>
      <c r="C50" s="384" t="s">
        <v>132</v>
      </c>
      <c r="D50" s="376" t="s">
        <v>263</v>
      </c>
      <c r="E50" s="354"/>
      <c r="F50" s="1769"/>
      <c r="G50" s="2418"/>
      <c r="H50" s="2419"/>
      <c r="I50" s="1183"/>
      <c r="J50" s="1181"/>
      <c r="K50" s="1181"/>
      <c r="L50" s="1181"/>
      <c r="M50" s="1181"/>
      <c r="N50" s="1183"/>
      <c r="O50" s="1181"/>
      <c r="P50" s="1181"/>
      <c r="Q50" s="1181"/>
      <c r="R50" s="1181"/>
      <c r="S50" s="1183"/>
      <c r="T50" s="1181"/>
      <c r="U50" s="1181"/>
      <c r="V50" s="1181"/>
      <c r="W50" s="1181"/>
    </row>
    <row r="51" spans="1:23">
      <c r="A51" s="1770" t="s">
        <v>42</v>
      </c>
      <c r="B51" s="2423"/>
      <c r="C51" s="385" t="s">
        <v>38</v>
      </c>
      <c r="D51" s="386" t="s">
        <v>239</v>
      </c>
      <c r="E51" s="138" t="s">
        <v>277</v>
      </c>
      <c r="F51" s="1818" t="s">
        <v>905</v>
      </c>
      <c r="G51" s="2418"/>
      <c r="H51" s="2419"/>
      <c r="I51" s="704" t="s">
        <v>277</v>
      </c>
      <c r="J51" s="1181">
        <v>3</v>
      </c>
      <c r="K51" s="1181"/>
      <c r="L51" s="1181">
        <v>4</v>
      </c>
      <c r="M51" s="1181">
        <f>(L51*800)*5</f>
        <v>16000</v>
      </c>
      <c r="N51" s="704" t="s">
        <v>277</v>
      </c>
      <c r="O51" s="1181">
        <v>3</v>
      </c>
      <c r="P51" s="1181"/>
      <c r="Q51" s="1181">
        <v>4</v>
      </c>
      <c r="R51" s="1181">
        <f>(Q51*800)*5</f>
        <v>16000</v>
      </c>
      <c r="S51" s="704" t="s">
        <v>277</v>
      </c>
      <c r="T51" s="1181">
        <v>3</v>
      </c>
      <c r="U51" s="1181"/>
      <c r="V51" s="1181">
        <v>4</v>
      </c>
      <c r="W51" s="1181">
        <f>(V51*800)*5</f>
        <v>16000</v>
      </c>
    </row>
    <row r="52" spans="1:23">
      <c r="A52" s="2424"/>
      <c r="B52" s="2424"/>
      <c r="C52" s="387" t="s">
        <v>55</v>
      </c>
      <c r="D52" s="386" t="s">
        <v>240</v>
      </c>
      <c r="E52" s="138" t="s">
        <v>277</v>
      </c>
      <c r="F52" s="1773"/>
      <c r="G52" s="2418"/>
      <c r="H52" s="2419"/>
      <c r="I52" s="704" t="s">
        <v>277</v>
      </c>
      <c r="J52" s="1181">
        <v>3</v>
      </c>
      <c r="K52" s="1181"/>
      <c r="L52" s="1181">
        <v>20</v>
      </c>
      <c r="M52" s="1181">
        <f>(L52*62)*5</f>
        <v>6200</v>
      </c>
      <c r="N52" s="704" t="s">
        <v>277</v>
      </c>
      <c r="O52" s="1181">
        <v>3</v>
      </c>
      <c r="P52" s="1181"/>
      <c r="Q52" s="1181">
        <v>20</v>
      </c>
      <c r="R52" s="1181">
        <f>(Q52*62)*5</f>
        <v>6200</v>
      </c>
      <c r="S52" s="704" t="s">
        <v>277</v>
      </c>
      <c r="T52" s="1181">
        <v>3</v>
      </c>
      <c r="U52" s="1181"/>
      <c r="V52" s="1181">
        <v>20</v>
      </c>
      <c r="W52" s="1181">
        <f>(V52*62)*5</f>
        <v>6200</v>
      </c>
    </row>
    <row r="53" spans="1:23" ht="16.5" thickBot="1">
      <c r="A53" s="2424"/>
      <c r="B53" s="2424"/>
      <c r="C53" s="377" t="s">
        <v>48</v>
      </c>
      <c r="D53" s="388" t="s">
        <v>241</v>
      </c>
      <c r="E53" s="354"/>
      <c r="F53" s="1774"/>
      <c r="G53" s="2418"/>
      <c r="H53" s="2419"/>
      <c r="I53" s="1183"/>
      <c r="J53" s="1181"/>
      <c r="K53" s="1181"/>
      <c r="L53" s="1181"/>
      <c r="M53" s="1181"/>
      <c r="N53" s="1185"/>
      <c r="O53" s="1186"/>
      <c r="P53" s="1186"/>
      <c r="Q53" s="1186"/>
      <c r="R53" s="1186"/>
      <c r="S53" s="1185"/>
      <c r="T53" s="1186"/>
      <c r="U53" s="1186"/>
      <c r="V53" s="1186"/>
      <c r="W53" s="1187"/>
    </row>
    <row r="54" spans="1:23" ht="16.5" thickBot="1">
      <c r="A54" s="1761" t="s">
        <v>500</v>
      </c>
      <c r="B54" s="2418"/>
      <c r="C54" s="389" t="s">
        <v>134</v>
      </c>
      <c r="D54" s="390" t="s">
        <v>269</v>
      </c>
      <c r="E54" s="391"/>
      <c r="F54" s="1763" t="s">
        <v>501</v>
      </c>
      <c r="G54" s="2418"/>
      <c r="H54" s="2419"/>
      <c r="I54" s="1208"/>
      <c r="J54" s="1209"/>
      <c r="K54" s="1209"/>
      <c r="L54" s="1209"/>
      <c r="M54" s="1209"/>
      <c r="N54" s="1188"/>
      <c r="O54" s="1189"/>
      <c r="P54" s="1189"/>
      <c r="Q54" s="1189"/>
      <c r="R54" s="1189"/>
      <c r="S54" s="1188"/>
      <c r="T54" s="1189"/>
      <c r="U54" s="1189"/>
      <c r="V54" s="1189"/>
      <c r="W54" s="1190"/>
    </row>
    <row r="56" spans="1:23">
      <c r="M56" s="1610">
        <f>SUM(M37:M53)</f>
        <v>22200</v>
      </c>
    </row>
    <row r="57" spans="1:23" ht="60">
      <c r="A57" s="1191" t="s">
        <v>948</v>
      </c>
      <c r="B57" s="1191" t="s">
        <v>949</v>
      </c>
      <c r="C57" s="1191" t="s">
        <v>950</v>
      </c>
      <c r="D57" s="1191" t="s">
        <v>951</v>
      </c>
      <c r="E57" s="1191" t="s">
        <v>952</v>
      </c>
    </row>
    <row r="58" spans="1:23">
      <c r="A58" s="1204" t="s">
        <v>953</v>
      </c>
      <c r="B58" s="624" t="s">
        <v>1005</v>
      </c>
      <c r="C58" s="1207">
        <v>1</v>
      </c>
      <c r="D58" s="1181">
        <v>1</v>
      </c>
      <c r="E58" s="635" t="s">
        <v>1007</v>
      </c>
    </row>
    <row r="59" spans="1:23">
      <c r="A59" s="1204" t="s">
        <v>956</v>
      </c>
      <c r="B59" s="624" t="s">
        <v>1005</v>
      </c>
      <c r="C59" s="1207">
        <v>2</v>
      </c>
      <c r="D59" s="1181">
        <v>2</v>
      </c>
      <c r="E59" s="635" t="s">
        <v>1008</v>
      </c>
    </row>
    <row r="60" spans="1:23">
      <c r="A60" s="1204" t="s">
        <v>957</v>
      </c>
      <c r="B60" s="624" t="s">
        <v>1005</v>
      </c>
      <c r="C60" s="1207">
        <v>1</v>
      </c>
      <c r="D60" s="1181">
        <v>7</v>
      </c>
      <c r="E60" s="635" t="s">
        <v>1009</v>
      </c>
    </row>
    <row r="61" spans="1:23">
      <c r="A61" s="1204" t="s">
        <v>959</v>
      </c>
      <c r="B61" s="624" t="s">
        <v>1005</v>
      </c>
      <c r="C61" s="786" t="s">
        <v>1010</v>
      </c>
      <c r="D61" s="1181"/>
      <c r="E61" s="635" t="s">
        <v>1011</v>
      </c>
    </row>
    <row r="62" spans="1:23">
      <c r="A62" s="1204" t="s">
        <v>961</v>
      </c>
      <c r="B62" s="624" t="s">
        <v>954</v>
      </c>
      <c r="C62" s="1207">
        <v>20</v>
      </c>
      <c r="D62" s="1181">
        <v>20</v>
      </c>
      <c r="E62" s="635" t="s">
        <v>1236</v>
      </c>
    </row>
    <row r="63" spans="1:23">
      <c r="A63" s="1204" t="s">
        <v>963</v>
      </c>
      <c r="B63" s="624" t="s">
        <v>954</v>
      </c>
      <c r="C63" s="1207">
        <v>20</v>
      </c>
      <c r="D63" s="1181">
        <v>20</v>
      </c>
      <c r="E63" s="635" t="s">
        <v>1236</v>
      </c>
    </row>
    <row r="64" spans="1:23">
      <c r="A64" s="1204" t="s">
        <v>965</v>
      </c>
      <c r="B64" s="624" t="s">
        <v>1005</v>
      </c>
      <c r="C64" s="786" t="s">
        <v>1013</v>
      </c>
      <c r="D64" s="1181">
        <v>40</v>
      </c>
      <c r="E64" s="635" t="s">
        <v>1014</v>
      </c>
    </row>
    <row r="65" spans="1:6">
      <c r="A65" s="1204" t="s">
        <v>967</v>
      </c>
      <c r="B65" s="624" t="s">
        <v>1005</v>
      </c>
      <c r="C65" s="1210" t="s">
        <v>1015</v>
      </c>
      <c r="D65" s="1181"/>
      <c r="E65" s="635" t="s">
        <v>1011</v>
      </c>
    </row>
    <row r="66" spans="1:6">
      <c r="A66" s="1204" t="s">
        <v>969</v>
      </c>
      <c r="B66" s="624" t="s">
        <v>1005</v>
      </c>
      <c r="C66" s="786" t="s">
        <v>1016</v>
      </c>
      <c r="D66" s="1181">
        <v>7</v>
      </c>
      <c r="E66" s="635" t="s">
        <v>1011</v>
      </c>
    </row>
    <row r="67" spans="1:6">
      <c r="A67" s="1204" t="s">
        <v>971</v>
      </c>
      <c r="B67" s="624" t="s">
        <v>1005</v>
      </c>
      <c r="C67" s="786" t="s">
        <v>1013</v>
      </c>
      <c r="D67" s="1181">
        <v>10</v>
      </c>
      <c r="E67" s="635" t="s">
        <v>1011</v>
      </c>
    </row>
    <row r="68" spans="1:6">
      <c r="A68" s="1204" t="s">
        <v>986</v>
      </c>
      <c r="B68" s="1186"/>
      <c r="C68" s="1186"/>
      <c r="D68" s="1186"/>
      <c r="E68" s="1211"/>
    </row>
    <row r="69" spans="1:6">
      <c r="A69" s="1192"/>
      <c r="B69" s="1186"/>
      <c r="C69" s="1186"/>
      <c r="D69" s="1186"/>
      <c r="E69" s="1211"/>
    </row>
    <row r="70" spans="1:6">
      <c r="A70" s="1192"/>
      <c r="B70" s="1186"/>
      <c r="C70" s="1186"/>
      <c r="D70" s="1186"/>
      <c r="E70" s="1211"/>
    </row>
    <row r="73" spans="1:6">
      <c r="A73" s="1829" t="s">
        <v>1270</v>
      </c>
      <c r="B73" s="2437"/>
      <c r="C73" s="2437"/>
      <c r="D73" s="2437"/>
      <c r="E73" s="2437"/>
      <c r="F73" s="2437"/>
    </row>
    <row r="74" spans="1:6" ht="105">
      <c r="A74" s="1501" t="s">
        <v>1271</v>
      </c>
      <c r="B74" s="1501" t="s">
        <v>1272</v>
      </c>
      <c r="C74" s="1501" t="s">
        <v>1273</v>
      </c>
      <c r="D74" s="1501" t="s">
        <v>1274</v>
      </c>
      <c r="E74" s="1501" t="s">
        <v>1275</v>
      </c>
      <c r="F74" s="1501" t="s">
        <v>1276</v>
      </c>
    </row>
    <row r="75" spans="1:6" ht="150">
      <c r="A75" s="1425" t="s">
        <v>1293</v>
      </c>
      <c r="B75" s="1535" t="s">
        <v>1294</v>
      </c>
      <c r="C75" s="1423">
        <v>7</v>
      </c>
      <c r="D75" s="1533" t="s">
        <v>1084</v>
      </c>
      <c r="E75" s="1533" t="s">
        <v>1295</v>
      </c>
      <c r="F75" s="1423">
        <v>10</v>
      </c>
    </row>
    <row r="76" spans="1:6" ht="75">
      <c r="A76" s="1425" t="s">
        <v>1296</v>
      </c>
      <c r="B76" s="1535" t="s">
        <v>1294</v>
      </c>
      <c r="C76" s="1423">
        <v>7</v>
      </c>
      <c r="D76" s="1533" t="s">
        <v>1297</v>
      </c>
      <c r="E76" s="1533" t="s">
        <v>1295</v>
      </c>
      <c r="F76" s="1423">
        <v>10</v>
      </c>
    </row>
    <row r="77" spans="1:6" ht="135">
      <c r="A77" s="1425" t="s">
        <v>1298</v>
      </c>
      <c r="B77" s="1535" t="s">
        <v>1294</v>
      </c>
      <c r="C77" s="1423">
        <v>7</v>
      </c>
      <c r="D77" s="1533" t="s">
        <v>1297</v>
      </c>
      <c r="E77" s="1533" t="s">
        <v>1299</v>
      </c>
      <c r="F77" s="1423">
        <v>10</v>
      </c>
    </row>
    <row r="78" spans="1:6" ht="120">
      <c r="A78" s="1425" t="s">
        <v>1300</v>
      </c>
      <c r="B78" s="1535" t="s">
        <v>1294</v>
      </c>
      <c r="C78" s="1423">
        <v>7</v>
      </c>
      <c r="D78" s="1533" t="s">
        <v>1297</v>
      </c>
      <c r="E78" s="1533" t="s">
        <v>1301</v>
      </c>
      <c r="F78" s="1423">
        <v>10</v>
      </c>
    </row>
    <row r="79" spans="1:6" ht="120">
      <c r="A79" s="1425" t="s">
        <v>1302</v>
      </c>
      <c r="B79" s="1535" t="s">
        <v>1294</v>
      </c>
      <c r="C79" s="1423">
        <v>7</v>
      </c>
      <c r="D79" s="1533" t="s">
        <v>1297</v>
      </c>
      <c r="E79" s="1533" t="s">
        <v>1301</v>
      </c>
      <c r="F79" s="1423">
        <v>10</v>
      </c>
    </row>
  </sheetData>
  <mergeCells count="59">
    <mergeCell ref="A10:B10"/>
    <mergeCell ref="C10:H10"/>
    <mergeCell ref="B2:D2"/>
    <mergeCell ref="B3:D3"/>
    <mergeCell ref="B4:D4"/>
    <mergeCell ref="B6:D6"/>
    <mergeCell ref="B8:D8"/>
    <mergeCell ref="E12:H13"/>
    <mergeCell ref="I13:M13"/>
    <mergeCell ref="N13:R13"/>
    <mergeCell ref="S13:W13"/>
    <mergeCell ref="A14:B14"/>
    <mergeCell ref="F14:H14"/>
    <mergeCell ref="A15:B17"/>
    <mergeCell ref="F15:H17"/>
    <mergeCell ref="A18:B20"/>
    <mergeCell ref="F18:H20"/>
    <mergeCell ref="A21:B22"/>
    <mergeCell ref="F21:H22"/>
    <mergeCell ref="A23:B25"/>
    <mergeCell ref="F23:H25"/>
    <mergeCell ref="A26:C26"/>
    <mergeCell ref="F26:H26"/>
    <mergeCell ref="A27:B29"/>
    <mergeCell ref="F27:H29"/>
    <mergeCell ref="A30:B32"/>
    <mergeCell ref="F30:H32"/>
    <mergeCell ref="A33:B33"/>
    <mergeCell ref="F33:H33"/>
    <mergeCell ref="A34:B34"/>
    <mergeCell ref="F34:H34"/>
    <mergeCell ref="A35:B36"/>
    <mergeCell ref="F35:H36"/>
    <mergeCell ref="A37:B39"/>
    <mergeCell ref="F37:H37"/>
    <mergeCell ref="F38:H38"/>
    <mergeCell ref="F39:H39"/>
    <mergeCell ref="A49:B50"/>
    <mergeCell ref="F49:H49"/>
    <mergeCell ref="F50:H50"/>
    <mergeCell ref="A40:B42"/>
    <mergeCell ref="F40:H41"/>
    <mergeCell ref="F42:H42"/>
    <mergeCell ref="A43:C43"/>
    <mergeCell ref="F43:H43"/>
    <mergeCell ref="A44:C44"/>
    <mergeCell ref="F44:H44"/>
    <mergeCell ref="A45:B48"/>
    <mergeCell ref="F45:H45"/>
    <mergeCell ref="F46:H46"/>
    <mergeCell ref="F47:H47"/>
    <mergeCell ref="F48:H48"/>
    <mergeCell ref="A73:F73"/>
    <mergeCell ref="A51:B53"/>
    <mergeCell ref="F51:H51"/>
    <mergeCell ref="F52:H52"/>
    <mergeCell ref="F53:H53"/>
    <mergeCell ref="A54:B54"/>
    <mergeCell ref="F54:H54"/>
  </mergeCells>
  <dataValidations count="3">
    <dataValidation type="list" allowBlank="1" showErrorMessage="1" sqref="H3">
      <formula1>$N$4:$N$5</formula1>
    </dataValidation>
    <dataValidation type="list" allowBlank="1" showErrorMessage="1" sqref="H2">
      <formula1>$N$2:$N$3</formula1>
    </dataValidation>
    <dataValidation type="list" allowBlank="1" showErrorMessage="1" sqref="H8">
      <formula1>"Enjeu EAU AESN,Enjeu EAU AEAP,Enjeu ZH et prairies AEAP,Enjeu Erosion AEAP,Enjeu Biodiversité MASA"</formula1>
    </dataValidation>
  </dataValidations>
  <hyperlinks>
    <hyperlink ref="J2" location="SOMMAIRE!A1" display="Retour sommaire"/>
    <hyperlink ref="J4" location="SYNTHESE!A1" display="Retour synthèse"/>
  </hyperlink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W77"/>
  <sheetViews>
    <sheetView topLeftCell="A40" workbookViewId="0">
      <selection activeCell="C34" sqref="C34"/>
    </sheetView>
  </sheetViews>
  <sheetFormatPr baseColWidth="10" defaultRowHeight="15"/>
  <cols>
    <col min="3" max="3" width="60.5703125" customWidth="1"/>
    <col min="8" max="8" width="18.140625" customWidth="1"/>
  </cols>
  <sheetData>
    <row r="1" spans="1:23" ht="15.75" thickBot="1">
      <c r="A1" s="182"/>
      <c r="B1" s="182"/>
      <c r="C1" s="182"/>
      <c r="D1" s="182"/>
      <c r="E1" s="182"/>
      <c r="F1" s="182"/>
      <c r="G1" s="182"/>
      <c r="H1" s="182"/>
    </row>
    <row r="2" spans="1:23" ht="15.75" thickBot="1">
      <c r="A2" s="328" t="s">
        <v>0</v>
      </c>
      <c r="B2" s="2463" t="s">
        <v>906</v>
      </c>
      <c r="C2" s="2464"/>
      <c r="D2" s="2465"/>
      <c r="E2" s="329"/>
      <c r="F2" s="329"/>
      <c r="G2" s="330" t="s">
        <v>462</v>
      </c>
      <c r="H2" s="112" t="s">
        <v>14</v>
      </c>
      <c r="J2" s="13" t="s">
        <v>73</v>
      </c>
      <c r="K2" s="1251"/>
    </row>
    <row r="3" spans="1:23" ht="16.5" thickTop="1" thickBot="1">
      <c r="A3" s="331" t="s">
        <v>344</v>
      </c>
      <c r="B3" s="2466" t="s">
        <v>907</v>
      </c>
      <c r="C3" s="2467"/>
      <c r="D3" s="2468"/>
      <c r="E3" s="329"/>
      <c r="F3" s="329"/>
      <c r="G3" s="332" t="s">
        <v>10</v>
      </c>
      <c r="H3" s="112" t="s">
        <v>16</v>
      </c>
      <c r="J3" s="13"/>
      <c r="K3" s="1251"/>
    </row>
    <row r="4" spans="1:23" ht="16.5" thickTop="1" thickBot="1">
      <c r="A4" s="332" t="s">
        <v>3</v>
      </c>
      <c r="B4" s="2469" t="s">
        <v>909</v>
      </c>
      <c r="C4" s="2470"/>
      <c r="D4" s="2471"/>
      <c r="E4" s="333"/>
      <c r="F4" s="329"/>
      <c r="G4" s="334" t="s">
        <v>26</v>
      </c>
      <c r="H4" s="392">
        <v>10</v>
      </c>
      <c r="J4" s="13" t="s">
        <v>381</v>
      </c>
      <c r="K4" s="1251"/>
    </row>
    <row r="5" spans="1:23" ht="15.75" thickBot="1">
      <c r="A5" s="329"/>
      <c r="B5" s="329"/>
      <c r="C5" s="329"/>
      <c r="D5" s="329"/>
      <c r="E5" s="329"/>
      <c r="F5" s="329"/>
      <c r="G5" s="329"/>
      <c r="H5" s="329"/>
    </row>
    <row r="6" spans="1:23" ht="120.75" thickBot="1">
      <c r="A6" s="328" t="s">
        <v>465</v>
      </c>
      <c r="B6" s="2472" t="s">
        <v>1597</v>
      </c>
      <c r="C6" s="2473"/>
      <c r="D6" s="2474"/>
      <c r="E6" s="329"/>
      <c r="F6" s="329"/>
      <c r="G6" s="335" t="s">
        <v>466</v>
      </c>
      <c r="H6" s="119" t="s">
        <v>898</v>
      </c>
    </row>
    <row r="7" spans="1:23" ht="15.75" thickBot="1">
      <c r="A7" s="182"/>
      <c r="B7" s="329"/>
      <c r="C7" s="329"/>
      <c r="D7" s="329"/>
      <c r="E7" s="329"/>
      <c r="F7" s="329"/>
      <c r="G7" s="337"/>
      <c r="H7" s="329"/>
    </row>
    <row r="8" spans="1:23" ht="60.75" thickBot="1">
      <c r="A8" s="338" t="s">
        <v>7</v>
      </c>
      <c r="B8" s="1809" t="s">
        <v>910</v>
      </c>
      <c r="C8" s="2425"/>
      <c r="D8" s="2426"/>
      <c r="E8" s="333"/>
      <c r="F8" s="339"/>
      <c r="G8" s="338" t="s">
        <v>469</v>
      </c>
      <c r="H8" s="123" t="s">
        <v>551</v>
      </c>
    </row>
    <row r="9" spans="1:23">
      <c r="A9" s="182"/>
      <c r="B9" s="329"/>
      <c r="C9" s="329"/>
      <c r="D9" s="329"/>
      <c r="E9" s="329"/>
      <c r="F9" s="329"/>
      <c r="G9" s="337"/>
      <c r="H9" s="329"/>
    </row>
    <row r="10" spans="1:23" ht="60.75" customHeight="1">
      <c r="A10" s="1813" t="s">
        <v>471</v>
      </c>
      <c r="B10" s="2424"/>
      <c r="C10" s="1806" t="s">
        <v>908</v>
      </c>
      <c r="D10" s="1806"/>
      <c r="E10" s="1806"/>
      <c r="F10" s="1806"/>
      <c r="G10" s="1806"/>
      <c r="H10" s="1806"/>
    </row>
    <row r="11" spans="1:23">
      <c r="A11" s="343"/>
      <c r="B11" s="333"/>
      <c r="C11" s="333"/>
      <c r="D11" s="333"/>
      <c r="E11" s="333"/>
      <c r="F11" s="339"/>
      <c r="G11" s="342"/>
      <c r="H11" s="342"/>
    </row>
    <row r="12" spans="1:23">
      <c r="A12" s="343"/>
      <c r="B12" s="333"/>
      <c r="C12" s="333"/>
      <c r="D12" s="333"/>
      <c r="E12" s="1814" t="s">
        <v>473</v>
      </c>
      <c r="F12" s="2424"/>
      <c r="G12" s="2424"/>
      <c r="H12" s="2424"/>
    </row>
    <row r="13" spans="1:23">
      <c r="A13" s="329"/>
      <c r="B13" s="329"/>
      <c r="C13" s="329"/>
      <c r="D13" s="329"/>
      <c r="E13" s="2428"/>
      <c r="F13" s="2428"/>
      <c r="G13" s="2428"/>
      <c r="H13" s="2428"/>
      <c r="I13" s="1817">
        <v>2025</v>
      </c>
      <c r="J13" s="2418"/>
      <c r="K13" s="2418"/>
      <c r="L13" s="2418"/>
      <c r="M13" s="2419"/>
      <c r="N13" s="1817">
        <v>2026</v>
      </c>
      <c r="O13" s="2418"/>
      <c r="P13" s="2418"/>
      <c r="Q13" s="2418"/>
      <c r="R13" s="2419"/>
      <c r="S13" s="1817">
        <v>2027</v>
      </c>
      <c r="T13" s="2418"/>
      <c r="U13" s="2418"/>
      <c r="V13" s="2418"/>
      <c r="W13" s="2419"/>
    </row>
    <row r="14" spans="1:23" ht="45.75" thickBot="1">
      <c r="A14" s="1816" t="s">
        <v>5</v>
      </c>
      <c r="B14" s="2429"/>
      <c r="C14" s="344" t="s">
        <v>1</v>
      </c>
      <c r="D14" s="344" t="s">
        <v>260</v>
      </c>
      <c r="E14" s="394" t="s">
        <v>474</v>
      </c>
      <c r="F14" s="1815" t="s">
        <v>6</v>
      </c>
      <c r="G14" s="2418"/>
      <c r="H14" s="2419"/>
      <c r="I14" s="643" t="s">
        <v>474</v>
      </c>
      <c r="J14" s="644" t="s">
        <v>944</v>
      </c>
      <c r="K14" s="645" t="s">
        <v>945</v>
      </c>
      <c r="L14" s="644" t="s">
        <v>946</v>
      </c>
      <c r="M14" s="646" t="s">
        <v>947</v>
      </c>
      <c r="N14" s="643" t="s">
        <v>474</v>
      </c>
      <c r="O14" s="644" t="s">
        <v>944</v>
      </c>
      <c r="P14" s="645" t="s">
        <v>945</v>
      </c>
      <c r="Q14" s="644" t="s">
        <v>946</v>
      </c>
      <c r="R14" s="646" t="s">
        <v>947</v>
      </c>
      <c r="S14" s="643" t="s">
        <v>474</v>
      </c>
      <c r="T14" s="644" t="s">
        <v>944</v>
      </c>
      <c r="U14" s="645" t="s">
        <v>945</v>
      </c>
      <c r="V14" s="644" t="s">
        <v>946</v>
      </c>
      <c r="W14" s="646" t="s">
        <v>947</v>
      </c>
    </row>
    <row r="15" spans="1:23">
      <c r="A15" s="1804" t="s">
        <v>17</v>
      </c>
      <c r="B15" s="2423"/>
      <c r="C15" s="346" t="s">
        <v>59</v>
      </c>
      <c r="D15" s="347" t="s">
        <v>251</v>
      </c>
      <c r="E15" s="348"/>
      <c r="F15" s="1791" t="s">
        <v>475</v>
      </c>
      <c r="G15" s="2423"/>
      <c r="H15" s="2429"/>
      <c r="I15" s="650"/>
      <c r="J15" s="648"/>
      <c r="K15" s="648"/>
      <c r="L15" s="648"/>
      <c r="M15" s="649"/>
      <c r="N15" s="650"/>
      <c r="O15" s="648"/>
      <c r="P15" s="648"/>
      <c r="Q15" s="648"/>
      <c r="R15" s="649"/>
      <c r="S15" s="650"/>
      <c r="T15" s="648"/>
      <c r="U15" s="648"/>
      <c r="V15" s="648"/>
      <c r="W15" s="651"/>
    </row>
    <row r="16" spans="1:23">
      <c r="A16" s="2424"/>
      <c r="B16" s="2424"/>
      <c r="C16" s="349" t="s">
        <v>18</v>
      </c>
      <c r="D16" s="350" t="s">
        <v>168</v>
      </c>
      <c r="E16" s="351"/>
      <c r="F16" s="2436"/>
      <c r="G16" s="2436"/>
      <c r="H16" s="2435"/>
      <c r="I16" s="653"/>
      <c r="J16" s="632"/>
      <c r="K16" s="632"/>
      <c r="L16" s="632"/>
      <c r="M16" s="632"/>
      <c r="N16" s="653"/>
      <c r="O16" s="632"/>
      <c r="P16" s="632"/>
      <c r="Q16" s="632"/>
      <c r="R16" s="632"/>
      <c r="S16" s="653"/>
      <c r="T16" s="632"/>
      <c r="U16" s="632"/>
      <c r="V16" s="632"/>
      <c r="W16" s="654"/>
    </row>
    <row r="17" spans="1:23" ht="15.75" thickBot="1">
      <c r="A17" s="2428"/>
      <c r="B17" s="2428"/>
      <c r="C17" s="352" t="s">
        <v>19</v>
      </c>
      <c r="D17" s="353" t="s">
        <v>233</v>
      </c>
      <c r="E17" s="354"/>
      <c r="F17" s="2428"/>
      <c r="G17" s="2428"/>
      <c r="H17" s="2430"/>
      <c r="I17" s="656"/>
      <c r="J17" s="632"/>
      <c r="K17" s="632"/>
      <c r="L17" s="632"/>
      <c r="M17" s="632"/>
      <c r="N17" s="656"/>
      <c r="O17" s="632"/>
      <c r="P17" s="632"/>
      <c r="Q17" s="632"/>
      <c r="R17" s="632"/>
      <c r="S17" s="656"/>
      <c r="T17" s="632"/>
      <c r="U17" s="632"/>
      <c r="V17" s="632"/>
      <c r="W17" s="654"/>
    </row>
    <row r="18" spans="1:23">
      <c r="A18" s="1804" t="s">
        <v>20</v>
      </c>
      <c r="B18" s="2423"/>
      <c r="C18" s="346" t="s">
        <v>54</v>
      </c>
      <c r="D18" s="353" t="s">
        <v>261</v>
      </c>
      <c r="E18" s="354"/>
      <c r="F18" s="1791" t="s">
        <v>475</v>
      </c>
      <c r="G18" s="2423"/>
      <c r="H18" s="2429"/>
      <c r="I18" s="656"/>
      <c r="J18" s="632"/>
      <c r="K18" s="632"/>
      <c r="L18" s="632"/>
      <c r="M18" s="632"/>
      <c r="N18" s="656"/>
      <c r="O18" s="632"/>
      <c r="P18" s="632"/>
      <c r="Q18" s="632"/>
      <c r="R18" s="632"/>
      <c r="S18" s="656"/>
      <c r="T18" s="632"/>
      <c r="U18" s="632"/>
      <c r="V18" s="632"/>
      <c r="W18" s="654"/>
    </row>
    <row r="19" spans="1:23">
      <c r="A19" s="2424"/>
      <c r="B19" s="2424"/>
      <c r="C19" s="355" t="s">
        <v>21</v>
      </c>
      <c r="D19" s="353" t="s">
        <v>234</v>
      </c>
      <c r="E19" s="354"/>
      <c r="F19" s="2436"/>
      <c r="G19" s="2436"/>
      <c r="H19" s="2435"/>
      <c r="I19" s="656"/>
      <c r="J19" s="632"/>
      <c r="K19" s="632"/>
      <c r="L19" s="632"/>
      <c r="M19" s="632"/>
      <c r="N19" s="656"/>
      <c r="O19" s="632"/>
      <c r="P19" s="632"/>
      <c r="Q19" s="632"/>
      <c r="R19" s="632"/>
      <c r="S19" s="656"/>
      <c r="T19" s="632"/>
      <c r="U19" s="632"/>
      <c r="V19" s="632"/>
      <c r="W19" s="654"/>
    </row>
    <row r="20" spans="1:23" ht="15.75" thickBot="1">
      <c r="A20" s="2424"/>
      <c r="B20" s="2424"/>
      <c r="C20" s="352" t="s">
        <v>22</v>
      </c>
      <c r="D20" s="353" t="s">
        <v>235</v>
      </c>
      <c r="E20" s="354"/>
      <c r="F20" s="2428"/>
      <c r="G20" s="2428"/>
      <c r="H20" s="2430"/>
      <c r="I20" s="656"/>
      <c r="J20" s="632"/>
      <c r="K20" s="632"/>
      <c r="L20" s="632"/>
      <c r="M20" s="632"/>
      <c r="N20" s="656"/>
      <c r="O20" s="632"/>
      <c r="P20" s="632"/>
      <c r="Q20" s="632"/>
      <c r="R20" s="632"/>
      <c r="S20" s="656"/>
      <c r="T20" s="632"/>
      <c r="U20" s="632"/>
      <c r="V20" s="632"/>
      <c r="W20" s="654"/>
    </row>
    <row r="21" spans="1:23">
      <c r="A21" s="1804" t="s">
        <v>23</v>
      </c>
      <c r="B21" s="2423"/>
      <c r="C21" s="356" t="s">
        <v>69</v>
      </c>
      <c r="D21" s="353" t="s">
        <v>267</v>
      </c>
      <c r="E21" s="354"/>
      <c r="F21" s="1791" t="s">
        <v>477</v>
      </c>
      <c r="G21" s="2423"/>
      <c r="H21" s="2429"/>
      <c r="I21" s="656"/>
      <c r="J21" s="632"/>
      <c r="K21" s="632"/>
      <c r="L21" s="632"/>
      <c r="M21" s="632"/>
      <c r="N21" s="656"/>
      <c r="O21" s="632"/>
      <c r="P21" s="632"/>
      <c r="Q21" s="632"/>
      <c r="R21" s="632"/>
      <c r="S21" s="656"/>
      <c r="T21" s="632"/>
      <c r="U21" s="632"/>
      <c r="V21" s="632"/>
      <c r="W21" s="654"/>
    </row>
    <row r="22" spans="1:23" ht="15.75" thickBot="1">
      <c r="A22" s="2428"/>
      <c r="B22" s="2428"/>
      <c r="C22" s="357" t="s">
        <v>24</v>
      </c>
      <c r="D22" s="358" t="s">
        <v>236</v>
      </c>
      <c r="E22" s="354"/>
      <c r="F22" s="2428"/>
      <c r="G22" s="2428"/>
      <c r="H22" s="2430"/>
      <c r="I22" s="656"/>
      <c r="J22" s="632"/>
      <c r="K22" s="632"/>
      <c r="L22" s="632"/>
      <c r="M22" s="632"/>
      <c r="N22" s="656"/>
      <c r="O22" s="632"/>
      <c r="P22" s="632"/>
      <c r="Q22" s="632"/>
      <c r="R22" s="632"/>
      <c r="S22" s="656"/>
      <c r="T22" s="632"/>
      <c r="U22" s="632"/>
      <c r="V22" s="632"/>
      <c r="W22" s="654"/>
    </row>
    <row r="23" spans="1:23" ht="15.75">
      <c r="A23" s="1801" t="s">
        <v>478</v>
      </c>
      <c r="B23" s="2429"/>
      <c r="C23" s="359" t="s">
        <v>360</v>
      </c>
      <c r="D23" s="358" t="s">
        <v>265</v>
      </c>
      <c r="E23" s="354"/>
      <c r="F23" s="1791" t="s">
        <v>477</v>
      </c>
      <c r="G23" s="2423"/>
      <c r="H23" s="2429"/>
      <c r="I23" s="656"/>
      <c r="J23" s="632"/>
      <c r="K23" s="632"/>
      <c r="L23" s="632"/>
      <c r="M23" s="632"/>
      <c r="N23" s="656"/>
      <c r="O23" s="632"/>
      <c r="P23" s="632"/>
      <c r="Q23" s="632"/>
      <c r="R23" s="632"/>
      <c r="S23" s="656"/>
      <c r="T23" s="632"/>
      <c r="U23" s="632"/>
      <c r="V23" s="632"/>
      <c r="W23" s="654"/>
    </row>
    <row r="24" spans="1:23" ht="15.75">
      <c r="A24" s="2427"/>
      <c r="B24" s="2435"/>
      <c r="C24" s="360" t="s">
        <v>361</v>
      </c>
      <c r="D24" s="358" t="s">
        <v>362</v>
      </c>
      <c r="E24" s="354"/>
      <c r="F24" s="2436"/>
      <c r="G24" s="2436"/>
      <c r="H24" s="2435"/>
      <c r="I24" s="656"/>
      <c r="J24" s="632"/>
      <c r="K24" s="632"/>
      <c r="L24" s="632"/>
      <c r="M24" s="632"/>
      <c r="N24" s="656"/>
      <c r="O24" s="632"/>
      <c r="P24" s="632"/>
      <c r="Q24" s="632"/>
      <c r="R24" s="632"/>
      <c r="S24" s="656"/>
      <c r="T24" s="632"/>
      <c r="U24" s="632"/>
      <c r="V24" s="632"/>
      <c r="W24" s="654"/>
    </row>
    <row r="25" spans="1:23" ht="16.5" thickBot="1">
      <c r="A25" s="2427"/>
      <c r="B25" s="2435"/>
      <c r="C25" s="361" t="s">
        <v>479</v>
      </c>
      <c r="D25" s="358" t="s">
        <v>480</v>
      </c>
      <c r="E25" s="354"/>
      <c r="F25" s="2428"/>
      <c r="G25" s="2428"/>
      <c r="H25" s="2430"/>
      <c r="I25" s="656"/>
      <c r="J25" s="632"/>
      <c r="K25" s="632"/>
      <c r="L25" s="632"/>
      <c r="M25" s="632"/>
      <c r="N25" s="656"/>
      <c r="O25" s="632"/>
      <c r="P25" s="632"/>
      <c r="Q25" s="632"/>
      <c r="R25" s="632"/>
      <c r="S25" s="656"/>
      <c r="T25" s="632"/>
      <c r="U25" s="632"/>
      <c r="V25" s="632"/>
      <c r="W25" s="654"/>
    </row>
    <row r="26" spans="1:23" ht="15.75" thickBot="1">
      <c r="A26" s="1802" t="s">
        <v>25</v>
      </c>
      <c r="B26" s="2425"/>
      <c r="C26" s="2426"/>
      <c r="D26" s="362" t="s">
        <v>270</v>
      </c>
      <c r="E26" s="354"/>
      <c r="F26" s="1763" t="s">
        <v>481</v>
      </c>
      <c r="G26" s="2418"/>
      <c r="H26" s="2419"/>
      <c r="I26" s="656"/>
      <c r="J26" s="632"/>
      <c r="K26" s="632"/>
      <c r="L26" s="632"/>
      <c r="M26" s="632"/>
      <c r="N26" s="656"/>
      <c r="O26" s="632"/>
      <c r="P26" s="632"/>
      <c r="Q26" s="632"/>
      <c r="R26" s="632"/>
      <c r="S26" s="656"/>
      <c r="T26" s="632"/>
      <c r="U26" s="632"/>
      <c r="V26" s="632"/>
      <c r="W26" s="654"/>
    </row>
    <row r="27" spans="1:23" ht="15.75">
      <c r="A27" s="1803" t="s">
        <v>153</v>
      </c>
      <c r="B27" s="2432"/>
      <c r="C27" s="363" t="s">
        <v>152</v>
      </c>
      <c r="D27" s="364" t="s">
        <v>268</v>
      </c>
      <c r="E27" s="354"/>
      <c r="F27" s="1791" t="s">
        <v>475</v>
      </c>
      <c r="G27" s="2423"/>
      <c r="H27" s="2429"/>
      <c r="I27" s="656"/>
      <c r="J27" s="632"/>
      <c r="K27" s="632"/>
      <c r="L27" s="632"/>
      <c r="M27" s="632"/>
      <c r="N27" s="656"/>
      <c r="O27" s="632"/>
      <c r="P27" s="632"/>
      <c r="Q27" s="632"/>
      <c r="R27" s="632"/>
      <c r="S27" s="656"/>
      <c r="T27" s="632"/>
      <c r="U27" s="632"/>
      <c r="V27" s="632"/>
      <c r="W27" s="654"/>
    </row>
    <row r="28" spans="1:23" ht="15.75">
      <c r="A28" s="2427"/>
      <c r="B28" s="2432"/>
      <c r="C28" s="365" t="s">
        <v>154</v>
      </c>
      <c r="D28" s="364" t="s">
        <v>392</v>
      </c>
      <c r="E28" s="354"/>
      <c r="F28" s="2436"/>
      <c r="G28" s="2436"/>
      <c r="H28" s="2435"/>
      <c r="I28" s="656"/>
      <c r="J28" s="632"/>
      <c r="K28" s="632"/>
      <c r="L28" s="632"/>
      <c r="M28" s="632"/>
      <c r="N28" s="656"/>
      <c r="O28" s="632"/>
      <c r="P28" s="632"/>
      <c r="Q28" s="632"/>
      <c r="R28" s="632"/>
      <c r="S28" s="656"/>
      <c r="T28" s="632"/>
      <c r="U28" s="632"/>
      <c r="V28" s="632"/>
      <c r="W28" s="654"/>
    </row>
    <row r="29" spans="1:23" ht="16.5" thickBot="1">
      <c r="A29" s="2421"/>
      <c r="B29" s="2422"/>
      <c r="C29" s="366" t="s">
        <v>400</v>
      </c>
      <c r="D29" s="364" t="s">
        <v>393</v>
      </c>
      <c r="E29" s="354"/>
      <c r="F29" s="2428"/>
      <c r="G29" s="2428"/>
      <c r="H29" s="2430"/>
      <c r="I29" s="656"/>
      <c r="J29" s="632"/>
      <c r="K29" s="632"/>
      <c r="L29" s="632"/>
      <c r="M29" s="632"/>
      <c r="N29" s="656"/>
      <c r="O29" s="632"/>
      <c r="P29" s="632"/>
      <c r="Q29" s="632"/>
      <c r="R29" s="632"/>
      <c r="S29" s="656"/>
      <c r="T29" s="632"/>
      <c r="U29" s="632"/>
      <c r="V29" s="632"/>
      <c r="W29" s="654"/>
    </row>
    <row r="30" spans="1:23" ht="15.75">
      <c r="A30" s="1797" t="s">
        <v>153</v>
      </c>
      <c r="B30" s="2420"/>
      <c r="C30" s="367" t="s">
        <v>155</v>
      </c>
      <c r="D30" s="364" t="s">
        <v>266</v>
      </c>
      <c r="E30" s="354"/>
      <c r="F30" s="1791" t="s">
        <v>475</v>
      </c>
      <c r="G30" s="2423"/>
      <c r="H30" s="2429"/>
      <c r="I30" s="656"/>
      <c r="J30" s="632"/>
      <c r="K30" s="632"/>
      <c r="L30" s="632"/>
      <c r="M30" s="632"/>
      <c r="N30" s="656"/>
      <c r="O30" s="632"/>
      <c r="P30" s="632"/>
      <c r="Q30" s="632"/>
      <c r="R30" s="632"/>
      <c r="S30" s="656"/>
      <c r="T30" s="632"/>
      <c r="U30" s="632"/>
      <c r="V30" s="632"/>
      <c r="W30" s="654"/>
    </row>
    <row r="31" spans="1:23" ht="15.75">
      <c r="A31" s="2427"/>
      <c r="B31" s="2432"/>
      <c r="C31" s="365" t="s">
        <v>156</v>
      </c>
      <c r="D31" s="364" t="s">
        <v>394</v>
      </c>
      <c r="E31" s="354"/>
      <c r="F31" s="2436"/>
      <c r="G31" s="2436"/>
      <c r="H31" s="2435"/>
      <c r="I31" s="656"/>
      <c r="J31" s="632"/>
      <c r="K31" s="632"/>
      <c r="L31" s="632"/>
      <c r="M31" s="632"/>
      <c r="N31" s="656"/>
      <c r="O31" s="632"/>
      <c r="P31" s="632"/>
      <c r="Q31" s="632"/>
      <c r="R31" s="632"/>
      <c r="S31" s="656"/>
      <c r="T31" s="632"/>
      <c r="U31" s="632"/>
      <c r="V31" s="632"/>
      <c r="W31" s="654"/>
    </row>
    <row r="32" spans="1:23" ht="16.5" thickBot="1">
      <c r="A32" s="2421"/>
      <c r="B32" s="2422"/>
      <c r="C32" s="366" t="s">
        <v>399</v>
      </c>
      <c r="D32" s="364" t="s">
        <v>395</v>
      </c>
      <c r="E32" s="354"/>
      <c r="F32" s="2428"/>
      <c r="G32" s="2428"/>
      <c r="H32" s="2430"/>
      <c r="I32" s="656"/>
      <c r="J32" s="632"/>
      <c r="K32" s="632"/>
      <c r="L32" s="632"/>
      <c r="M32" s="632"/>
      <c r="N32" s="656"/>
      <c r="O32" s="632"/>
      <c r="P32" s="632"/>
      <c r="Q32" s="632"/>
      <c r="R32" s="632"/>
      <c r="S32" s="656"/>
      <c r="T32" s="632"/>
      <c r="U32" s="632"/>
      <c r="V32" s="632"/>
      <c r="W32" s="654"/>
    </row>
    <row r="33" spans="1:23" ht="16.5" thickBot="1">
      <c r="A33" s="1797" t="s">
        <v>482</v>
      </c>
      <c r="B33" s="2420"/>
      <c r="C33" s="367" t="s">
        <v>365</v>
      </c>
      <c r="D33" s="364" t="s">
        <v>252</v>
      </c>
      <c r="E33" s="354"/>
      <c r="F33" s="1791" t="s">
        <v>483</v>
      </c>
      <c r="G33" s="2423"/>
      <c r="H33" s="2429"/>
      <c r="I33" s="656"/>
      <c r="J33" s="632"/>
      <c r="K33" s="632"/>
      <c r="L33" s="632"/>
      <c r="M33" s="632"/>
      <c r="N33" s="656"/>
      <c r="O33" s="632"/>
      <c r="P33" s="632"/>
      <c r="Q33" s="632"/>
      <c r="R33" s="632"/>
      <c r="S33" s="656"/>
      <c r="T33" s="632"/>
      <c r="U33" s="632"/>
      <c r="V33" s="632"/>
      <c r="W33" s="654"/>
    </row>
    <row r="34" spans="1:23" ht="16.5" thickBot="1">
      <c r="A34" s="1797" t="s">
        <v>484</v>
      </c>
      <c r="B34" s="2420"/>
      <c r="C34" s="367" t="s">
        <v>485</v>
      </c>
      <c r="D34" s="364" t="s">
        <v>264</v>
      </c>
      <c r="E34" s="354"/>
      <c r="F34" s="1800"/>
      <c r="G34" s="2423"/>
      <c r="H34" s="2429"/>
      <c r="I34" s="656"/>
      <c r="J34" s="632"/>
      <c r="K34" s="632"/>
      <c r="L34" s="632"/>
      <c r="M34" s="632"/>
      <c r="N34" s="656"/>
      <c r="O34" s="632"/>
      <c r="P34" s="632"/>
      <c r="Q34" s="632"/>
      <c r="R34" s="632"/>
      <c r="S34" s="656"/>
      <c r="T34" s="632"/>
      <c r="U34" s="632"/>
      <c r="V34" s="632"/>
      <c r="W34" s="654"/>
    </row>
    <row r="35" spans="1:23" ht="15.75">
      <c r="A35" s="1795" t="s">
        <v>486</v>
      </c>
      <c r="B35" s="2420"/>
      <c r="C35" s="368" t="s">
        <v>43</v>
      </c>
      <c r="D35" s="369" t="s">
        <v>256</v>
      </c>
      <c r="E35" s="138" t="s">
        <v>277</v>
      </c>
      <c r="F35" s="1828" t="s">
        <v>900</v>
      </c>
      <c r="G35" s="2423"/>
      <c r="H35" s="2429"/>
      <c r="I35" s="656" t="s">
        <v>277</v>
      </c>
      <c r="J35" s="632">
        <v>1</v>
      </c>
      <c r="K35" s="632"/>
      <c r="L35" s="632">
        <v>150</v>
      </c>
      <c r="M35" s="632">
        <v>78000</v>
      </c>
      <c r="N35" s="656" t="s">
        <v>277</v>
      </c>
      <c r="O35" s="632">
        <v>1</v>
      </c>
      <c r="P35" s="632"/>
      <c r="Q35" s="632">
        <v>150</v>
      </c>
      <c r="R35" s="632">
        <v>78000</v>
      </c>
      <c r="S35" s="656" t="s">
        <v>277</v>
      </c>
      <c r="T35" s="632">
        <v>1</v>
      </c>
      <c r="U35" s="632"/>
      <c r="V35" s="632">
        <v>150</v>
      </c>
      <c r="W35" s="632">
        <v>78000</v>
      </c>
    </row>
    <row r="36" spans="1:23" ht="16.5" thickBot="1">
      <c r="A36" s="2421"/>
      <c r="B36" s="2422"/>
      <c r="C36" s="370" t="s">
        <v>60</v>
      </c>
      <c r="D36" s="369" t="s">
        <v>257</v>
      </c>
      <c r="E36" s="354" t="s">
        <v>277</v>
      </c>
      <c r="F36" s="2428"/>
      <c r="G36" s="2428"/>
      <c r="H36" s="2430"/>
      <c r="I36" s="656" t="s">
        <v>277</v>
      </c>
      <c r="J36" s="632">
        <v>1</v>
      </c>
      <c r="K36" s="632"/>
      <c r="L36" s="632">
        <v>150</v>
      </c>
      <c r="M36" s="632">
        <v>118500</v>
      </c>
      <c r="N36" s="656" t="s">
        <v>277</v>
      </c>
      <c r="O36" s="632">
        <v>1</v>
      </c>
      <c r="P36" s="632"/>
      <c r="Q36" s="632">
        <v>150</v>
      </c>
      <c r="R36" s="632">
        <v>118500</v>
      </c>
      <c r="S36" s="656" t="s">
        <v>277</v>
      </c>
      <c r="T36" s="632">
        <v>1</v>
      </c>
      <c r="U36" s="632"/>
      <c r="V36" s="632">
        <v>150</v>
      </c>
      <c r="W36" s="632">
        <v>118500</v>
      </c>
    </row>
    <row r="37" spans="1:23" ht="30">
      <c r="A37" s="1796" t="s">
        <v>33</v>
      </c>
      <c r="B37" s="2423"/>
      <c r="C37" s="371" t="s">
        <v>30</v>
      </c>
      <c r="D37" s="372" t="s">
        <v>170</v>
      </c>
      <c r="E37" s="354" t="s">
        <v>277</v>
      </c>
      <c r="F37" s="1820" t="s">
        <v>488</v>
      </c>
      <c r="G37" s="2423"/>
      <c r="H37" s="2429"/>
      <c r="I37" s="656" t="s">
        <v>277</v>
      </c>
      <c r="J37" s="632">
        <v>1</v>
      </c>
      <c r="K37" s="632"/>
      <c r="L37" s="632">
        <v>100</v>
      </c>
      <c r="M37" s="632">
        <v>60500</v>
      </c>
      <c r="N37" s="656" t="s">
        <v>277</v>
      </c>
      <c r="O37" s="632">
        <v>1</v>
      </c>
      <c r="P37" s="632"/>
      <c r="Q37" s="632">
        <v>100</v>
      </c>
      <c r="R37" s="632">
        <v>60500</v>
      </c>
      <c r="S37" s="656" t="s">
        <v>277</v>
      </c>
      <c r="T37" s="632">
        <v>1</v>
      </c>
      <c r="U37" s="632"/>
      <c r="V37" s="632">
        <v>100</v>
      </c>
      <c r="W37" s="632">
        <v>60500</v>
      </c>
    </row>
    <row r="38" spans="1:23" ht="30">
      <c r="A38" s="2427"/>
      <c r="B38" s="2424"/>
      <c r="C38" s="373" t="s">
        <v>31</v>
      </c>
      <c r="D38" s="372" t="s">
        <v>169</v>
      </c>
      <c r="E38" s="326" t="s">
        <v>277</v>
      </c>
      <c r="F38" s="2381" t="s">
        <v>901</v>
      </c>
      <c r="G38" s="2381"/>
      <c r="H38" s="2381"/>
      <c r="I38" s="656" t="s">
        <v>277</v>
      </c>
      <c r="J38" s="632">
        <v>1</v>
      </c>
      <c r="K38" s="632"/>
      <c r="L38" s="632">
        <v>100</v>
      </c>
      <c r="M38" s="632">
        <v>88500</v>
      </c>
      <c r="N38" s="656" t="s">
        <v>277</v>
      </c>
      <c r="O38" s="632">
        <v>1</v>
      </c>
      <c r="P38" s="632"/>
      <c r="Q38" s="632">
        <v>100</v>
      </c>
      <c r="R38" s="632">
        <v>88500</v>
      </c>
      <c r="S38" s="656" t="s">
        <v>277</v>
      </c>
      <c r="T38" s="632">
        <v>1</v>
      </c>
      <c r="U38" s="632"/>
      <c r="V38" s="632">
        <v>100</v>
      </c>
      <c r="W38" s="632">
        <v>88500</v>
      </c>
    </row>
    <row r="39" spans="1:23" ht="30.75" thickBot="1">
      <c r="A39" s="2427"/>
      <c r="B39" s="2424"/>
      <c r="C39" s="374" t="s">
        <v>32</v>
      </c>
      <c r="D39" s="372" t="s">
        <v>250</v>
      </c>
      <c r="E39" s="326" t="s">
        <v>277</v>
      </c>
      <c r="F39" s="2381" t="s">
        <v>902</v>
      </c>
      <c r="G39" s="2381"/>
      <c r="H39" s="2381"/>
      <c r="I39" s="656" t="s">
        <v>277</v>
      </c>
      <c r="J39" s="632">
        <v>1</v>
      </c>
      <c r="K39" s="632"/>
      <c r="L39" s="632">
        <v>90</v>
      </c>
      <c r="M39" s="632">
        <v>104850</v>
      </c>
      <c r="N39" s="656" t="s">
        <v>277</v>
      </c>
      <c r="O39" s="632">
        <v>1</v>
      </c>
      <c r="P39" s="632"/>
      <c r="Q39" s="632">
        <v>90</v>
      </c>
      <c r="R39" s="632">
        <v>104850</v>
      </c>
      <c r="S39" s="656" t="s">
        <v>277</v>
      </c>
      <c r="T39" s="632">
        <v>1</v>
      </c>
      <c r="U39" s="632"/>
      <c r="V39" s="632">
        <v>90</v>
      </c>
      <c r="W39" s="632">
        <v>104850</v>
      </c>
    </row>
    <row r="40" spans="1:23" ht="15.75">
      <c r="A40" s="1786" t="s">
        <v>491</v>
      </c>
      <c r="B40" s="2431"/>
      <c r="C40" s="375" t="s">
        <v>144</v>
      </c>
      <c r="D40" s="376" t="s">
        <v>253</v>
      </c>
      <c r="E40" s="354"/>
      <c r="F40" s="1871" t="s">
        <v>492</v>
      </c>
      <c r="G40" s="2424"/>
      <c r="H40" s="2435"/>
      <c r="I40" s="656"/>
      <c r="J40" s="632"/>
      <c r="K40" s="632"/>
      <c r="L40" s="632"/>
      <c r="M40" s="632"/>
      <c r="N40" s="656"/>
      <c r="O40" s="632"/>
      <c r="P40" s="632"/>
      <c r="Q40" s="632"/>
      <c r="R40" s="632"/>
      <c r="S40" s="656"/>
      <c r="T40" s="632"/>
      <c r="U40" s="632"/>
      <c r="V40" s="632"/>
      <c r="W40" s="654"/>
    </row>
    <row r="41" spans="1:23" ht="16.5" thickBot="1">
      <c r="A41" s="2424"/>
      <c r="B41" s="2432"/>
      <c r="C41" s="377" t="s">
        <v>145</v>
      </c>
      <c r="D41" s="376" t="s">
        <v>254</v>
      </c>
      <c r="E41" s="354"/>
      <c r="F41" s="2428"/>
      <c r="G41" s="2428"/>
      <c r="H41" s="2430"/>
      <c r="I41" s="656"/>
      <c r="J41" s="632"/>
      <c r="K41" s="632"/>
      <c r="L41" s="632"/>
      <c r="M41" s="632"/>
      <c r="N41" s="656"/>
      <c r="O41" s="632"/>
      <c r="P41" s="632"/>
      <c r="Q41" s="632"/>
      <c r="R41" s="632"/>
      <c r="S41" s="656"/>
      <c r="T41" s="632"/>
      <c r="U41" s="632"/>
      <c r="V41" s="632"/>
      <c r="W41" s="654"/>
    </row>
    <row r="42" spans="1:23" ht="32.25" thickBot="1">
      <c r="A42" s="2433"/>
      <c r="B42" s="2434"/>
      <c r="C42" s="378" t="s">
        <v>128</v>
      </c>
      <c r="D42" s="376" t="s">
        <v>262</v>
      </c>
      <c r="E42" s="138"/>
      <c r="F42" s="1794"/>
      <c r="G42" s="2418"/>
      <c r="H42" s="2419"/>
      <c r="I42" s="656"/>
      <c r="J42" s="632"/>
      <c r="K42" s="632"/>
      <c r="L42" s="632"/>
      <c r="M42" s="632"/>
      <c r="N42" s="656"/>
      <c r="O42" s="632"/>
      <c r="P42" s="632"/>
      <c r="Q42" s="632"/>
      <c r="R42" s="632"/>
      <c r="S42" s="656"/>
      <c r="T42" s="632"/>
      <c r="U42" s="632"/>
      <c r="V42" s="632"/>
      <c r="W42" s="632"/>
    </row>
    <row r="43" spans="1:23" ht="15.75" thickBot="1">
      <c r="A43" s="1775" t="s">
        <v>493</v>
      </c>
      <c r="B43" s="2425"/>
      <c r="C43" s="2426"/>
      <c r="D43" s="379" t="s">
        <v>237</v>
      </c>
      <c r="E43" s="138"/>
      <c r="F43" s="1818" t="s">
        <v>903</v>
      </c>
      <c r="G43" s="2418"/>
      <c r="H43" s="2419"/>
      <c r="I43" s="656"/>
      <c r="J43" s="632"/>
      <c r="K43" s="632"/>
      <c r="L43" s="632"/>
      <c r="M43" s="632"/>
      <c r="N43" s="656"/>
      <c r="O43" s="632"/>
      <c r="P43" s="632"/>
      <c r="Q43" s="632"/>
      <c r="R43" s="632"/>
      <c r="S43" s="656"/>
      <c r="T43" s="632"/>
      <c r="U43" s="632"/>
      <c r="V43" s="632"/>
      <c r="W43" s="632"/>
    </row>
    <row r="44" spans="1:23" ht="15.75" thickBot="1">
      <c r="A44" s="1775" t="s">
        <v>133</v>
      </c>
      <c r="B44" s="2425"/>
      <c r="C44" s="2426"/>
      <c r="D44" s="379" t="s">
        <v>238</v>
      </c>
      <c r="E44" s="354" t="s">
        <v>277</v>
      </c>
      <c r="F44" s="1763" t="s">
        <v>911</v>
      </c>
      <c r="G44" s="2418"/>
      <c r="H44" s="2419"/>
      <c r="I44" s="656" t="s">
        <v>277</v>
      </c>
      <c r="J44" s="632">
        <v>1</v>
      </c>
      <c r="K44" s="632"/>
      <c r="L44" s="632">
        <v>5</v>
      </c>
      <c r="M44" s="632">
        <v>8950</v>
      </c>
      <c r="N44" s="656" t="s">
        <v>277</v>
      </c>
      <c r="O44" s="632">
        <v>1</v>
      </c>
      <c r="P44" s="632"/>
      <c r="Q44" s="632">
        <v>5</v>
      </c>
      <c r="R44" s="632">
        <v>8950</v>
      </c>
      <c r="S44" s="656" t="s">
        <v>277</v>
      </c>
      <c r="T44" s="632">
        <v>1</v>
      </c>
      <c r="U44" s="632"/>
      <c r="V44" s="632">
        <v>5</v>
      </c>
      <c r="W44" s="632">
        <v>8950</v>
      </c>
    </row>
    <row r="45" spans="1:23">
      <c r="A45" s="1778" t="s">
        <v>41</v>
      </c>
      <c r="B45" s="2424"/>
      <c r="C45" s="380" t="s">
        <v>50</v>
      </c>
      <c r="D45" s="381" t="s">
        <v>246</v>
      </c>
      <c r="E45" s="138"/>
      <c r="F45" s="1785" t="s">
        <v>912</v>
      </c>
      <c r="G45" s="2418"/>
      <c r="H45" s="2419"/>
      <c r="I45" s="656"/>
      <c r="J45" s="632"/>
      <c r="K45" s="632"/>
      <c r="L45" s="632"/>
      <c r="M45" s="632"/>
      <c r="N45" s="656"/>
      <c r="O45" s="632"/>
      <c r="P45" s="632"/>
      <c r="Q45" s="632"/>
      <c r="R45" s="632"/>
      <c r="S45" s="656"/>
      <c r="T45" s="632"/>
      <c r="U45" s="632"/>
      <c r="V45" s="632"/>
      <c r="W45" s="632"/>
    </row>
    <row r="46" spans="1:23">
      <c r="A46" s="2427"/>
      <c r="B46" s="2424"/>
      <c r="C46" s="382" t="s">
        <v>51</v>
      </c>
      <c r="D46" s="381" t="s">
        <v>247</v>
      </c>
      <c r="E46" s="138"/>
      <c r="F46" s="1785" t="s">
        <v>496</v>
      </c>
      <c r="G46" s="2418"/>
      <c r="H46" s="2419"/>
      <c r="I46" s="656"/>
      <c r="J46" s="632"/>
      <c r="K46" s="632"/>
      <c r="L46" s="632"/>
      <c r="M46" s="632"/>
      <c r="N46" s="656"/>
      <c r="O46" s="632"/>
      <c r="P46" s="632"/>
      <c r="Q46" s="632"/>
      <c r="R46" s="632"/>
      <c r="S46" s="656"/>
      <c r="T46" s="632"/>
      <c r="U46" s="632"/>
      <c r="V46" s="632"/>
      <c r="W46" s="632"/>
    </row>
    <row r="47" spans="1:23">
      <c r="A47" s="2427"/>
      <c r="B47" s="2424"/>
      <c r="C47" s="382" t="s">
        <v>39</v>
      </c>
      <c r="D47" s="381" t="s">
        <v>248</v>
      </c>
      <c r="E47" s="138"/>
      <c r="F47" s="1785" t="s">
        <v>904</v>
      </c>
      <c r="G47" s="2418"/>
      <c r="H47" s="2419"/>
      <c r="I47" s="656"/>
      <c r="J47" s="632"/>
      <c r="K47" s="632"/>
      <c r="L47" s="632"/>
      <c r="M47" s="632"/>
      <c r="N47" s="656"/>
      <c r="O47" s="632"/>
      <c r="P47" s="632"/>
      <c r="Q47" s="632"/>
      <c r="R47" s="632"/>
      <c r="S47" s="656"/>
      <c r="T47" s="632"/>
      <c r="U47" s="632"/>
      <c r="V47" s="632"/>
      <c r="W47" s="632"/>
    </row>
    <row r="48" spans="1:23" ht="15.75" thickBot="1">
      <c r="A48" s="2421"/>
      <c r="B48" s="2428"/>
      <c r="C48" s="383" t="s">
        <v>40</v>
      </c>
      <c r="D48" s="381" t="s">
        <v>249</v>
      </c>
      <c r="E48" s="354"/>
      <c r="F48" s="1781" t="s">
        <v>498</v>
      </c>
      <c r="G48" s="2418"/>
      <c r="H48" s="2419"/>
      <c r="I48" s="656"/>
      <c r="J48" s="632"/>
      <c r="K48" s="632"/>
      <c r="L48" s="632"/>
      <c r="M48" s="632"/>
      <c r="N48" s="656"/>
      <c r="O48" s="632"/>
      <c r="P48" s="632"/>
      <c r="Q48" s="632"/>
      <c r="R48" s="632"/>
      <c r="S48" s="656"/>
      <c r="T48" s="632"/>
      <c r="U48" s="632"/>
      <c r="V48" s="632"/>
      <c r="W48" s="654"/>
    </row>
    <row r="49" spans="1:23" ht="15.75">
      <c r="A49" s="1765" t="s">
        <v>130</v>
      </c>
      <c r="B49" s="2420"/>
      <c r="C49" s="375" t="s">
        <v>131</v>
      </c>
      <c r="D49" s="376" t="s">
        <v>255</v>
      </c>
      <c r="E49" s="354"/>
      <c r="F49" s="1769"/>
      <c r="G49" s="2418"/>
      <c r="H49" s="2419"/>
      <c r="I49" s="656"/>
      <c r="J49" s="632"/>
      <c r="K49" s="632"/>
      <c r="L49" s="632"/>
      <c r="M49" s="632"/>
      <c r="N49" s="656"/>
      <c r="O49" s="632"/>
      <c r="P49" s="632"/>
      <c r="Q49" s="632"/>
      <c r="R49" s="632"/>
      <c r="S49" s="656"/>
      <c r="T49" s="632"/>
      <c r="U49" s="632"/>
      <c r="V49" s="632"/>
      <c r="W49" s="654"/>
    </row>
    <row r="50" spans="1:23" ht="32.25" thickBot="1">
      <c r="A50" s="2421"/>
      <c r="B50" s="2422"/>
      <c r="C50" s="384" t="s">
        <v>132</v>
      </c>
      <c r="D50" s="376" t="s">
        <v>263</v>
      </c>
      <c r="E50" s="354"/>
      <c r="F50" s="1769"/>
      <c r="G50" s="2418"/>
      <c r="H50" s="2419"/>
      <c r="I50" s="656"/>
      <c r="J50" s="632"/>
      <c r="K50" s="632"/>
      <c r="L50" s="632"/>
      <c r="M50" s="632"/>
      <c r="N50" s="656"/>
      <c r="O50" s="632"/>
      <c r="P50" s="632"/>
      <c r="Q50" s="632"/>
      <c r="R50" s="632"/>
      <c r="S50" s="656"/>
      <c r="T50" s="632"/>
      <c r="U50" s="632"/>
      <c r="V50" s="632"/>
      <c r="W50" s="654"/>
    </row>
    <row r="51" spans="1:23">
      <c r="A51" s="1770" t="s">
        <v>42</v>
      </c>
      <c r="B51" s="2423"/>
      <c r="C51" s="385" t="s">
        <v>38</v>
      </c>
      <c r="D51" s="386" t="s">
        <v>239</v>
      </c>
      <c r="E51" s="138" t="s">
        <v>277</v>
      </c>
      <c r="F51" s="1818" t="s">
        <v>905</v>
      </c>
      <c r="G51" s="2418"/>
      <c r="H51" s="2419"/>
      <c r="I51" s="656" t="s">
        <v>277</v>
      </c>
      <c r="J51" s="632">
        <v>2</v>
      </c>
      <c r="K51" s="632"/>
      <c r="L51" s="632">
        <v>2000</v>
      </c>
      <c r="M51" s="632">
        <v>8000</v>
      </c>
      <c r="N51" s="656" t="s">
        <v>277</v>
      </c>
      <c r="O51" s="632">
        <v>2</v>
      </c>
      <c r="P51" s="632"/>
      <c r="Q51" s="632">
        <v>2000</v>
      </c>
      <c r="R51" s="632">
        <v>8000</v>
      </c>
      <c r="S51" s="656" t="s">
        <v>277</v>
      </c>
      <c r="T51" s="632">
        <v>2</v>
      </c>
      <c r="U51" s="632"/>
      <c r="V51" s="632">
        <v>2000</v>
      </c>
      <c r="W51" s="632">
        <v>8000</v>
      </c>
    </row>
    <row r="52" spans="1:23">
      <c r="A52" s="2424"/>
      <c r="B52" s="2424"/>
      <c r="C52" s="387" t="s">
        <v>55</v>
      </c>
      <c r="D52" s="386" t="s">
        <v>240</v>
      </c>
      <c r="E52" s="138" t="s">
        <v>277</v>
      </c>
      <c r="F52" s="1773"/>
      <c r="G52" s="2418"/>
      <c r="H52" s="2419"/>
      <c r="I52" s="656" t="s">
        <v>277</v>
      </c>
      <c r="J52" s="632">
        <v>1</v>
      </c>
      <c r="K52" s="632"/>
      <c r="L52" s="632">
        <v>10</v>
      </c>
      <c r="M52" s="632">
        <v>3100</v>
      </c>
      <c r="N52" s="656" t="s">
        <v>277</v>
      </c>
      <c r="O52" s="632">
        <v>1</v>
      </c>
      <c r="P52" s="632"/>
      <c r="Q52" s="632">
        <v>10</v>
      </c>
      <c r="R52" s="632">
        <v>3100</v>
      </c>
      <c r="S52" s="656" t="s">
        <v>277</v>
      </c>
      <c r="T52" s="632">
        <v>1</v>
      </c>
      <c r="U52" s="632"/>
      <c r="V52" s="632">
        <v>10</v>
      </c>
      <c r="W52" s="632">
        <v>3100</v>
      </c>
    </row>
    <row r="53" spans="1:23" ht="16.5" thickBot="1">
      <c r="A53" s="2424"/>
      <c r="B53" s="2424"/>
      <c r="C53" s="377" t="s">
        <v>48</v>
      </c>
      <c r="D53" s="388" t="s">
        <v>241</v>
      </c>
      <c r="E53" s="354"/>
      <c r="F53" s="1774"/>
      <c r="G53" s="2418"/>
      <c r="H53" s="2419"/>
      <c r="I53" s="656"/>
      <c r="J53" s="632"/>
      <c r="K53" s="632"/>
      <c r="L53" s="632"/>
      <c r="M53" s="632"/>
      <c r="N53" s="656"/>
      <c r="O53" s="632"/>
      <c r="P53" s="632"/>
      <c r="Q53" s="632"/>
      <c r="R53" s="632"/>
      <c r="S53" s="656"/>
      <c r="T53" s="632"/>
      <c r="U53" s="632"/>
      <c r="V53" s="632"/>
      <c r="W53" s="654"/>
    </row>
    <row r="54" spans="1:23" ht="16.5" thickBot="1">
      <c r="A54" s="1761" t="s">
        <v>500</v>
      </c>
      <c r="B54" s="2418"/>
      <c r="C54" s="389" t="s">
        <v>134</v>
      </c>
      <c r="D54" s="390" t="s">
        <v>269</v>
      </c>
      <c r="E54" s="391"/>
      <c r="F54" s="1763" t="s">
        <v>501</v>
      </c>
      <c r="G54" s="2418"/>
      <c r="H54" s="2419"/>
      <c r="I54" s="659"/>
      <c r="J54" s="658"/>
      <c r="K54" s="658"/>
      <c r="L54" s="658"/>
      <c r="M54" s="658"/>
      <c r="N54" s="659"/>
      <c r="O54" s="658"/>
      <c r="P54" s="658"/>
      <c r="Q54" s="658"/>
      <c r="R54" s="658"/>
      <c r="S54" s="659"/>
      <c r="T54" s="658"/>
      <c r="U54" s="658"/>
      <c r="V54" s="658"/>
      <c r="W54" s="660"/>
    </row>
    <row r="56" spans="1:23">
      <c r="M56">
        <f>SUM(M35:M53)</f>
        <v>470400</v>
      </c>
    </row>
    <row r="58" spans="1:23" ht="60">
      <c r="A58" s="661" t="s">
        <v>948</v>
      </c>
      <c r="B58" s="661" t="s">
        <v>949</v>
      </c>
      <c r="C58" s="661" t="s">
        <v>950</v>
      </c>
      <c r="D58" s="661" t="s">
        <v>951</v>
      </c>
      <c r="E58" s="661" t="s">
        <v>952</v>
      </c>
    </row>
    <row r="59" spans="1:23">
      <c r="A59" s="631" t="s">
        <v>953</v>
      </c>
      <c r="B59" s="632" t="s">
        <v>954</v>
      </c>
      <c r="C59" s="632"/>
      <c r="D59" s="2187" t="s">
        <v>1086</v>
      </c>
      <c r="E59" s="633" t="s">
        <v>1007</v>
      </c>
    </row>
    <row r="60" spans="1:23">
      <c r="A60" s="631" t="s">
        <v>956</v>
      </c>
      <c r="B60" s="632" t="s">
        <v>954</v>
      </c>
      <c r="C60" s="632"/>
      <c r="D60" s="2475"/>
      <c r="E60" s="633" t="s">
        <v>1087</v>
      </c>
    </row>
    <row r="61" spans="1:23">
      <c r="A61" s="631" t="s">
        <v>957</v>
      </c>
      <c r="B61" s="632" t="s">
        <v>954</v>
      </c>
      <c r="C61" s="632"/>
      <c r="D61" s="2475"/>
      <c r="E61" s="633" t="s">
        <v>1079</v>
      </c>
    </row>
    <row r="62" spans="1:23">
      <c r="A62" s="631" t="s">
        <v>959</v>
      </c>
      <c r="B62" s="632" t="s">
        <v>954</v>
      </c>
      <c r="C62" s="632"/>
      <c r="D62" s="2475"/>
      <c r="E62" s="633" t="s">
        <v>1011</v>
      </c>
    </row>
    <row r="63" spans="1:23">
      <c r="A63" s="631" t="s">
        <v>961</v>
      </c>
      <c r="B63" s="632" t="s">
        <v>954</v>
      </c>
      <c r="C63" s="632"/>
      <c r="D63" s="2475"/>
      <c r="E63" s="633" t="s">
        <v>1088</v>
      </c>
    </row>
    <row r="64" spans="1:23">
      <c r="A64" s="631" t="s">
        <v>963</v>
      </c>
      <c r="B64" s="632" t="s">
        <v>954</v>
      </c>
      <c r="C64" s="632"/>
      <c r="D64" s="2475"/>
      <c r="E64" s="633" t="s">
        <v>1088</v>
      </c>
    </row>
    <row r="65" spans="1:6">
      <c r="A65" s="631" t="s">
        <v>965</v>
      </c>
      <c r="B65" s="632" t="s">
        <v>954</v>
      </c>
      <c r="C65" s="632"/>
      <c r="D65" s="2475"/>
      <c r="E65" s="633" t="s">
        <v>1014</v>
      </c>
    </row>
    <row r="66" spans="1:6">
      <c r="A66" s="631" t="s">
        <v>967</v>
      </c>
      <c r="B66" s="632" t="s">
        <v>954</v>
      </c>
      <c r="C66" s="632"/>
      <c r="D66" s="2475"/>
      <c r="E66" s="633" t="s">
        <v>1089</v>
      </c>
    </row>
    <row r="67" spans="1:6">
      <c r="A67" s="631" t="s">
        <v>969</v>
      </c>
      <c r="B67" s="632" t="s">
        <v>954</v>
      </c>
      <c r="C67" s="632"/>
      <c r="D67" s="2475"/>
      <c r="E67" s="633" t="s">
        <v>1011</v>
      </c>
    </row>
    <row r="68" spans="1:6">
      <c r="A68" s="631" t="s">
        <v>971</v>
      </c>
      <c r="B68" s="632" t="s">
        <v>954</v>
      </c>
      <c r="C68" s="632"/>
      <c r="D68" s="2115"/>
      <c r="E68" s="633" t="s">
        <v>1011</v>
      </c>
    </row>
    <row r="71" spans="1:6">
      <c r="A71" s="1829" t="s">
        <v>1270</v>
      </c>
      <c r="B71" s="2437"/>
      <c r="C71" s="2437"/>
      <c r="D71" s="2437"/>
      <c r="E71" s="2437"/>
      <c r="F71" s="2437"/>
    </row>
    <row r="72" spans="1:6" ht="105">
      <c r="A72" s="1419" t="s">
        <v>1271</v>
      </c>
      <c r="B72" s="1419" t="s">
        <v>1272</v>
      </c>
      <c r="C72" s="1419" t="s">
        <v>1273</v>
      </c>
      <c r="D72" s="1419" t="s">
        <v>1274</v>
      </c>
      <c r="E72" s="1419" t="s">
        <v>1275</v>
      </c>
      <c r="F72" s="1419" t="s">
        <v>1276</v>
      </c>
    </row>
    <row r="73" spans="1:6" ht="150">
      <c r="A73" s="1420" t="s">
        <v>1293</v>
      </c>
      <c r="B73" s="1422" t="s">
        <v>1294</v>
      </c>
      <c r="C73" s="1418">
        <v>7</v>
      </c>
      <c r="D73" s="1421" t="s">
        <v>1084</v>
      </c>
      <c r="E73" s="1421" t="s">
        <v>1295</v>
      </c>
      <c r="F73" s="1418">
        <v>10</v>
      </c>
    </row>
    <row r="74" spans="1:6" ht="75">
      <c r="A74" s="1420" t="s">
        <v>1296</v>
      </c>
      <c r="B74" s="1422" t="s">
        <v>1294</v>
      </c>
      <c r="C74" s="1418">
        <v>7</v>
      </c>
      <c r="D74" s="1421" t="s">
        <v>1297</v>
      </c>
      <c r="E74" s="1421" t="s">
        <v>1295</v>
      </c>
      <c r="F74" s="1418">
        <v>10</v>
      </c>
    </row>
    <row r="75" spans="1:6" ht="135">
      <c r="A75" s="1420" t="s">
        <v>1298</v>
      </c>
      <c r="B75" s="1422" t="s">
        <v>1294</v>
      </c>
      <c r="C75" s="1418">
        <v>7</v>
      </c>
      <c r="D75" s="1421" t="s">
        <v>1297</v>
      </c>
      <c r="E75" s="1421" t="s">
        <v>1299</v>
      </c>
      <c r="F75" s="1418">
        <v>10</v>
      </c>
    </row>
    <row r="76" spans="1:6" ht="120">
      <c r="A76" s="1420" t="s">
        <v>1300</v>
      </c>
      <c r="B76" s="1422" t="s">
        <v>1294</v>
      </c>
      <c r="C76" s="1418">
        <v>7</v>
      </c>
      <c r="D76" s="1421" t="s">
        <v>1297</v>
      </c>
      <c r="E76" s="1421" t="s">
        <v>1301</v>
      </c>
      <c r="F76" s="1418">
        <v>10</v>
      </c>
    </row>
    <row r="77" spans="1:6" ht="120">
      <c r="A77" s="1420" t="s">
        <v>1302</v>
      </c>
      <c r="B77" s="1422" t="s">
        <v>1294</v>
      </c>
      <c r="C77" s="1418">
        <v>7</v>
      </c>
      <c r="D77" s="1421" t="s">
        <v>1297</v>
      </c>
      <c r="E77" s="1421" t="s">
        <v>1301</v>
      </c>
      <c r="F77" s="1418">
        <v>10</v>
      </c>
    </row>
  </sheetData>
  <mergeCells count="60">
    <mergeCell ref="A71:F71"/>
    <mergeCell ref="D59:D68"/>
    <mergeCell ref="I13:M13"/>
    <mergeCell ref="N13:R13"/>
    <mergeCell ref="S13:W13"/>
    <mergeCell ref="A51:B53"/>
    <mergeCell ref="F51:H51"/>
    <mergeCell ref="F52:H52"/>
    <mergeCell ref="F53:H53"/>
    <mergeCell ref="A54:B54"/>
    <mergeCell ref="F54:H54"/>
    <mergeCell ref="A49:B50"/>
    <mergeCell ref="F49:H49"/>
    <mergeCell ref="F50:H50"/>
    <mergeCell ref="A40:B42"/>
    <mergeCell ref="F40:H41"/>
    <mergeCell ref="F42:H42"/>
    <mergeCell ref="A43:C43"/>
    <mergeCell ref="F43:H43"/>
    <mergeCell ref="A44:C44"/>
    <mergeCell ref="F44:H44"/>
    <mergeCell ref="A45:B48"/>
    <mergeCell ref="F45:H45"/>
    <mergeCell ref="F46:H46"/>
    <mergeCell ref="F47:H47"/>
    <mergeCell ref="F48:H48"/>
    <mergeCell ref="A34:B34"/>
    <mergeCell ref="F34:H34"/>
    <mergeCell ref="A35:B36"/>
    <mergeCell ref="F35:H36"/>
    <mergeCell ref="A37:B39"/>
    <mergeCell ref="F37:H37"/>
    <mergeCell ref="F38:H38"/>
    <mergeCell ref="F39:H39"/>
    <mergeCell ref="A27:B29"/>
    <mergeCell ref="F27:H29"/>
    <mergeCell ref="A30:B32"/>
    <mergeCell ref="F30:H32"/>
    <mergeCell ref="A33:B33"/>
    <mergeCell ref="F33:H33"/>
    <mergeCell ref="A21:B22"/>
    <mergeCell ref="F21:H22"/>
    <mergeCell ref="A23:B25"/>
    <mergeCell ref="F23:H25"/>
    <mergeCell ref="A26:C26"/>
    <mergeCell ref="F26:H26"/>
    <mergeCell ref="A18:B20"/>
    <mergeCell ref="F18:H20"/>
    <mergeCell ref="B2:D2"/>
    <mergeCell ref="B3:D3"/>
    <mergeCell ref="B4:D4"/>
    <mergeCell ref="B6:D6"/>
    <mergeCell ref="B8:D8"/>
    <mergeCell ref="A10:B10"/>
    <mergeCell ref="C10:H10"/>
    <mergeCell ref="E12:H13"/>
    <mergeCell ref="A14:B14"/>
    <mergeCell ref="F14:H14"/>
    <mergeCell ref="A15:B17"/>
    <mergeCell ref="F15:H17"/>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2" location="SOMMAIRE!A1" display="Retour sommaire"/>
    <hyperlink ref="J4" location="SYNTHESE!A1" display="Retour synthèse"/>
  </hyperlink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DCFED"/>
  </sheetPr>
  <dimension ref="A1:W71"/>
  <sheetViews>
    <sheetView tabSelected="1" topLeftCell="A37" zoomScale="110" zoomScaleNormal="110" workbookViewId="0">
      <selection activeCell="P46" sqref="P46"/>
    </sheetView>
  </sheetViews>
  <sheetFormatPr baseColWidth="10" defaultRowHeight="15"/>
  <cols>
    <col min="1" max="1" width="20.42578125" style="8" bestFit="1" customWidth="1"/>
    <col min="2" max="2" width="15.7109375" style="8" customWidth="1"/>
    <col min="3" max="3" width="40" style="8" customWidth="1"/>
    <col min="4" max="4" width="9.7109375" style="8" customWidth="1"/>
    <col min="5" max="5" width="7.5703125" style="8" customWidth="1"/>
    <col min="6" max="6" width="16.28515625" style="8" bestFit="1" customWidth="1"/>
    <col min="7" max="7" width="22.140625" style="8" customWidth="1"/>
    <col min="8" max="8" width="23.5703125" bestFit="1" customWidth="1"/>
    <col min="9" max="9" width="5.7109375" customWidth="1"/>
  </cols>
  <sheetData>
    <row r="1" spans="1:23" ht="15.75" thickBot="1">
      <c r="A1"/>
      <c r="B1"/>
      <c r="C1"/>
      <c r="D1"/>
      <c r="E1"/>
      <c r="F1"/>
      <c r="G1"/>
    </row>
    <row r="2" spans="1:23" ht="15" customHeight="1" thickBot="1">
      <c r="A2" s="109" t="s">
        <v>0</v>
      </c>
      <c r="B2" s="2029" t="s">
        <v>843</v>
      </c>
      <c r="C2" s="2144"/>
      <c r="D2" s="2145"/>
      <c r="E2" s="110"/>
      <c r="F2" s="110"/>
      <c r="G2" s="111" t="s">
        <v>462</v>
      </c>
      <c r="H2" s="499" t="s">
        <v>14</v>
      </c>
      <c r="J2" s="13" t="s">
        <v>73</v>
      </c>
      <c r="K2" s="1251"/>
    </row>
    <row r="3" spans="1:23" ht="15.75" customHeight="1" thickBot="1">
      <c r="A3" s="113" t="s">
        <v>344</v>
      </c>
      <c r="B3" s="2029" t="s">
        <v>844</v>
      </c>
      <c r="C3" s="2175"/>
      <c r="D3" s="2176"/>
      <c r="E3" s="110"/>
      <c r="F3" s="110"/>
      <c r="G3" s="114" t="s">
        <v>10</v>
      </c>
      <c r="H3" s="499" t="s">
        <v>52</v>
      </c>
      <c r="J3" s="13"/>
      <c r="K3" s="1251"/>
    </row>
    <row r="4" spans="1:23" ht="15.75" thickBot="1">
      <c r="A4" s="114" t="s">
        <v>3</v>
      </c>
      <c r="B4" s="1823" t="s">
        <v>165</v>
      </c>
      <c r="C4" s="2144"/>
      <c r="D4" s="2145"/>
      <c r="E4" s="115"/>
      <c r="F4" s="110"/>
      <c r="G4" s="116" t="s">
        <v>26</v>
      </c>
      <c r="H4" s="514">
        <v>9</v>
      </c>
      <c r="J4" s="13" t="s">
        <v>381</v>
      </c>
      <c r="K4" s="1251"/>
    </row>
    <row r="5" spans="1:23" ht="15.75" customHeight="1" thickBot="1">
      <c r="A5" s="110"/>
      <c r="B5" s="110"/>
      <c r="C5" s="110"/>
      <c r="D5" s="110"/>
      <c r="E5" s="110"/>
      <c r="F5" s="110"/>
      <c r="G5" s="110"/>
      <c r="H5" s="110"/>
    </row>
    <row r="6" spans="1:23" ht="90" customHeight="1" thickBot="1">
      <c r="A6" s="109" t="s">
        <v>465</v>
      </c>
      <c r="B6" s="1823" t="s">
        <v>1664</v>
      </c>
      <c r="C6" s="2267"/>
      <c r="D6" s="2268"/>
      <c r="E6" s="110"/>
      <c r="F6" s="110"/>
      <c r="G6" s="118" t="s">
        <v>466</v>
      </c>
      <c r="H6" s="178" t="s">
        <v>1160</v>
      </c>
    </row>
    <row r="7" spans="1:23" ht="15.75" thickBot="1">
      <c r="A7"/>
      <c r="B7" s="110"/>
      <c r="C7" s="110"/>
      <c r="D7" s="110"/>
      <c r="E7" s="110"/>
      <c r="F7" s="110"/>
      <c r="G7" s="120"/>
      <c r="H7" s="110"/>
    </row>
    <row r="8" spans="1:23" ht="30.75" thickBot="1">
      <c r="A8" s="121" t="s">
        <v>7</v>
      </c>
      <c r="B8" s="1823" t="s">
        <v>845</v>
      </c>
      <c r="C8" s="2144"/>
      <c r="D8" s="2145"/>
      <c r="E8" s="115"/>
      <c r="F8" s="122"/>
      <c r="G8" s="121" t="s">
        <v>469</v>
      </c>
      <c r="H8" s="123" t="s">
        <v>759</v>
      </c>
    </row>
    <row r="9" spans="1:23">
      <c r="A9"/>
      <c r="B9" s="110"/>
      <c r="C9" s="110"/>
      <c r="D9" s="110"/>
      <c r="E9" s="110"/>
      <c r="F9" s="110"/>
      <c r="G9" s="120"/>
      <c r="H9" s="110"/>
    </row>
    <row r="10" spans="1:23" ht="183" customHeight="1">
      <c r="A10" s="2174" t="s">
        <v>471</v>
      </c>
      <c r="B10" s="2148"/>
      <c r="C10" s="1805" t="s">
        <v>846</v>
      </c>
      <c r="D10" s="1805"/>
      <c r="E10" s="1805"/>
      <c r="F10" s="1805"/>
      <c r="G10" s="1805"/>
      <c r="H10" s="1805"/>
      <c r="J10" s="1259"/>
    </row>
    <row r="11" spans="1:23">
      <c r="A11" s="126"/>
      <c r="B11" s="115"/>
      <c r="C11" s="115"/>
      <c r="D11" s="115"/>
      <c r="E11" s="115"/>
      <c r="F11" s="122"/>
      <c r="G11" s="125"/>
      <c r="H11" s="125"/>
    </row>
    <row r="12" spans="1:23">
      <c r="A12" s="126"/>
      <c r="B12" s="115"/>
      <c r="C12" s="115"/>
      <c r="D12" s="115"/>
      <c r="E12" s="2181" t="s">
        <v>473</v>
      </c>
      <c r="F12" s="2148"/>
      <c r="G12" s="2148"/>
      <c r="H12" s="2148"/>
    </row>
    <row r="13" spans="1:23">
      <c r="A13" s="110"/>
      <c r="B13" s="110"/>
      <c r="C13" s="110"/>
      <c r="D13" s="110"/>
      <c r="E13" s="2141"/>
      <c r="F13" s="2141"/>
      <c r="G13" s="2141"/>
      <c r="H13" s="2141"/>
      <c r="I13" s="2191">
        <v>2025</v>
      </c>
      <c r="J13" s="2193"/>
      <c r="K13" s="2193"/>
      <c r="L13" s="2193"/>
      <c r="M13" s="2194"/>
      <c r="N13" s="2191">
        <v>2026</v>
      </c>
      <c r="O13" s="2193"/>
      <c r="P13" s="2193"/>
      <c r="Q13" s="2193"/>
      <c r="R13" s="2194"/>
      <c r="S13" s="2191">
        <v>2027</v>
      </c>
      <c r="T13" s="2193"/>
      <c r="U13" s="2193"/>
      <c r="V13" s="2193"/>
      <c r="W13" s="2194"/>
    </row>
    <row r="14" spans="1:23" ht="41.25" customHeight="1" thickBot="1">
      <c r="A14" s="2184" t="s">
        <v>5</v>
      </c>
      <c r="B14" s="2137"/>
      <c r="C14" s="128" t="s">
        <v>1</v>
      </c>
      <c r="D14" s="128" t="s">
        <v>260</v>
      </c>
      <c r="E14" s="129" t="s">
        <v>474</v>
      </c>
      <c r="F14" s="2182" t="s">
        <v>6</v>
      </c>
      <c r="G14" s="2097"/>
      <c r="H14" s="2098"/>
      <c r="I14" s="954" t="s">
        <v>474</v>
      </c>
      <c r="J14" s="955" t="s">
        <v>944</v>
      </c>
      <c r="K14" s="956" t="s">
        <v>945</v>
      </c>
      <c r="L14" s="955" t="s">
        <v>946</v>
      </c>
      <c r="M14" s="957" t="s">
        <v>947</v>
      </c>
      <c r="N14" s="954" t="s">
        <v>474</v>
      </c>
      <c r="O14" s="955" t="s">
        <v>944</v>
      </c>
      <c r="P14" s="956" t="s">
        <v>945</v>
      </c>
      <c r="Q14" s="955" t="s">
        <v>946</v>
      </c>
      <c r="R14" s="957" t="s">
        <v>947</v>
      </c>
      <c r="S14" s="954" t="s">
        <v>474</v>
      </c>
      <c r="T14" s="955" t="s">
        <v>944</v>
      </c>
      <c r="U14" s="956" t="s">
        <v>945</v>
      </c>
      <c r="V14" s="955" t="s">
        <v>946</v>
      </c>
      <c r="W14" s="957" t="s">
        <v>947</v>
      </c>
    </row>
    <row r="15" spans="1:23" ht="45" customHeight="1">
      <c r="A15" s="2183" t="s">
        <v>17</v>
      </c>
      <c r="B15" s="2140"/>
      <c r="C15" s="130" t="s">
        <v>59</v>
      </c>
      <c r="D15" s="131" t="s">
        <v>251</v>
      </c>
      <c r="E15" s="132"/>
      <c r="F15" s="1828" t="s">
        <v>475</v>
      </c>
      <c r="G15" s="2140"/>
      <c r="H15" s="2137"/>
      <c r="I15" s="958"/>
      <c r="J15" s="959"/>
      <c r="K15" s="959"/>
      <c r="L15" s="959"/>
      <c r="M15" s="960"/>
      <c r="N15" s="958"/>
      <c r="O15" s="959"/>
      <c r="P15" s="959"/>
      <c r="Q15" s="959"/>
      <c r="R15" s="960"/>
      <c r="S15" s="958"/>
      <c r="T15" s="959"/>
      <c r="U15" s="959"/>
      <c r="V15" s="959"/>
      <c r="W15" s="961"/>
    </row>
    <row r="16" spans="1:23" ht="15" customHeight="1">
      <c r="A16" s="2148"/>
      <c r="B16" s="2148"/>
      <c r="C16" s="133" t="s">
        <v>18</v>
      </c>
      <c r="D16" s="134" t="s">
        <v>168</v>
      </c>
      <c r="E16" s="135"/>
      <c r="F16" s="1845"/>
      <c r="G16" s="1845"/>
      <c r="H16" s="2139"/>
      <c r="I16" s="962"/>
      <c r="J16" s="963"/>
      <c r="K16" s="963"/>
      <c r="L16" s="963"/>
      <c r="M16" s="963"/>
      <c r="N16" s="962"/>
      <c r="O16" s="963"/>
      <c r="P16" s="963"/>
      <c r="Q16" s="963"/>
      <c r="R16" s="963"/>
      <c r="S16" s="962"/>
      <c r="T16" s="963"/>
      <c r="U16" s="963"/>
      <c r="V16" s="963"/>
      <c r="W16" s="964"/>
    </row>
    <row r="17" spans="1:23" ht="15" customHeight="1" thickBot="1">
      <c r="A17" s="2141"/>
      <c r="B17" s="2141"/>
      <c r="C17" s="136" t="s">
        <v>19</v>
      </c>
      <c r="D17" s="137" t="s">
        <v>233</v>
      </c>
      <c r="E17" s="138"/>
      <c r="F17" s="2141"/>
      <c r="G17" s="2141"/>
      <c r="H17" s="2142"/>
      <c r="I17" s="965"/>
      <c r="J17" s="963"/>
      <c r="K17" s="963"/>
      <c r="L17" s="963"/>
      <c r="M17" s="963"/>
      <c r="N17" s="965"/>
      <c r="O17" s="963"/>
      <c r="P17" s="963"/>
      <c r="Q17" s="963"/>
      <c r="R17" s="963"/>
      <c r="S17" s="965"/>
      <c r="T17" s="963"/>
      <c r="U17" s="963"/>
      <c r="V17" s="963"/>
      <c r="W17" s="964"/>
    </row>
    <row r="18" spans="1:23" ht="15" customHeight="1">
      <c r="A18" s="2183" t="s">
        <v>20</v>
      </c>
      <c r="B18" s="2140"/>
      <c r="C18" s="130" t="s">
        <v>54</v>
      </c>
      <c r="D18" s="137" t="s">
        <v>261</v>
      </c>
      <c r="E18" s="138"/>
      <c r="F18" s="1828" t="s">
        <v>475</v>
      </c>
      <c r="G18" s="2140"/>
      <c r="H18" s="2137"/>
      <c r="I18" s="965"/>
      <c r="J18" s="963"/>
      <c r="K18" s="963"/>
      <c r="L18" s="963"/>
      <c r="M18" s="963"/>
      <c r="N18" s="965"/>
      <c r="O18" s="963"/>
      <c r="P18" s="963"/>
      <c r="Q18" s="963"/>
      <c r="R18" s="963"/>
      <c r="S18" s="965"/>
      <c r="T18" s="963"/>
      <c r="U18" s="963"/>
      <c r="V18" s="963"/>
      <c r="W18" s="964"/>
    </row>
    <row r="19" spans="1:23" ht="33" customHeight="1">
      <c r="A19" s="2148"/>
      <c r="B19" s="2148"/>
      <c r="C19" s="139" t="s">
        <v>21</v>
      </c>
      <c r="D19" s="137" t="s">
        <v>234</v>
      </c>
      <c r="E19" s="138"/>
      <c r="F19" s="1845"/>
      <c r="G19" s="1845"/>
      <c r="H19" s="2139"/>
      <c r="I19" s="965"/>
      <c r="J19" s="963"/>
      <c r="K19" s="963"/>
      <c r="L19" s="963"/>
      <c r="M19" s="963"/>
      <c r="N19" s="965"/>
      <c r="O19" s="963"/>
      <c r="P19" s="963"/>
      <c r="Q19" s="963"/>
      <c r="R19" s="963"/>
      <c r="S19" s="965"/>
      <c r="T19" s="963"/>
      <c r="U19" s="963"/>
      <c r="V19" s="963"/>
      <c r="W19" s="964"/>
    </row>
    <row r="20" spans="1:23" ht="40.5" customHeight="1" thickBot="1">
      <c r="A20" s="2148"/>
      <c r="B20" s="2148"/>
      <c r="C20" s="136" t="s">
        <v>22</v>
      </c>
      <c r="D20" s="137" t="s">
        <v>235</v>
      </c>
      <c r="E20" s="138"/>
      <c r="F20" s="2141"/>
      <c r="G20" s="2141"/>
      <c r="H20" s="2142"/>
      <c r="I20" s="965"/>
      <c r="J20" s="963"/>
      <c r="K20" s="963"/>
      <c r="L20" s="963"/>
      <c r="M20" s="963"/>
      <c r="N20" s="965"/>
      <c r="O20" s="963"/>
      <c r="P20" s="963"/>
      <c r="Q20" s="963"/>
      <c r="R20" s="963"/>
      <c r="S20" s="965"/>
      <c r="T20" s="963"/>
      <c r="U20" s="963"/>
      <c r="V20" s="963"/>
      <c r="W20" s="964"/>
    </row>
    <row r="21" spans="1:23" ht="15" customHeight="1">
      <c r="A21" s="2183" t="s">
        <v>23</v>
      </c>
      <c r="B21" s="2140"/>
      <c r="C21" s="140" t="s">
        <v>69</v>
      </c>
      <c r="D21" s="137" t="s">
        <v>267</v>
      </c>
      <c r="E21" s="138"/>
      <c r="F21" s="1828" t="s">
        <v>477</v>
      </c>
      <c r="G21" s="2140"/>
      <c r="H21" s="2137"/>
      <c r="I21" s="965"/>
      <c r="J21" s="963"/>
      <c r="K21" s="963"/>
      <c r="L21" s="963"/>
      <c r="M21" s="963"/>
      <c r="N21" s="965"/>
      <c r="O21" s="963"/>
      <c r="P21" s="963"/>
      <c r="Q21" s="963"/>
      <c r="R21" s="963"/>
      <c r="S21" s="965"/>
      <c r="T21" s="963"/>
      <c r="U21" s="963"/>
      <c r="V21" s="963"/>
      <c r="W21" s="964"/>
    </row>
    <row r="22" spans="1:23" ht="30" customHeight="1" thickBot="1">
      <c r="A22" s="2141"/>
      <c r="B22" s="2141"/>
      <c r="C22" s="141" t="s">
        <v>24</v>
      </c>
      <c r="D22" s="142" t="s">
        <v>236</v>
      </c>
      <c r="E22" s="138"/>
      <c r="F22" s="2141"/>
      <c r="G22" s="2141"/>
      <c r="H22" s="2142"/>
      <c r="I22" s="965"/>
      <c r="J22" s="963"/>
      <c r="K22" s="963"/>
      <c r="L22" s="963"/>
      <c r="M22" s="963"/>
      <c r="N22" s="965"/>
      <c r="O22" s="963"/>
      <c r="P22" s="963"/>
      <c r="Q22" s="963"/>
      <c r="R22" s="963"/>
      <c r="S22" s="965"/>
      <c r="T22" s="963"/>
      <c r="U22" s="963"/>
      <c r="V22" s="963"/>
      <c r="W22" s="964"/>
    </row>
    <row r="23" spans="1:23" ht="15.75">
      <c r="A23" s="2136" t="s">
        <v>478</v>
      </c>
      <c r="B23" s="2137"/>
      <c r="C23" s="143" t="s">
        <v>360</v>
      </c>
      <c r="D23" s="142" t="s">
        <v>265</v>
      </c>
      <c r="E23" s="138"/>
      <c r="F23" s="1828" t="s">
        <v>477</v>
      </c>
      <c r="G23" s="2140"/>
      <c r="H23" s="2137"/>
      <c r="I23" s="965"/>
      <c r="J23" s="963"/>
      <c r="K23" s="963"/>
      <c r="L23" s="963"/>
      <c r="M23" s="963"/>
      <c r="N23" s="965"/>
      <c r="O23" s="963"/>
      <c r="P23" s="963"/>
      <c r="Q23" s="963"/>
      <c r="R23" s="963"/>
      <c r="S23" s="965"/>
      <c r="T23" s="963"/>
      <c r="U23" s="963"/>
      <c r="V23" s="963"/>
      <c r="W23" s="964"/>
    </row>
    <row r="24" spans="1:23" ht="30" customHeight="1">
      <c r="A24" s="2138"/>
      <c r="B24" s="2139"/>
      <c r="C24" s="144" t="s">
        <v>361</v>
      </c>
      <c r="D24" s="142" t="s">
        <v>362</v>
      </c>
      <c r="E24" s="138"/>
      <c r="F24" s="1845"/>
      <c r="G24" s="1845"/>
      <c r="H24" s="2139"/>
      <c r="I24" s="965"/>
      <c r="J24" s="963"/>
      <c r="K24" s="963"/>
      <c r="L24" s="963"/>
      <c r="M24" s="963"/>
      <c r="N24" s="965"/>
      <c r="O24" s="963"/>
      <c r="P24" s="963"/>
      <c r="Q24" s="963"/>
      <c r="R24" s="963"/>
      <c r="S24" s="965"/>
      <c r="T24" s="963"/>
      <c r="U24" s="963"/>
      <c r="V24" s="963"/>
      <c r="W24" s="964"/>
    </row>
    <row r="25" spans="1:23" ht="30" customHeight="1" thickBot="1">
      <c r="A25" s="2138"/>
      <c r="B25" s="2139"/>
      <c r="C25" s="145" t="s">
        <v>479</v>
      </c>
      <c r="D25" s="142" t="s">
        <v>480</v>
      </c>
      <c r="E25" s="138"/>
      <c r="F25" s="2141"/>
      <c r="G25" s="2141"/>
      <c r="H25" s="2142"/>
      <c r="I25" s="965"/>
      <c r="J25" s="963"/>
      <c r="K25" s="963"/>
      <c r="L25" s="963"/>
      <c r="M25" s="963"/>
      <c r="N25" s="965"/>
      <c r="O25" s="963"/>
      <c r="P25" s="963"/>
      <c r="Q25" s="963"/>
      <c r="R25" s="963"/>
      <c r="S25" s="965"/>
      <c r="T25" s="963"/>
      <c r="U25" s="963"/>
      <c r="V25" s="963"/>
      <c r="W25" s="964"/>
    </row>
    <row r="26" spans="1:23" ht="15.75" thickBot="1">
      <c r="A26" s="2143" t="s">
        <v>25</v>
      </c>
      <c r="B26" s="2144"/>
      <c r="C26" s="2145"/>
      <c r="D26" s="146" t="s">
        <v>270</v>
      </c>
      <c r="E26" s="138"/>
      <c r="F26" s="1818" t="s">
        <v>481</v>
      </c>
      <c r="G26" s="2097"/>
      <c r="H26" s="2098"/>
      <c r="I26" s="965"/>
      <c r="J26" s="963"/>
      <c r="K26" s="963"/>
      <c r="L26" s="963"/>
      <c r="M26" s="963"/>
      <c r="N26" s="965"/>
      <c r="O26" s="963"/>
      <c r="P26" s="963"/>
      <c r="Q26" s="963"/>
      <c r="R26" s="963"/>
      <c r="S26" s="965"/>
      <c r="T26" s="963"/>
      <c r="U26" s="963"/>
      <c r="V26" s="963"/>
      <c r="W26" s="964"/>
    </row>
    <row r="27" spans="1:23" ht="15.75">
      <c r="A27" s="2157" t="s">
        <v>153</v>
      </c>
      <c r="B27" s="2158"/>
      <c r="C27" s="147" t="s">
        <v>152</v>
      </c>
      <c r="D27" s="148" t="s">
        <v>268</v>
      </c>
      <c r="E27" s="138"/>
      <c r="F27" s="1828" t="s">
        <v>475</v>
      </c>
      <c r="G27" s="2140"/>
      <c r="H27" s="2137"/>
      <c r="I27" s="965"/>
      <c r="J27" s="963"/>
      <c r="K27" s="963"/>
      <c r="L27" s="963"/>
      <c r="M27" s="963"/>
      <c r="N27" s="965"/>
      <c r="O27" s="963"/>
      <c r="P27" s="963"/>
      <c r="Q27" s="963"/>
      <c r="R27" s="963"/>
      <c r="S27" s="965"/>
      <c r="T27" s="963"/>
      <c r="U27" s="963"/>
      <c r="V27" s="963"/>
      <c r="W27" s="964"/>
    </row>
    <row r="28" spans="1:23" ht="15.75">
      <c r="A28" s="2138"/>
      <c r="B28" s="2158"/>
      <c r="C28" s="149" t="s">
        <v>154</v>
      </c>
      <c r="D28" s="148" t="s">
        <v>392</v>
      </c>
      <c r="E28" s="138"/>
      <c r="F28" s="1845"/>
      <c r="G28" s="1845"/>
      <c r="H28" s="2139"/>
      <c r="I28" s="965"/>
      <c r="J28" s="963"/>
      <c r="K28" s="963"/>
      <c r="L28" s="963"/>
      <c r="M28" s="963"/>
      <c r="N28" s="965"/>
      <c r="O28" s="963"/>
      <c r="P28" s="963"/>
      <c r="Q28" s="963"/>
      <c r="R28" s="963"/>
      <c r="S28" s="965"/>
      <c r="T28" s="963"/>
      <c r="U28" s="963"/>
      <c r="V28" s="963"/>
      <c r="W28" s="964"/>
    </row>
    <row r="29" spans="1:23" ht="16.5" thickBot="1">
      <c r="A29" s="2149"/>
      <c r="B29" s="2152"/>
      <c r="C29" s="150" t="s">
        <v>400</v>
      </c>
      <c r="D29" s="148" t="s">
        <v>393</v>
      </c>
      <c r="E29" s="138"/>
      <c r="F29" s="2141"/>
      <c r="G29" s="2141"/>
      <c r="H29" s="2142"/>
      <c r="I29" s="965"/>
      <c r="J29" s="963"/>
      <c r="K29" s="963"/>
      <c r="L29" s="963"/>
      <c r="M29" s="963"/>
      <c r="N29" s="965"/>
      <c r="O29" s="963"/>
      <c r="P29" s="963"/>
      <c r="Q29" s="963"/>
      <c r="R29" s="963"/>
      <c r="S29" s="965"/>
      <c r="T29" s="963"/>
      <c r="U29" s="963"/>
      <c r="V29" s="963"/>
      <c r="W29" s="964"/>
    </row>
    <row r="30" spans="1:23" ht="15.75">
      <c r="A30" s="2159" t="s">
        <v>153</v>
      </c>
      <c r="B30" s="2151"/>
      <c r="C30" s="151" t="s">
        <v>155</v>
      </c>
      <c r="D30" s="148" t="s">
        <v>266</v>
      </c>
      <c r="E30" s="138"/>
      <c r="F30" s="1828" t="s">
        <v>475</v>
      </c>
      <c r="G30" s="2140"/>
      <c r="H30" s="2137"/>
      <c r="I30" s="965"/>
      <c r="J30" s="963"/>
      <c r="K30" s="963"/>
      <c r="L30" s="963"/>
      <c r="M30" s="963"/>
      <c r="N30" s="965"/>
      <c r="O30" s="963"/>
      <c r="P30" s="963"/>
      <c r="Q30" s="963"/>
      <c r="R30" s="963"/>
      <c r="S30" s="965"/>
      <c r="T30" s="963"/>
      <c r="U30" s="963"/>
      <c r="V30" s="963"/>
      <c r="W30" s="964"/>
    </row>
    <row r="31" spans="1:23" ht="15.75">
      <c r="A31" s="2138"/>
      <c r="B31" s="2158"/>
      <c r="C31" s="149" t="s">
        <v>156</v>
      </c>
      <c r="D31" s="148" t="s">
        <v>394</v>
      </c>
      <c r="E31" s="138"/>
      <c r="F31" s="1845"/>
      <c r="G31" s="1845"/>
      <c r="H31" s="2139"/>
      <c r="I31" s="965"/>
      <c r="J31" s="963"/>
      <c r="K31" s="963"/>
      <c r="L31" s="963"/>
      <c r="M31" s="963"/>
      <c r="N31" s="965"/>
      <c r="O31" s="963"/>
      <c r="P31" s="963"/>
      <c r="Q31" s="963"/>
      <c r="R31" s="963"/>
      <c r="S31" s="965"/>
      <c r="T31" s="963"/>
      <c r="U31" s="963"/>
      <c r="V31" s="963"/>
      <c r="W31" s="964"/>
    </row>
    <row r="32" spans="1:23" ht="16.5" thickBot="1">
      <c r="A32" s="2149"/>
      <c r="B32" s="2152"/>
      <c r="C32" s="150" t="s">
        <v>399</v>
      </c>
      <c r="D32" s="148" t="s">
        <v>395</v>
      </c>
      <c r="E32" s="138"/>
      <c r="F32" s="2141"/>
      <c r="G32" s="2141"/>
      <c r="H32" s="2142"/>
      <c r="I32" s="965"/>
      <c r="J32" s="963"/>
      <c r="K32" s="963"/>
      <c r="L32" s="963"/>
      <c r="M32" s="963"/>
      <c r="N32" s="965"/>
      <c r="O32" s="963"/>
      <c r="P32" s="963"/>
      <c r="Q32" s="963"/>
      <c r="R32" s="963"/>
      <c r="S32" s="965"/>
      <c r="T32" s="963"/>
      <c r="U32" s="963"/>
      <c r="V32" s="963"/>
      <c r="W32" s="964"/>
    </row>
    <row r="33" spans="1:23" ht="16.5" thickBot="1">
      <c r="A33" s="2159" t="s">
        <v>482</v>
      </c>
      <c r="B33" s="2151"/>
      <c r="C33" s="151" t="s">
        <v>365</v>
      </c>
      <c r="D33" s="148" t="s">
        <v>252</v>
      </c>
      <c r="E33" s="138"/>
      <c r="F33" s="1828" t="s">
        <v>483</v>
      </c>
      <c r="G33" s="2140"/>
      <c r="H33" s="2137"/>
      <c r="I33" s="965"/>
      <c r="J33" s="963"/>
      <c r="K33" s="963"/>
      <c r="L33" s="963"/>
      <c r="M33" s="963"/>
      <c r="N33" s="965"/>
      <c r="O33" s="963"/>
      <c r="P33" s="963"/>
      <c r="Q33" s="963"/>
      <c r="R33" s="963"/>
      <c r="S33" s="965"/>
      <c r="T33" s="963"/>
      <c r="U33" s="963"/>
      <c r="V33" s="963"/>
      <c r="W33" s="964"/>
    </row>
    <row r="34" spans="1:23" ht="16.5" thickBot="1">
      <c r="A34" s="2159" t="s">
        <v>484</v>
      </c>
      <c r="B34" s="2151"/>
      <c r="C34" s="151" t="s">
        <v>485</v>
      </c>
      <c r="D34" s="148" t="s">
        <v>264</v>
      </c>
      <c r="E34" s="138"/>
      <c r="F34" s="2160"/>
      <c r="G34" s="2140"/>
      <c r="H34" s="2137"/>
      <c r="I34" s="965"/>
      <c r="J34" s="963"/>
      <c r="K34" s="963"/>
      <c r="L34" s="963"/>
      <c r="M34" s="963"/>
      <c r="N34" s="965"/>
      <c r="O34" s="963"/>
      <c r="P34" s="963"/>
      <c r="Q34" s="963"/>
      <c r="R34" s="963"/>
      <c r="S34" s="965"/>
      <c r="T34" s="963"/>
      <c r="U34" s="963"/>
      <c r="V34" s="963"/>
      <c r="W34" s="964"/>
    </row>
    <row r="35" spans="1:23" ht="15.75">
      <c r="A35" s="2161" t="s">
        <v>486</v>
      </c>
      <c r="B35" s="2151"/>
      <c r="C35" s="152" t="s">
        <v>43</v>
      </c>
      <c r="D35" s="153" t="s">
        <v>256</v>
      </c>
      <c r="E35" s="138"/>
      <c r="F35" s="1828" t="s">
        <v>487</v>
      </c>
      <c r="G35" s="2140"/>
      <c r="H35" s="2137"/>
      <c r="I35" s="965"/>
      <c r="J35" s="963"/>
      <c r="K35" s="963"/>
      <c r="L35" s="963"/>
      <c r="M35" s="963"/>
      <c r="N35" s="965"/>
      <c r="O35" s="963"/>
      <c r="P35" s="963"/>
      <c r="Q35" s="963"/>
      <c r="R35" s="963"/>
      <c r="S35" s="965"/>
      <c r="T35" s="963"/>
      <c r="U35" s="963"/>
      <c r="V35" s="963"/>
      <c r="W35" s="964"/>
    </row>
    <row r="36" spans="1:23" ht="16.5" thickBot="1">
      <c r="A36" s="2149"/>
      <c r="B36" s="2152"/>
      <c r="C36" s="154" t="s">
        <v>60</v>
      </c>
      <c r="D36" s="153" t="s">
        <v>257</v>
      </c>
      <c r="E36" s="138"/>
      <c r="F36" s="2141"/>
      <c r="G36" s="2141"/>
      <c r="H36" s="2142"/>
      <c r="I36" s="965"/>
      <c r="J36" s="963"/>
      <c r="K36" s="963"/>
      <c r="L36" s="963"/>
      <c r="M36" s="963"/>
      <c r="N36" s="965"/>
      <c r="O36" s="963"/>
      <c r="P36" s="963"/>
      <c r="Q36" s="963"/>
      <c r="R36" s="963"/>
      <c r="S36" s="965"/>
      <c r="T36" s="963"/>
      <c r="U36" s="963"/>
      <c r="V36" s="963"/>
      <c r="W36" s="964"/>
    </row>
    <row r="37" spans="1:23" ht="30">
      <c r="A37" s="2165" t="s">
        <v>33</v>
      </c>
      <c r="B37" s="2140"/>
      <c r="C37" s="155" t="s">
        <v>30</v>
      </c>
      <c r="D37" s="156" t="s">
        <v>170</v>
      </c>
      <c r="E37" s="138"/>
      <c r="F37" s="1820" t="s">
        <v>510</v>
      </c>
      <c r="G37" s="2140"/>
      <c r="H37" s="2137"/>
      <c r="I37" s="965"/>
      <c r="J37" s="963"/>
      <c r="K37" s="963"/>
      <c r="L37" s="963"/>
      <c r="M37" s="963"/>
      <c r="N37" s="965"/>
      <c r="O37" s="963"/>
      <c r="P37" s="963"/>
      <c r="Q37" s="963"/>
      <c r="R37" s="963"/>
      <c r="S37" s="965"/>
      <c r="T37" s="963"/>
      <c r="U37" s="963"/>
      <c r="V37" s="963"/>
      <c r="W37" s="964"/>
    </row>
    <row r="38" spans="1:23" ht="30">
      <c r="A38" s="2138"/>
      <c r="B38" s="2148"/>
      <c r="C38" s="157" t="s">
        <v>31</v>
      </c>
      <c r="D38" s="156" t="s">
        <v>169</v>
      </c>
      <c r="E38" s="138"/>
      <c r="F38" s="1820" t="s">
        <v>539</v>
      </c>
      <c r="G38" s="2140"/>
      <c r="H38" s="2137"/>
      <c r="I38" s="965"/>
      <c r="J38" s="963"/>
      <c r="K38" s="963"/>
      <c r="L38" s="963"/>
      <c r="M38" s="963"/>
      <c r="N38" s="965"/>
      <c r="O38" s="963"/>
      <c r="P38" s="963"/>
      <c r="Q38" s="963"/>
      <c r="R38" s="963"/>
      <c r="S38" s="965"/>
      <c r="T38" s="963"/>
      <c r="U38" s="963"/>
      <c r="V38" s="963"/>
      <c r="W38" s="964"/>
    </row>
    <row r="39" spans="1:23" ht="30.75" thickBot="1">
      <c r="A39" s="2138"/>
      <c r="B39" s="2148"/>
      <c r="C39" s="158" t="s">
        <v>32</v>
      </c>
      <c r="D39" s="156" t="s">
        <v>250</v>
      </c>
      <c r="E39" s="138"/>
      <c r="F39" s="2141"/>
      <c r="G39" s="2141"/>
      <c r="H39" s="2142"/>
      <c r="I39" s="965"/>
      <c r="J39" s="963"/>
      <c r="K39" s="963"/>
      <c r="L39" s="963"/>
      <c r="M39" s="963"/>
      <c r="N39" s="965"/>
      <c r="O39" s="963"/>
      <c r="P39" s="963"/>
      <c r="Q39" s="963"/>
      <c r="R39" s="963"/>
      <c r="S39" s="965"/>
      <c r="T39" s="963"/>
      <c r="U39" s="963"/>
      <c r="V39" s="963"/>
      <c r="W39" s="964"/>
    </row>
    <row r="40" spans="1:23" ht="22.5" customHeight="1">
      <c r="A40" s="2169" t="s">
        <v>491</v>
      </c>
      <c r="B40" s="2170"/>
      <c r="C40" s="159" t="s">
        <v>144</v>
      </c>
      <c r="D40" s="160" t="s">
        <v>253</v>
      </c>
      <c r="E40" s="138" t="s">
        <v>277</v>
      </c>
      <c r="F40" s="2162" t="s">
        <v>1665</v>
      </c>
      <c r="G40" s="1828"/>
      <c r="H40" s="2274"/>
      <c r="I40" s="965" t="s">
        <v>277</v>
      </c>
      <c r="J40" s="963">
        <v>4</v>
      </c>
      <c r="K40" s="963"/>
      <c r="L40" s="963">
        <v>31.89</v>
      </c>
      <c r="M40" s="963">
        <v>23917.5</v>
      </c>
      <c r="N40" s="965" t="s">
        <v>277</v>
      </c>
      <c r="O40" s="963"/>
      <c r="P40" s="963"/>
      <c r="Q40" s="963"/>
      <c r="R40" s="963"/>
      <c r="S40" s="965" t="s">
        <v>277</v>
      </c>
      <c r="T40" s="963"/>
      <c r="U40" s="963"/>
      <c r="V40" s="963"/>
      <c r="W40" s="964"/>
    </row>
    <row r="41" spans="1:23" ht="16.5" thickBot="1">
      <c r="A41" s="2148"/>
      <c r="B41" s="2158"/>
      <c r="C41" s="161" t="s">
        <v>145</v>
      </c>
      <c r="D41" s="160" t="s">
        <v>254</v>
      </c>
      <c r="E41" s="138" t="s">
        <v>277</v>
      </c>
      <c r="F41" s="2478"/>
      <c r="G41" s="2479"/>
      <c r="H41" s="2480"/>
      <c r="I41" s="965" t="s">
        <v>277</v>
      </c>
      <c r="J41" s="963">
        <v>17</v>
      </c>
      <c r="K41" s="963"/>
      <c r="L41" s="963">
        <v>140.15</v>
      </c>
      <c r="M41" s="963">
        <v>140850.75</v>
      </c>
      <c r="N41" s="965" t="s">
        <v>277</v>
      </c>
      <c r="O41" s="963"/>
      <c r="P41" s="963"/>
      <c r="Q41" s="963"/>
      <c r="R41" s="963"/>
      <c r="S41" s="965" t="s">
        <v>277</v>
      </c>
      <c r="T41" s="963"/>
      <c r="U41" s="963"/>
      <c r="V41" s="963"/>
      <c r="W41" s="964"/>
    </row>
    <row r="42" spans="1:23" ht="48" thickBot="1">
      <c r="A42" s="2171"/>
      <c r="B42" s="2172"/>
      <c r="C42" s="162" t="s">
        <v>128</v>
      </c>
      <c r="D42" s="160" t="s">
        <v>262</v>
      </c>
      <c r="E42" s="138" t="s">
        <v>277</v>
      </c>
      <c r="F42" s="2173"/>
      <c r="G42" s="2097"/>
      <c r="H42" s="2098"/>
      <c r="I42" s="965" t="s">
        <v>277</v>
      </c>
      <c r="J42" s="963">
        <v>5</v>
      </c>
      <c r="K42" s="963"/>
      <c r="L42" s="963">
        <v>68.88</v>
      </c>
      <c r="M42" s="963">
        <v>24796.799999999999</v>
      </c>
      <c r="N42" s="965" t="s">
        <v>277</v>
      </c>
      <c r="O42" s="963"/>
      <c r="P42" s="963"/>
      <c r="Q42" s="963"/>
      <c r="R42" s="963"/>
      <c r="S42" s="965" t="s">
        <v>277</v>
      </c>
      <c r="T42" s="963"/>
      <c r="U42" s="963"/>
      <c r="V42" s="963"/>
      <c r="W42" s="964"/>
    </row>
    <row r="43" spans="1:23" ht="15.75" thickBot="1">
      <c r="A43" s="2146" t="s">
        <v>493</v>
      </c>
      <c r="B43" s="2144"/>
      <c r="C43" s="2145"/>
      <c r="D43" s="163" t="s">
        <v>237</v>
      </c>
      <c r="E43" s="138"/>
      <c r="F43" s="1818" t="s">
        <v>571</v>
      </c>
      <c r="G43" s="2097"/>
      <c r="H43" s="2098"/>
      <c r="I43" s="965"/>
      <c r="J43" s="963"/>
      <c r="K43" s="963"/>
      <c r="L43" s="963"/>
      <c r="M43" s="963"/>
      <c r="N43" s="965"/>
      <c r="O43" s="963"/>
      <c r="P43" s="963"/>
      <c r="Q43" s="963"/>
      <c r="R43" s="963"/>
      <c r="S43" s="965"/>
      <c r="T43" s="963"/>
      <c r="U43" s="963"/>
      <c r="V43" s="963"/>
      <c r="W43" s="964"/>
    </row>
    <row r="44" spans="1:23" ht="15.75" thickBot="1">
      <c r="A44" s="2146" t="s">
        <v>133</v>
      </c>
      <c r="B44" s="2144"/>
      <c r="C44" s="2145"/>
      <c r="D44" s="163" t="s">
        <v>238</v>
      </c>
      <c r="E44" s="138" t="s">
        <v>277</v>
      </c>
      <c r="F44" s="1818" t="s">
        <v>847</v>
      </c>
      <c r="G44" s="2097"/>
      <c r="H44" s="2098"/>
      <c r="I44" s="965" t="s">
        <v>277</v>
      </c>
      <c r="J44" s="963"/>
      <c r="K44" s="963"/>
      <c r="L44" s="963"/>
      <c r="M44" s="963"/>
      <c r="N44" s="965" t="s">
        <v>277</v>
      </c>
      <c r="O44" s="963"/>
      <c r="P44" s="963"/>
      <c r="Q44" s="963"/>
      <c r="R44" s="963"/>
      <c r="S44" s="965" t="s">
        <v>277</v>
      </c>
      <c r="T44" s="963"/>
      <c r="U44" s="963"/>
      <c r="V44" s="963"/>
      <c r="W44" s="964"/>
    </row>
    <row r="45" spans="1:23">
      <c r="A45" s="2147" t="s">
        <v>41</v>
      </c>
      <c r="B45" s="2148"/>
      <c r="C45" s="164" t="s">
        <v>50</v>
      </c>
      <c r="D45" s="165" t="s">
        <v>246</v>
      </c>
      <c r="E45" s="138"/>
      <c r="F45" s="1785" t="s">
        <v>560</v>
      </c>
      <c r="G45" s="2097"/>
      <c r="H45" s="2098"/>
      <c r="I45" s="965"/>
      <c r="J45" s="963"/>
      <c r="K45" s="963"/>
      <c r="L45" s="963"/>
      <c r="M45" s="963"/>
      <c r="N45" s="965"/>
      <c r="O45" s="963"/>
      <c r="P45" s="963"/>
      <c r="Q45" s="963"/>
      <c r="R45" s="963"/>
      <c r="S45" s="965"/>
      <c r="T45" s="963"/>
      <c r="U45" s="963"/>
      <c r="V45" s="963"/>
      <c r="W45" s="964"/>
    </row>
    <row r="46" spans="1:23" ht="57.75" customHeight="1">
      <c r="A46" s="2138"/>
      <c r="B46" s="2148"/>
      <c r="C46" s="166" t="s">
        <v>51</v>
      </c>
      <c r="D46" s="165" t="s">
        <v>247</v>
      </c>
      <c r="E46" s="138" t="s">
        <v>277</v>
      </c>
      <c r="F46" s="1785" t="s">
        <v>848</v>
      </c>
      <c r="G46" s="2097"/>
      <c r="H46" s="2098"/>
      <c r="I46" s="965" t="s">
        <v>277</v>
      </c>
      <c r="J46" s="963"/>
      <c r="K46" s="963"/>
      <c r="L46" s="963"/>
      <c r="M46" s="963"/>
      <c r="N46" s="965" t="s">
        <v>277</v>
      </c>
      <c r="O46" s="963"/>
      <c r="P46" s="963"/>
      <c r="Q46" s="963"/>
      <c r="R46" s="963"/>
      <c r="S46" s="965" t="s">
        <v>277</v>
      </c>
      <c r="T46" s="963"/>
      <c r="U46" s="963"/>
      <c r="V46" s="963"/>
      <c r="W46" s="964"/>
    </row>
    <row r="47" spans="1:23">
      <c r="A47" s="2138"/>
      <c r="B47" s="2148"/>
      <c r="C47" s="166" t="s">
        <v>39</v>
      </c>
      <c r="D47" s="165" t="s">
        <v>248</v>
      </c>
      <c r="E47" s="138" t="s">
        <v>277</v>
      </c>
      <c r="F47" s="1785" t="s">
        <v>849</v>
      </c>
      <c r="G47" s="2097"/>
      <c r="H47" s="2098"/>
      <c r="I47" s="965" t="s">
        <v>277</v>
      </c>
      <c r="J47" s="963"/>
      <c r="K47" s="963"/>
      <c r="L47" s="963"/>
      <c r="M47" s="963"/>
      <c r="N47" s="965" t="s">
        <v>277</v>
      </c>
      <c r="O47" s="963"/>
      <c r="P47" s="963"/>
      <c r="Q47" s="963"/>
      <c r="R47" s="963"/>
      <c r="S47" s="965" t="s">
        <v>277</v>
      </c>
      <c r="T47" s="963"/>
      <c r="U47" s="963"/>
      <c r="V47" s="963"/>
      <c r="W47" s="964"/>
    </row>
    <row r="48" spans="1:23" ht="15.75" thickBot="1">
      <c r="A48" s="2149"/>
      <c r="B48" s="2141"/>
      <c r="C48" s="167" t="s">
        <v>40</v>
      </c>
      <c r="D48" s="165" t="s">
        <v>249</v>
      </c>
      <c r="E48" s="138" t="s">
        <v>277</v>
      </c>
      <c r="F48" s="1785" t="s">
        <v>850</v>
      </c>
      <c r="G48" s="2097"/>
      <c r="H48" s="2098"/>
      <c r="I48" s="965" t="s">
        <v>277</v>
      </c>
      <c r="J48" s="963">
        <v>10</v>
      </c>
      <c r="K48" s="963"/>
      <c r="L48" s="963">
        <v>36.24</v>
      </c>
      <c r="M48" s="963">
        <v>46024.800000000003</v>
      </c>
      <c r="N48" s="965" t="s">
        <v>277</v>
      </c>
      <c r="O48" s="963"/>
      <c r="P48" s="963"/>
      <c r="Q48" s="963"/>
      <c r="R48" s="963"/>
      <c r="S48" s="965" t="s">
        <v>277</v>
      </c>
      <c r="T48" s="963"/>
      <c r="U48" s="963"/>
      <c r="V48" s="963"/>
      <c r="W48" s="964"/>
    </row>
    <row r="49" spans="1:23" ht="15.75">
      <c r="A49" s="2150" t="s">
        <v>130</v>
      </c>
      <c r="B49" s="2151"/>
      <c r="C49" s="159" t="s">
        <v>131</v>
      </c>
      <c r="D49" s="160" t="s">
        <v>255</v>
      </c>
      <c r="E49" s="138"/>
      <c r="F49" s="2153"/>
      <c r="G49" s="2097"/>
      <c r="H49" s="2098"/>
      <c r="I49" s="965"/>
      <c r="J49" s="963"/>
      <c r="K49" s="963"/>
      <c r="L49" s="963"/>
      <c r="M49" s="963"/>
      <c r="N49" s="965"/>
      <c r="O49" s="963"/>
      <c r="P49" s="963"/>
      <c r="Q49" s="963"/>
      <c r="R49" s="963"/>
      <c r="S49" s="965"/>
      <c r="T49" s="963"/>
      <c r="U49" s="963"/>
      <c r="V49" s="963"/>
      <c r="W49" s="964"/>
    </row>
    <row r="50" spans="1:23" ht="48" thickBot="1">
      <c r="A50" s="2149"/>
      <c r="B50" s="2152"/>
      <c r="C50" s="168" t="s">
        <v>132</v>
      </c>
      <c r="D50" s="160" t="s">
        <v>263</v>
      </c>
      <c r="E50" s="138"/>
      <c r="F50" s="2153"/>
      <c r="G50" s="2097"/>
      <c r="H50" s="2098"/>
      <c r="I50" s="965"/>
      <c r="J50" s="963"/>
      <c r="K50" s="963"/>
      <c r="L50" s="963"/>
      <c r="M50" s="963"/>
      <c r="N50" s="965"/>
      <c r="O50" s="963"/>
      <c r="P50" s="963"/>
      <c r="Q50" s="963"/>
      <c r="R50" s="963"/>
      <c r="S50" s="965"/>
      <c r="T50" s="963"/>
      <c r="U50" s="963"/>
      <c r="V50" s="963"/>
      <c r="W50" s="964"/>
    </row>
    <row r="51" spans="1:23">
      <c r="A51" s="2154" t="s">
        <v>42</v>
      </c>
      <c r="B51" s="2151"/>
      <c r="C51" s="169" t="s">
        <v>38</v>
      </c>
      <c r="D51" s="170" t="s">
        <v>239</v>
      </c>
      <c r="E51" s="138" t="s">
        <v>277</v>
      </c>
      <c r="F51" s="1818" t="s">
        <v>851</v>
      </c>
      <c r="G51" s="2097"/>
      <c r="H51" s="2098"/>
      <c r="I51" s="965" t="s">
        <v>277</v>
      </c>
      <c r="J51" s="963"/>
      <c r="K51" s="963"/>
      <c r="L51" s="963"/>
      <c r="M51" s="963"/>
      <c r="N51" s="965" t="s">
        <v>277</v>
      </c>
      <c r="O51" s="963"/>
      <c r="P51" s="963"/>
      <c r="Q51" s="963"/>
      <c r="R51" s="963"/>
      <c r="S51" s="965" t="s">
        <v>277</v>
      </c>
      <c r="T51" s="963"/>
      <c r="U51" s="963"/>
      <c r="V51" s="963"/>
      <c r="W51" s="964"/>
    </row>
    <row r="52" spans="1:23">
      <c r="A52" s="2148"/>
      <c r="B52" s="2158"/>
      <c r="C52" s="171" t="s">
        <v>55</v>
      </c>
      <c r="D52" s="170" t="s">
        <v>240</v>
      </c>
      <c r="E52" s="138" t="s">
        <v>277</v>
      </c>
      <c r="F52" s="2155"/>
      <c r="G52" s="2097"/>
      <c r="H52" s="2098"/>
      <c r="I52" s="965" t="s">
        <v>277</v>
      </c>
      <c r="J52" s="963"/>
      <c r="K52" s="963"/>
      <c r="L52" s="963"/>
      <c r="M52" s="963"/>
      <c r="N52" s="965" t="s">
        <v>277</v>
      </c>
      <c r="O52" s="963"/>
      <c r="P52" s="963"/>
      <c r="Q52" s="963"/>
      <c r="R52" s="963"/>
      <c r="S52" s="965" t="s">
        <v>277</v>
      </c>
      <c r="T52" s="963"/>
      <c r="U52" s="963"/>
      <c r="V52" s="963"/>
      <c r="W52" s="964"/>
    </row>
    <row r="53" spans="1:23" ht="16.5" thickBot="1">
      <c r="A53" s="2476"/>
      <c r="B53" s="2477"/>
      <c r="C53" s="161" t="s">
        <v>48</v>
      </c>
      <c r="D53" s="172" t="s">
        <v>241</v>
      </c>
      <c r="E53" s="138"/>
      <c r="F53" s="2156"/>
      <c r="G53" s="2097"/>
      <c r="H53" s="2098"/>
    </row>
    <row r="55" spans="1:23">
      <c r="M55">
        <f>SUM(M40:M50)</f>
        <v>235589.84999999998</v>
      </c>
    </row>
    <row r="57" spans="1:23">
      <c r="A57" s="2198" t="s">
        <v>1270</v>
      </c>
      <c r="B57" s="2199"/>
      <c r="C57" s="2199"/>
      <c r="D57" s="2199"/>
      <c r="E57" s="2199"/>
      <c r="F57" s="2199"/>
    </row>
    <row r="58" spans="1:23" ht="75">
      <c r="A58" s="1510" t="s">
        <v>1271</v>
      </c>
      <c r="B58" s="1510" t="s">
        <v>1272</v>
      </c>
      <c r="C58" s="1510" t="s">
        <v>1273</v>
      </c>
      <c r="D58" s="1510" t="s">
        <v>1274</v>
      </c>
      <c r="E58" s="1510" t="s">
        <v>1275</v>
      </c>
      <c r="F58" s="1510" t="s">
        <v>1276</v>
      </c>
    </row>
    <row r="59" spans="1:23" ht="45">
      <c r="A59" s="1661" t="s">
        <v>1517</v>
      </c>
      <c r="B59" s="1512" t="s">
        <v>1518</v>
      </c>
      <c r="C59" s="1662" t="s">
        <v>1519</v>
      </c>
      <c r="D59" s="1509" t="s">
        <v>1520</v>
      </c>
      <c r="E59" s="1511" t="s">
        <v>1521</v>
      </c>
      <c r="F59" s="1511">
        <v>22</v>
      </c>
    </row>
    <row r="60" spans="1:23" ht="45">
      <c r="A60" s="1661" t="s">
        <v>1522</v>
      </c>
      <c r="B60" s="1512" t="s">
        <v>1518</v>
      </c>
      <c r="C60" s="1512" t="s">
        <v>1519</v>
      </c>
      <c r="D60" s="1509" t="s">
        <v>1520</v>
      </c>
      <c r="E60" s="1511" t="s">
        <v>1523</v>
      </c>
      <c r="F60" s="1511">
        <v>15</v>
      </c>
    </row>
    <row r="61" spans="1:23" ht="45">
      <c r="A61" s="1661" t="s">
        <v>1524</v>
      </c>
      <c r="B61" s="1512" t="s">
        <v>1518</v>
      </c>
      <c r="C61" s="1512" t="s">
        <v>1519</v>
      </c>
      <c r="D61" s="1509" t="s">
        <v>1520</v>
      </c>
      <c r="E61" s="1511" t="s">
        <v>1525</v>
      </c>
      <c r="F61" s="1511">
        <v>15</v>
      </c>
    </row>
    <row r="62" spans="1:23" ht="45">
      <c r="A62" s="1661" t="s">
        <v>1404</v>
      </c>
      <c r="B62" s="1512" t="s">
        <v>1518</v>
      </c>
      <c r="C62" s="1512" t="s">
        <v>1519</v>
      </c>
      <c r="D62" s="1509" t="s">
        <v>1520</v>
      </c>
      <c r="E62" s="1511" t="s">
        <v>1523</v>
      </c>
      <c r="F62" s="1511">
        <v>15</v>
      </c>
    </row>
    <row r="63" spans="1:23" ht="45">
      <c r="A63" s="1513" t="s">
        <v>1526</v>
      </c>
      <c r="B63" s="1512" t="s">
        <v>1518</v>
      </c>
      <c r="C63" s="1512" t="s">
        <v>1519</v>
      </c>
      <c r="D63" s="1509" t="s">
        <v>1520</v>
      </c>
      <c r="E63" s="1511" t="s">
        <v>1527</v>
      </c>
      <c r="F63" s="1511">
        <v>8</v>
      </c>
    </row>
    <row r="64" spans="1:23" ht="45">
      <c r="A64" s="1661" t="s">
        <v>1528</v>
      </c>
      <c r="B64" s="1512" t="s">
        <v>1518</v>
      </c>
      <c r="C64" s="1512" t="s">
        <v>1519</v>
      </c>
      <c r="D64" s="1509" t="s">
        <v>1520</v>
      </c>
      <c r="E64" s="1509" t="s">
        <v>238</v>
      </c>
      <c r="F64" s="1509" t="s">
        <v>1520</v>
      </c>
    </row>
    <row r="65" spans="1:6" ht="45">
      <c r="A65" s="1661" t="s">
        <v>1529</v>
      </c>
      <c r="B65" s="1512" t="s">
        <v>1518</v>
      </c>
      <c r="C65" s="1512" t="s">
        <v>1519</v>
      </c>
      <c r="D65" s="1509" t="s">
        <v>1520</v>
      </c>
      <c r="E65" s="1509" t="s">
        <v>238</v>
      </c>
      <c r="F65" s="1509" t="s">
        <v>1520</v>
      </c>
    </row>
    <row r="66" spans="1:6" ht="45">
      <c r="A66" s="1661" t="s">
        <v>1530</v>
      </c>
      <c r="B66" s="1512" t="s">
        <v>1518</v>
      </c>
      <c r="C66" s="1512" t="s">
        <v>1519</v>
      </c>
      <c r="D66" s="1509" t="s">
        <v>1520</v>
      </c>
      <c r="E66" s="1509" t="s">
        <v>239</v>
      </c>
      <c r="F66" s="1509" t="s">
        <v>1520</v>
      </c>
    </row>
    <row r="67" spans="1:6" ht="45">
      <c r="A67" s="1661" t="s">
        <v>1531</v>
      </c>
      <c r="B67" s="1512" t="s">
        <v>1518</v>
      </c>
      <c r="C67" s="1512" t="s">
        <v>1519</v>
      </c>
      <c r="D67" s="1509" t="s">
        <v>1520</v>
      </c>
      <c r="E67" s="1509" t="s">
        <v>239</v>
      </c>
      <c r="F67" s="1509" t="s">
        <v>1520</v>
      </c>
    </row>
    <row r="68" spans="1:6" ht="45">
      <c r="A68" s="1661" t="s">
        <v>1532</v>
      </c>
      <c r="B68" s="1512" t="s">
        <v>1518</v>
      </c>
      <c r="C68" s="1512" t="s">
        <v>1519</v>
      </c>
      <c r="D68" s="1509" t="s">
        <v>1520</v>
      </c>
      <c r="E68" s="1509" t="s">
        <v>239</v>
      </c>
      <c r="F68" s="1509" t="s">
        <v>1520</v>
      </c>
    </row>
    <row r="69" spans="1:6" ht="45">
      <c r="A69" s="1661" t="s">
        <v>1533</v>
      </c>
      <c r="B69" s="1512" t="s">
        <v>1518</v>
      </c>
      <c r="C69" s="1512" t="s">
        <v>1519</v>
      </c>
      <c r="D69" s="1509" t="s">
        <v>1520</v>
      </c>
      <c r="E69" s="1509" t="s">
        <v>239</v>
      </c>
      <c r="F69" s="1509" t="s">
        <v>1520</v>
      </c>
    </row>
    <row r="70" spans="1:6" ht="45">
      <c r="A70" s="1661" t="s">
        <v>1534</v>
      </c>
      <c r="B70" s="1512" t="s">
        <v>1518</v>
      </c>
      <c r="C70" s="1512" t="s">
        <v>1519</v>
      </c>
      <c r="D70" s="1509" t="s">
        <v>1520</v>
      </c>
      <c r="E70" s="1509" t="s">
        <v>240</v>
      </c>
      <c r="F70" s="1509" t="s">
        <v>1520</v>
      </c>
    </row>
    <row r="71" spans="1:6" ht="45">
      <c r="A71" s="1661" t="s">
        <v>1535</v>
      </c>
      <c r="B71" s="1512" t="s">
        <v>1518</v>
      </c>
      <c r="C71" s="1514" t="s">
        <v>1519</v>
      </c>
      <c r="D71" s="1509" t="s">
        <v>1520</v>
      </c>
      <c r="E71" s="1509" t="s">
        <v>240</v>
      </c>
      <c r="F71" s="1509" t="s">
        <v>1520</v>
      </c>
    </row>
  </sheetData>
  <mergeCells count="56">
    <mergeCell ref="A57:F57"/>
    <mergeCell ref="I13:M13"/>
    <mergeCell ref="N13:R13"/>
    <mergeCell ref="S13:W13"/>
    <mergeCell ref="A18:B20"/>
    <mergeCell ref="F18:H20"/>
    <mergeCell ref="A21:B22"/>
    <mergeCell ref="F21:H22"/>
    <mergeCell ref="A23:B25"/>
    <mergeCell ref="F23:H25"/>
    <mergeCell ref="A26:C26"/>
    <mergeCell ref="F26:H26"/>
    <mergeCell ref="A27:B29"/>
    <mergeCell ref="F27:H29"/>
    <mergeCell ref="A30:B32"/>
    <mergeCell ref="F30:H32"/>
    <mergeCell ref="A10:B10"/>
    <mergeCell ref="E12:H13"/>
    <mergeCell ref="A14:B14"/>
    <mergeCell ref="F14:H14"/>
    <mergeCell ref="A15:B17"/>
    <mergeCell ref="F15:H17"/>
    <mergeCell ref="C10:H10"/>
    <mergeCell ref="B2:D2"/>
    <mergeCell ref="B3:D3"/>
    <mergeCell ref="B8:D8"/>
    <mergeCell ref="B4:D4"/>
    <mergeCell ref="B6:D6"/>
    <mergeCell ref="A33:B33"/>
    <mergeCell ref="F33:H33"/>
    <mergeCell ref="A34:B34"/>
    <mergeCell ref="F34:H34"/>
    <mergeCell ref="A35:B36"/>
    <mergeCell ref="F35:H36"/>
    <mergeCell ref="A37:B39"/>
    <mergeCell ref="F37:H37"/>
    <mergeCell ref="F38:H39"/>
    <mergeCell ref="A40:B42"/>
    <mergeCell ref="F40:H41"/>
    <mergeCell ref="F42:H42"/>
    <mergeCell ref="A43:C43"/>
    <mergeCell ref="F43:H43"/>
    <mergeCell ref="A44:C44"/>
    <mergeCell ref="F44:H44"/>
    <mergeCell ref="A45:B48"/>
    <mergeCell ref="F45:H45"/>
    <mergeCell ref="F46:H46"/>
    <mergeCell ref="F47:H47"/>
    <mergeCell ref="F48:H48"/>
    <mergeCell ref="A49:B50"/>
    <mergeCell ref="F49:H49"/>
    <mergeCell ref="F50:H50"/>
    <mergeCell ref="A51:B53"/>
    <mergeCell ref="F51:H51"/>
    <mergeCell ref="F52:H52"/>
    <mergeCell ref="F53:H53"/>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2" location="SOMMAIRE!A1" display="Retour sommaire"/>
    <hyperlink ref="J4" location="SYNTHESE!A1" display="Retour synthèse"/>
  </hyperlinks>
  <pageMargins left="0.7" right="0.7" top="0.75" bottom="0.75" header="0.3" footer="0.3"/>
  <pageSetup paperSize="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W83"/>
  <sheetViews>
    <sheetView topLeftCell="A40" workbookViewId="0">
      <selection activeCell="F45" sqref="F45:H45"/>
    </sheetView>
  </sheetViews>
  <sheetFormatPr baseColWidth="10" defaultRowHeight="15"/>
  <cols>
    <col min="1" max="1" width="20.42578125" style="1" bestFit="1" customWidth="1"/>
    <col min="2" max="2" width="16.85546875" style="1" customWidth="1"/>
    <col min="3" max="3" width="46.85546875" style="1" customWidth="1"/>
    <col min="4" max="4" width="9.140625" style="1" customWidth="1"/>
    <col min="5" max="5" width="8.28515625" style="1" customWidth="1"/>
    <col min="6" max="6" width="16.28515625" style="1" bestFit="1" customWidth="1"/>
    <col min="7" max="7" width="15.28515625" style="1" bestFit="1" customWidth="1"/>
    <col min="8" max="8" width="16.5703125" bestFit="1" customWidth="1"/>
    <col min="10" max="10" width="16.42578125" bestFit="1" customWidth="1"/>
  </cols>
  <sheetData>
    <row r="1" spans="1:23" ht="15.75" thickBot="1">
      <c r="A1" s="327"/>
      <c r="B1" s="327"/>
      <c r="C1" s="327"/>
      <c r="D1" s="327"/>
      <c r="E1" s="327"/>
      <c r="F1" s="327"/>
      <c r="G1" s="327"/>
      <c r="H1" s="327"/>
    </row>
    <row r="2" spans="1:23" ht="15.75" thickBot="1">
      <c r="A2" s="328" t="s">
        <v>0</v>
      </c>
      <c r="B2" s="2029" t="s">
        <v>647</v>
      </c>
      <c r="C2" s="1776"/>
      <c r="D2" s="1777"/>
      <c r="E2" s="329"/>
      <c r="F2" s="329"/>
      <c r="G2" s="330" t="s">
        <v>462</v>
      </c>
      <c r="H2" s="112" t="s">
        <v>53</v>
      </c>
    </row>
    <row r="3" spans="1:23" ht="15.75" thickBot="1">
      <c r="A3" s="331" t="s">
        <v>344</v>
      </c>
      <c r="B3" s="1807" t="s">
        <v>596</v>
      </c>
      <c r="C3" s="1880"/>
      <c r="D3" s="1881"/>
      <c r="E3" s="329"/>
      <c r="F3" s="329"/>
      <c r="G3" s="332" t="s">
        <v>10</v>
      </c>
      <c r="H3" s="112" t="s">
        <v>16</v>
      </c>
      <c r="J3" s="13" t="s">
        <v>73</v>
      </c>
    </row>
    <row r="4" spans="1:23" ht="15.75" customHeight="1" thickBot="1">
      <c r="A4" s="332" t="s">
        <v>3</v>
      </c>
      <c r="B4" s="1809" t="s">
        <v>648</v>
      </c>
      <c r="C4" s="1776"/>
      <c r="D4" s="1777"/>
      <c r="E4" s="333"/>
      <c r="F4" s="329"/>
      <c r="G4" s="334" t="s">
        <v>26</v>
      </c>
      <c r="H4" s="392">
        <v>10</v>
      </c>
    </row>
    <row r="5" spans="1:23" ht="15.75" customHeight="1" thickBot="1">
      <c r="A5" s="329"/>
      <c r="B5" s="329"/>
      <c r="C5" s="329"/>
      <c r="D5" s="329"/>
      <c r="E5" s="329"/>
      <c r="F5" s="329"/>
      <c r="G5" s="329"/>
      <c r="H5" s="329"/>
      <c r="J5" s="13" t="s">
        <v>381</v>
      </c>
    </row>
    <row r="6" spans="1:23" ht="75.75" thickBot="1">
      <c r="A6" s="328" t="s">
        <v>465</v>
      </c>
      <c r="B6" s="1810" t="s">
        <v>1598</v>
      </c>
      <c r="C6" s="1811"/>
      <c r="D6" s="1812"/>
      <c r="E6" s="329"/>
      <c r="F6" s="329"/>
      <c r="G6" s="335" t="s">
        <v>466</v>
      </c>
      <c r="H6" s="178" t="s">
        <v>649</v>
      </c>
    </row>
    <row r="7" spans="1:23" ht="15.75" thickBot="1">
      <c r="A7" s="327"/>
      <c r="B7" s="329"/>
      <c r="C7" s="329"/>
      <c r="D7" s="329"/>
      <c r="E7" s="329"/>
      <c r="F7" s="329"/>
      <c r="G7" s="337"/>
      <c r="H7" s="329"/>
    </row>
    <row r="8" spans="1:23" ht="30.75" customHeight="1" thickBot="1">
      <c r="A8" s="338" t="s">
        <v>7</v>
      </c>
      <c r="B8" s="1823" t="s">
        <v>650</v>
      </c>
      <c r="C8" s="1776"/>
      <c r="D8" s="1777"/>
      <c r="E8" s="333"/>
      <c r="F8" s="339"/>
      <c r="G8" s="338" t="s">
        <v>469</v>
      </c>
      <c r="H8" s="123" t="s">
        <v>508</v>
      </c>
    </row>
    <row r="9" spans="1:23" ht="15.75" thickBot="1">
      <c r="A9" s="327"/>
      <c r="B9" s="329"/>
      <c r="C9" s="329"/>
      <c r="D9" s="329"/>
      <c r="E9" s="329"/>
      <c r="F9" s="329"/>
      <c r="G9" s="337"/>
      <c r="H9" s="329"/>
    </row>
    <row r="10" spans="1:23" ht="330" customHeight="1" thickBot="1">
      <c r="A10" s="1813" t="s">
        <v>471</v>
      </c>
      <c r="B10" s="1772"/>
      <c r="C10" s="2503" t="s">
        <v>1268</v>
      </c>
      <c r="D10" s="2504"/>
      <c r="E10" s="2504"/>
      <c r="F10" s="2504"/>
      <c r="G10" s="2504"/>
      <c r="H10" s="2505"/>
      <c r="I10" s="35"/>
      <c r="J10" s="1259"/>
      <c r="K10" s="35"/>
      <c r="L10" s="35"/>
      <c r="M10" s="35"/>
    </row>
    <row r="11" spans="1:23">
      <c r="A11" s="343"/>
      <c r="B11" s="333"/>
      <c r="C11" s="333"/>
      <c r="D11" s="333"/>
      <c r="E11" s="333"/>
      <c r="F11" s="339"/>
      <c r="G11" s="342"/>
      <c r="H11" s="342"/>
      <c r="I11" s="35"/>
      <c r="J11" s="35"/>
      <c r="K11" s="35"/>
      <c r="L11" s="35"/>
      <c r="M11" s="35"/>
    </row>
    <row r="12" spans="1:23" ht="15" customHeight="1">
      <c r="A12" s="343"/>
      <c r="B12" s="333"/>
      <c r="C12" s="333"/>
      <c r="D12" s="333"/>
      <c r="E12" s="1814" t="s">
        <v>473</v>
      </c>
      <c r="F12" s="1772"/>
      <c r="G12" s="1772"/>
      <c r="H12" s="1772"/>
      <c r="I12" s="35"/>
      <c r="K12" s="35"/>
      <c r="L12" s="35"/>
      <c r="M12" s="35"/>
    </row>
    <row r="13" spans="1:23" ht="15" customHeight="1">
      <c r="A13" s="329"/>
      <c r="B13" s="329"/>
      <c r="C13" s="329"/>
      <c r="D13" s="329"/>
      <c r="E13" s="1780"/>
      <c r="F13" s="1780"/>
      <c r="G13" s="1780"/>
      <c r="H13" s="1780"/>
      <c r="I13" s="1817">
        <v>2025</v>
      </c>
      <c r="J13" s="1762"/>
      <c r="K13" s="1762"/>
      <c r="L13" s="1762"/>
      <c r="M13" s="1764"/>
      <c r="N13" s="1817">
        <v>2026</v>
      </c>
      <c r="O13" s="1762"/>
      <c r="P13" s="1762"/>
      <c r="Q13" s="1762"/>
      <c r="R13" s="1764"/>
      <c r="S13" s="1817">
        <v>2027</v>
      </c>
      <c r="T13" s="1762"/>
      <c r="U13" s="1762"/>
      <c r="V13" s="1762"/>
      <c r="W13" s="1764"/>
    </row>
    <row r="14" spans="1:23" ht="45.75" thickBot="1">
      <c r="A14" s="1816" t="s">
        <v>5</v>
      </c>
      <c r="B14" s="1792"/>
      <c r="C14" s="344" t="s">
        <v>1</v>
      </c>
      <c r="D14" s="344" t="s">
        <v>260</v>
      </c>
      <c r="E14" s="345" t="s">
        <v>474</v>
      </c>
      <c r="F14" s="1866" t="s">
        <v>6</v>
      </c>
      <c r="G14" s="1771"/>
      <c r="H14" s="1792"/>
      <c r="I14" s="643" t="s">
        <v>474</v>
      </c>
      <c r="J14" s="644" t="s">
        <v>944</v>
      </c>
      <c r="K14" s="645" t="s">
        <v>945</v>
      </c>
      <c r="L14" s="644" t="s">
        <v>946</v>
      </c>
      <c r="M14" s="646" t="s">
        <v>947</v>
      </c>
      <c r="N14" s="643" t="s">
        <v>474</v>
      </c>
      <c r="O14" s="644" t="s">
        <v>944</v>
      </c>
      <c r="P14" s="645" t="s">
        <v>945</v>
      </c>
      <c r="Q14" s="644" t="s">
        <v>946</v>
      </c>
      <c r="R14" s="646" t="s">
        <v>947</v>
      </c>
      <c r="S14" s="643" t="s">
        <v>474</v>
      </c>
      <c r="T14" s="644" t="s">
        <v>944</v>
      </c>
      <c r="U14" s="645" t="s">
        <v>945</v>
      </c>
      <c r="V14" s="644" t="s">
        <v>946</v>
      </c>
      <c r="W14" s="646" t="s">
        <v>947</v>
      </c>
    </row>
    <row r="15" spans="1:23" ht="30.75" customHeight="1">
      <c r="A15" s="1804" t="s">
        <v>17</v>
      </c>
      <c r="B15" s="1771"/>
      <c r="C15" s="423" t="s">
        <v>59</v>
      </c>
      <c r="D15" s="396" t="s">
        <v>251</v>
      </c>
      <c r="E15" s="424"/>
      <c r="F15" s="1873" t="s">
        <v>651</v>
      </c>
      <c r="G15" s="1874"/>
      <c r="H15" s="1875"/>
      <c r="I15" s="1176"/>
      <c r="J15" s="1177"/>
      <c r="K15" s="1177"/>
      <c r="L15" s="1177"/>
      <c r="M15" s="1177"/>
      <c r="N15" s="1176"/>
      <c r="O15" s="1177"/>
      <c r="P15" s="1177"/>
      <c r="Q15" s="1177"/>
      <c r="R15" s="1177"/>
      <c r="S15" s="1176"/>
      <c r="T15" s="1177"/>
      <c r="U15" s="1177"/>
      <c r="V15" s="1177"/>
      <c r="W15" s="1177"/>
    </row>
    <row r="16" spans="1:23" ht="28.5" customHeight="1">
      <c r="A16" s="1772"/>
      <c r="B16" s="1772"/>
      <c r="C16" s="425" t="s">
        <v>18</v>
      </c>
      <c r="D16" s="350" t="s">
        <v>168</v>
      </c>
      <c r="E16" s="398" t="s">
        <v>277</v>
      </c>
      <c r="F16" s="2294"/>
      <c r="G16" s="2294"/>
      <c r="H16" s="1877"/>
      <c r="I16" s="709" t="s">
        <v>277</v>
      </c>
      <c r="J16" s="1207">
        <v>1</v>
      </c>
      <c r="K16" s="1207"/>
      <c r="L16" s="1207">
        <v>80</v>
      </c>
      <c r="M16" s="1207">
        <f>L16*5*281</f>
        <v>112400</v>
      </c>
      <c r="N16" s="709" t="s">
        <v>277</v>
      </c>
      <c r="O16" s="1207">
        <v>1</v>
      </c>
      <c r="P16" s="1207"/>
      <c r="Q16" s="1207">
        <v>80</v>
      </c>
      <c r="R16" s="1207">
        <f>Q16*5*281</f>
        <v>112400</v>
      </c>
      <c r="S16" s="709" t="s">
        <v>277</v>
      </c>
      <c r="T16" s="1207">
        <v>1</v>
      </c>
      <c r="U16" s="1207"/>
      <c r="V16" s="1207">
        <v>80</v>
      </c>
      <c r="W16" s="1207">
        <f>V16*5*281</f>
        <v>112400</v>
      </c>
    </row>
    <row r="17" spans="1:23" ht="48.75" customHeight="1" thickBot="1">
      <c r="A17" s="1780"/>
      <c r="B17" s="1780"/>
      <c r="C17" s="426" t="s">
        <v>19</v>
      </c>
      <c r="D17" s="427" t="s">
        <v>233</v>
      </c>
      <c r="E17" s="428" t="s">
        <v>277</v>
      </c>
      <c r="F17" s="1878"/>
      <c r="G17" s="1878"/>
      <c r="H17" s="1879"/>
      <c r="I17" s="711" t="s">
        <v>277</v>
      </c>
      <c r="J17" s="1207">
        <v>1</v>
      </c>
      <c r="K17" s="1207"/>
      <c r="L17" s="1207">
        <v>80</v>
      </c>
      <c r="M17" s="1207">
        <f>L17*5*143</f>
        <v>57200</v>
      </c>
      <c r="N17" s="711" t="s">
        <v>277</v>
      </c>
      <c r="O17" s="1207">
        <v>1</v>
      </c>
      <c r="P17" s="1207"/>
      <c r="Q17" s="1207">
        <v>80</v>
      </c>
      <c r="R17" s="1207">
        <f>Q17*5*143</f>
        <v>57200</v>
      </c>
      <c r="S17" s="711" t="s">
        <v>277</v>
      </c>
      <c r="T17" s="1207">
        <v>1</v>
      </c>
      <c r="U17" s="1207"/>
      <c r="V17" s="1207">
        <v>80</v>
      </c>
      <c r="W17" s="1207">
        <f>V17*5*143</f>
        <v>57200</v>
      </c>
    </row>
    <row r="18" spans="1:23" ht="15" customHeight="1">
      <c r="A18" s="1804" t="s">
        <v>20</v>
      </c>
      <c r="B18" s="1771"/>
      <c r="C18" s="429" t="s">
        <v>54</v>
      </c>
      <c r="D18" s="430" t="s">
        <v>261</v>
      </c>
      <c r="E18" s="431"/>
      <c r="F18" s="1873" t="s">
        <v>475</v>
      </c>
      <c r="G18" s="1874"/>
      <c r="H18" s="1875"/>
      <c r="I18" s="1212"/>
      <c r="J18" s="1207"/>
      <c r="K18" s="1207"/>
      <c r="L18" s="1207"/>
      <c r="M18" s="1207"/>
      <c r="N18" s="1212"/>
      <c r="O18" s="1207"/>
      <c r="P18" s="1207"/>
      <c r="Q18" s="1207"/>
      <c r="R18" s="1207"/>
      <c r="S18" s="1212"/>
      <c r="T18" s="1207"/>
      <c r="U18" s="1207"/>
      <c r="V18" s="1207"/>
      <c r="W18" s="1207"/>
    </row>
    <row r="19" spans="1:23" ht="25.5" customHeight="1">
      <c r="A19" s="1772"/>
      <c r="B19" s="1772"/>
      <c r="C19" s="432" t="s">
        <v>21</v>
      </c>
      <c r="D19" s="353" t="s">
        <v>234</v>
      </c>
      <c r="E19" s="433"/>
      <c r="F19" s="2294"/>
      <c r="G19" s="2294"/>
      <c r="H19" s="1877"/>
      <c r="I19" s="1212"/>
      <c r="J19" s="1207"/>
      <c r="K19" s="1207"/>
      <c r="L19" s="1207"/>
      <c r="M19" s="1207"/>
      <c r="N19" s="1212"/>
      <c r="O19" s="1207"/>
      <c r="P19" s="1207"/>
      <c r="Q19" s="1207"/>
      <c r="R19" s="1207"/>
      <c r="S19" s="1212"/>
      <c r="T19" s="1207"/>
      <c r="U19" s="1207"/>
      <c r="V19" s="1207"/>
      <c r="W19" s="1207"/>
    </row>
    <row r="20" spans="1:23" ht="25.5" customHeight="1" thickBot="1">
      <c r="A20" s="1772"/>
      <c r="B20" s="1772"/>
      <c r="C20" s="434" t="s">
        <v>22</v>
      </c>
      <c r="D20" s="427" t="s">
        <v>235</v>
      </c>
      <c r="E20" s="435"/>
      <c r="F20" s="1878"/>
      <c r="G20" s="1878"/>
      <c r="H20" s="1879"/>
      <c r="I20" s="1212"/>
      <c r="J20" s="1207"/>
      <c r="K20" s="1207"/>
      <c r="L20" s="1207"/>
      <c r="M20" s="1207"/>
      <c r="N20" s="1212"/>
      <c r="O20" s="1207"/>
      <c r="P20" s="1207"/>
      <c r="Q20" s="1207"/>
      <c r="R20" s="1207"/>
      <c r="S20" s="1212"/>
      <c r="T20" s="1207"/>
      <c r="U20" s="1207"/>
      <c r="V20" s="1207"/>
      <c r="W20" s="1207"/>
    </row>
    <row r="21" spans="1:23" ht="30" customHeight="1">
      <c r="A21" s="1804" t="s">
        <v>23</v>
      </c>
      <c r="B21" s="1771"/>
      <c r="C21" s="436" t="s">
        <v>69</v>
      </c>
      <c r="D21" s="430" t="s">
        <v>267</v>
      </c>
      <c r="E21" s="437"/>
      <c r="F21" s="2509" t="s">
        <v>652</v>
      </c>
      <c r="G21" s="2510"/>
      <c r="H21" s="2511"/>
      <c r="I21" s="1213"/>
      <c r="J21" s="1214"/>
      <c r="K21" s="1214"/>
      <c r="L21" s="1214"/>
      <c r="M21" s="1214"/>
      <c r="N21" s="1213"/>
      <c r="O21" s="1214"/>
      <c r="P21" s="1214"/>
      <c r="Q21" s="1214"/>
      <c r="R21" s="1214"/>
      <c r="S21" s="1213"/>
      <c r="T21" s="1214"/>
      <c r="U21" s="1214"/>
      <c r="V21" s="1214"/>
      <c r="W21" s="1214"/>
    </row>
    <row r="22" spans="1:23" ht="15" customHeight="1" thickBot="1">
      <c r="A22" s="1780"/>
      <c r="B22" s="1780"/>
      <c r="C22" s="438" t="s">
        <v>24</v>
      </c>
      <c r="D22" s="439" t="s">
        <v>236</v>
      </c>
      <c r="E22" s="440"/>
      <c r="F22" s="2498"/>
      <c r="G22" s="2498"/>
      <c r="H22" s="2499"/>
      <c r="I22" s="713"/>
      <c r="J22" s="1214"/>
      <c r="K22" s="1214"/>
      <c r="L22" s="1214"/>
      <c r="M22" s="1214"/>
      <c r="N22" s="713"/>
      <c r="O22" s="1214"/>
      <c r="P22" s="1214"/>
      <c r="Q22" s="1214"/>
      <c r="R22" s="1214"/>
      <c r="S22" s="713"/>
      <c r="T22" s="1214"/>
      <c r="U22" s="1214"/>
      <c r="V22" s="1214"/>
      <c r="W22" s="1214"/>
    </row>
    <row r="23" spans="1:23" ht="15.75" customHeight="1">
      <c r="A23" s="1801" t="s">
        <v>478</v>
      </c>
      <c r="B23" s="1771"/>
      <c r="C23" s="441" t="s">
        <v>360</v>
      </c>
      <c r="D23" s="442" t="s">
        <v>265</v>
      </c>
      <c r="E23" s="431"/>
      <c r="F23" s="2509" t="s">
        <v>477</v>
      </c>
      <c r="G23" s="2510"/>
      <c r="H23" s="2511"/>
      <c r="I23" s="1213"/>
      <c r="J23" s="1214"/>
      <c r="K23" s="1214"/>
      <c r="L23" s="1214"/>
      <c r="M23" s="1214"/>
      <c r="N23" s="1213"/>
      <c r="O23" s="1214"/>
      <c r="P23" s="1214"/>
      <c r="Q23" s="1214"/>
      <c r="R23" s="1214"/>
      <c r="S23" s="1213"/>
      <c r="T23" s="1214"/>
      <c r="U23" s="1214"/>
      <c r="V23" s="1214"/>
      <c r="W23" s="1214"/>
    </row>
    <row r="24" spans="1:23" ht="30" customHeight="1">
      <c r="A24" s="1779"/>
      <c r="B24" s="1772"/>
      <c r="C24" s="443" t="s">
        <v>361</v>
      </c>
      <c r="D24" s="358" t="s">
        <v>362</v>
      </c>
      <c r="E24" s="433"/>
      <c r="F24" s="2512"/>
      <c r="G24" s="2512"/>
      <c r="H24" s="2513"/>
      <c r="I24" s="1213"/>
      <c r="J24" s="1214"/>
      <c r="K24" s="1214"/>
      <c r="L24" s="1214"/>
      <c r="M24" s="1214"/>
      <c r="N24" s="1213"/>
      <c r="O24" s="1214"/>
      <c r="P24" s="1214"/>
      <c r="Q24" s="1214"/>
      <c r="R24" s="1214"/>
      <c r="S24" s="1213"/>
      <c r="T24" s="1214"/>
      <c r="U24" s="1214"/>
      <c r="V24" s="1214"/>
      <c r="W24" s="1214"/>
    </row>
    <row r="25" spans="1:23" ht="30" customHeight="1" thickBot="1">
      <c r="A25" s="1779"/>
      <c r="B25" s="1772"/>
      <c r="C25" s="444" t="s">
        <v>479</v>
      </c>
      <c r="D25" s="445" t="s">
        <v>480</v>
      </c>
      <c r="E25" s="446"/>
      <c r="F25" s="2148"/>
      <c r="G25" s="2148"/>
      <c r="H25" s="2513"/>
      <c r="I25" s="1213"/>
      <c r="J25" s="1214"/>
      <c r="K25" s="1214"/>
      <c r="L25" s="1214"/>
      <c r="M25" s="1214"/>
      <c r="N25" s="1213"/>
      <c r="O25" s="1214"/>
      <c r="P25" s="1214"/>
      <c r="Q25" s="1214"/>
      <c r="R25" s="1214"/>
      <c r="S25" s="1213"/>
      <c r="T25" s="1214"/>
      <c r="U25" s="1214"/>
      <c r="V25" s="1214"/>
      <c r="W25" s="1214"/>
    </row>
    <row r="26" spans="1:23" ht="15.75" customHeight="1" thickBot="1">
      <c r="A26" s="2514" t="s">
        <v>25</v>
      </c>
      <c r="B26" s="2482"/>
      <c r="C26" s="2491"/>
      <c r="D26" s="447" t="s">
        <v>270</v>
      </c>
      <c r="E26" s="448"/>
      <c r="F26" s="2492" t="s">
        <v>652</v>
      </c>
      <c r="G26" s="2515"/>
      <c r="H26" s="2516"/>
      <c r="I26" s="713"/>
      <c r="J26" s="1214"/>
      <c r="K26" s="1214"/>
      <c r="L26" s="1214"/>
      <c r="M26" s="1214"/>
      <c r="N26" s="713"/>
      <c r="O26" s="1214"/>
      <c r="P26" s="1214"/>
      <c r="Q26" s="1214"/>
      <c r="R26" s="1214"/>
      <c r="S26" s="713"/>
      <c r="T26" s="1214"/>
      <c r="U26" s="1214"/>
      <c r="V26" s="1214"/>
      <c r="W26" s="1214"/>
    </row>
    <row r="27" spans="1:23" ht="15.75" customHeight="1">
      <c r="A27" s="1803" t="s">
        <v>153</v>
      </c>
      <c r="B27" s="1772"/>
      <c r="C27" s="449" t="s">
        <v>152</v>
      </c>
      <c r="D27" s="450" t="s">
        <v>268</v>
      </c>
      <c r="E27" s="431"/>
      <c r="F27" s="2502" t="s">
        <v>475</v>
      </c>
      <c r="G27" s="1874"/>
      <c r="H27" s="1875"/>
      <c r="I27" s="1213"/>
      <c r="J27" s="1214"/>
      <c r="K27" s="1214"/>
      <c r="L27" s="1214"/>
      <c r="M27" s="1214"/>
      <c r="N27" s="1213"/>
      <c r="O27" s="1214"/>
      <c r="P27" s="1214"/>
      <c r="Q27" s="1214"/>
      <c r="R27" s="1214"/>
      <c r="S27" s="1213"/>
      <c r="T27" s="1214"/>
      <c r="U27" s="1214"/>
      <c r="V27" s="1214"/>
      <c r="W27" s="1214"/>
    </row>
    <row r="28" spans="1:23" ht="15.75">
      <c r="A28" s="1779"/>
      <c r="B28" s="1772"/>
      <c r="C28" s="451" t="s">
        <v>154</v>
      </c>
      <c r="D28" s="364" t="s">
        <v>392</v>
      </c>
      <c r="E28" s="433"/>
      <c r="F28" s="2294"/>
      <c r="G28" s="2294"/>
      <c r="H28" s="1877"/>
      <c r="I28" s="1212"/>
      <c r="J28" s="1207"/>
      <c r="K28" s="1207"/>
      <c r="L28" s="1207"/>
      <c r="M28" s="1207"/>
      <c r="N28" s="1212"/>
      <c r="O28" s="1207"/>
      <c r="P28" s="1207"/>
      <c r="Q28" s="1207"/>
      <c r="R28" s="1207"/>
      <c r="S28" s="1212"/>
      <c r="T28" s="1207"/>
      <c r="U28" s="1207"/>
      <c r="V28" s="1207"/>
      <c r="W28" s="1207"/>
    </row>
    <row r="29" spans="1:23" ht="16.5" thickBot="1">
      <c r="A29" s="1767"/>
      <c r="B29" s="1780"/>
      <c r="C29" s="452" t="s">
        <v>400</v>
      </c>
      <c r="D29" s="453" t="s">
        <v>393</v>
      </c>
      <c r="E29" s="435"/>
      <c r="F29" s="1878"/>
      <c r="G29" s="1878"/>
      <c r="H29" s="1879"/>
      <c r="I29" s="1212"/>
      <c r="J29" s="1207"/>
      <c r="K29" s="1207"/>
      <c r="L29" s="1207"/>
      <c r="M29" s="1207"/>
      <c r="N29" s="1212"/>
      <c r="O29" s="1207"/>
      <c r="P29" s="1207"/>
      <c r="Q29" s="1207"/>
      <c r="R29" s="1207"/>
      <c r="S29" s="1212"/>
      <c r="T29" s="1207"/>
      <c r="U29" s="1207"/>
      <c r="V29" s="1207"/>
      <c r="W29" s="1207"/>
    </row>
    <row r="30" spans="1:23" ht="15.75">
      <c r="A30" s="1797" t="s">
        <v>153</v>
      </c>
      <c r="B30" s="1771"/>
      <c r="C30" s="449" t="s">
        <v>155</v>
      </c>
      <c r="D30" s="450" t="s">
        <v>266</v>
      </c>
      <c r="E30" s="431"/>
      <c r="F30" s="2502" t="s">
        <v>475</v>
      </c>
      <c r="G30" s="1874"/>
      <c r="H30" s="1875"/>
      <c r="I30" s="1212"/>
      <c r="J30" s="1207"/>
      <c r="K30" s="1207"/>
      <c r="L30" s="1207"/>
      <c r="M30" s="1207"/>
      <c r="N30" s="1212"/>
      <c r="O30" s="1207"/>
      <c r="P30" s="1207"/>
      <c r="Q30" s="1207"/>
      <c r="R30" s="1207"/>
      <c r="S30" s="1212"/>
      <c r="T30" s="1207"/>
      <c r="U30" s="1207"/>
      <c r="V30" s="1207"/>
      <c r="W30" s="1207"/>
    </row>
    <row r="31" spans="1:23" ht="15.75">
      <c r="A31" s="1779"/>
      <c r="B31" s="1772"/>
      <c r="C31" s="451" t="s">
        <v>156</v>
      </c>
      <c r="D31" s="364" t="s">
        <v>394</v>
      </c>
      <c r="E31" s="433"/>
      <c r="F31" s="2294"/>
      <c r="G31" s="2294"/>
      <c r="H31" s="1877"/>
      <c r="I31" s="1212"/>
      <c r="J31" s="1207"/>
      <c r="K31" s="1207"/>
      <c r="L31" s="1207"/>
      <c r="M31" s="1207"/>
      <c r="N31" s="1212"/>
      <c r="O31" s="1207"/>
      <c r="P31" s="1207"/>
      <c r="Q31" s="1207"/>
      <c r="R31" s="1207"/>
      <c r="S31" s="1212"/>
      <c r="T31" s="1207"/>
      <c r="U31" s="1207"/>
      <c r="V31" s="1207"/>
      <c r="W31" s="1207"/>
    </row>
    <row r="32" spans="1:23" ht="16.5" thickBot="1">
      <c r="A32" s="1767"/>
      <c r="B32" s="1780"/>
      <c r="C32" s="452" t="s">
        <v>399</v>
      </c>
      <c r="D32" s="453" t="s">
        <v>395</v>
      </c>
      <c r="E32" s="435"/>
      <c r="F32" s="1878"/>
      <c r="G32" s="1878"/>
      <c r="H32" s="1879"/>
      <c r="I32" s="1212"/>
      <c r="J32" s="1207"/>
      <c r="K32" s="1207"/>
      <c r="L32" s="1207"/>
      <c r="M32" s="1207"/>
      <c r="N32" s="1212"/>
      <c r="O32" s="1207"/>
      <c r="P32" s="1207"/>
      <c r="Q32" s="1207"/>
      <c r="R32" s="1207"/>
      <c r="S32" s="1212"/>
      <c r="T32" s="1207"/>
      <c r="U32" s="1207"/>
      <c r="V32" s="1207"/>
      <c r="W32" s="1207"/>
    </row>
    <row r="33" spans="1:23" ht="16.5" thickBot="1">
      <c r="A33" s="1797" t="s">
        <v>482</v>
      </c>
      <c r="B33" s="1771"/>
      <c r="C33" s="454" t="s">
        <v>365</v>
      </c>
      <c r="D33" s="455" t="s">
        <v>252</v>
      </c>
      <c r="E33" s="456"/>
      <c r="F33" s="2481" t="s">
        <v>483</v>
      </c>
      <c r="G33" s="2482"/>
      <c r="H33" s="2483"/>
      <c r="I33" s="1212"/>
      <c r="J33" s="1207"/>
      <c r="K33" s="1207"/>
      <c r="L33" s="1207"/>
      <c r="M33" s="1207"/>
      <c r="N33" s="1212"/>
      <c r="O33" s="1207"/>
      <c r="P33" s="1207"/>
      <c r="Q33" s="1207"/>
      <c r="R33" s="1207"/>
      <c r="S33" s="1212"/>
      <c r="T33" s="1207"/>
      <c r="U33" s="1207"/>
      <c r="V33" s="1207"/>
      <c r="W33" s="1207"/>
    </row>
    <row r="34" spans="1:23" ht="16.5" thickBot="1">
      <c r="A34" s="1797" t="s">
        <v>484</v>
      </c>
      <c r="B34" s="1771"/>
      <c r="C34" s="454" t="s">
        <v>485</v>
      </c>
      <c r="D34" s="455" t="s">
        <v>264</v>
      </c>
      <c r="E34" s="456"/>
      <c r="F34" s="2501"/>
      <c r="G34" s="2482"/>
      <c r="H34" s="2483"/>
      <c r="I34" s="1212"/>
      <c r="J34" s="1207"/>
      <c r="K34" s="1207"/>
      <c r="L34" s="1207"/>
      <c r="M34" s="1207"/>
      <c r="N34" s="1212"/>
      <c r="O34" s="1207"/>
      <c r="P34" s="1207"/>
      <c r="Q34" s="1207"/>
      <c r="R34" s="1207"/>
      <c r="S34" s="1212"/>
      <c r="T34" s="1207"/>
      <c r="U34" s="1207"/>
      <c r="V34" s="1207"/>
      <c r="W34" s="1207"/>
    </row>
    <row r="35" spans="1:23" ht="15.75">
      <c r="A35" s="1795" t="s">
        <v>486</v>
      </c>
      <c r="B35" s="1771"/>
      <c r="C35" s="457" t="s">
        <v>43</v>
      </c>
      <c r="D35" s="458" t="s">
        <v>256</v>
      </c>
      <c r="E35" s="431"/>
      <c r="F35" s="2502" t="s">
        <v>487</v>
      </c>
      <c r="G35" s="1874"/>
      <c r="H35" s="1875"/>
      <c r="I35" s="1212"/>
      <c r="J35" s="1207"/>
      <c r="K35" s="1207"/>
      <c r="L35" s="1207"/>
      <c r="M35" s="1207"/>
      <c r="N35" s="1212"/>
      <c r="O35" s="1207"/>
      <c r="P35" s="1207"/>
      <c r="Q35" s="1207"/>
      <c r="R35" s="1207"/>
      <c r="S35" s="1212"/>
      <c r="T35" s="1207"/>
      <c r="U35" s="1207"/>
      <c r="V35" s="1207"/>
      <c r="W35" s="1207"/>
    </row>
    <row r="36" spans="1:23" ht="16.5" thickBot="1">
      <c r="A36" s="1767"/>
      <c r="B36" s="1780"/>
      <c r="C36" s="459" t="s">
        <v>60</v>
      </c>
      <c r="D36" s="460" t="s">
        <v>257</v>
      </c>
      <c r="E36" s="435"/>
      <c r="F36" s="1878"/>
      <c r="G36" s="1878"/>
      <c r="H36" s="1879"/>
      <c r="I36" s="1212"/>
      <c r="J36" s="1207"/>
      <c r="K36" s="1207"/>
      <c r="L36" s="1207"/>
      <c r="M36" s="1207"/>
      <c r="N36" s="1212"/>
      <c r="O36" s="1207"/>
      <c r="P36" s="1207"/>
      <c r="Q36" s="1207"/>
      <c r="R36" s="1207"/>
      <c r="S36" s="1212"/>
      <c r="T36" s="1207"/>
      <c r="U36" s="1207"/>
      <c r="V36" s="1207"/>
      <c r="W36" s="1207"/>
    </row>
    <row r="37" spans="1:23" ht="30">
      <c r="A37" s="1796" t="s">
        <v>33</v>
      </c>
      <c r="B37" s="1771"/>
      <c r="C37" s="461" t="s">
        <v>30</v>
      </c>
      <c r="D37" s="462" t="s">
        <v>170</v>
      </c>
      <c r="E37" s="463" t="s">
        <v>277</v>
      </c>
      <c r="F37" s="2497" t="s">
        <v>601</v>
      </c>
      <c r="G37" s="1874"/>
      <c r="H37" s="1875"/>
      <c r="I37" s="711" t="s">
        <v>277</v>
      </c>
      <c r="J37" s="1207">
        <v>1</v>
      </c>
      <c r="K37" s="1207"/>
      <c r="L37" s="1207">
        <v>30</v>
      </c>
      <c r="M37" s="1207">
        <f>L37*5*177</f>
        <v>26550</v>
      </c>
      <c r="N37" s="711" t="s">
        <v>277</v>
      </c>
      <c r="O37" s="1207">
        <v>1</v>
      </c>
      <c r="P37" s="1207"/>
      <c r="Q37" s="1207">
        <v>30</v>
      </c>
      <c r="R37" s="1207">
        <f>Q37*5*177</f>
        <v>26550</v>
      </c>
      <c r="S37" s="711" t="s">
        <v>277</v>
      </c>
      <c r="T37" s="1207">
        <v>1</v>
      </c>
      <c r="U37" s="1207"/>
      <c r="V37" s="1207">
        <v>20</v>
      </c>
      <c r="W37" s="1207">
        <f>V37*5*177</f>
        <v>17700</v>
      </c>
    </row>
    <row r="38" spans="1:23" ht="30">
      <c r="A38" s="1779"/>
      <c r="B38" s="1772"/>
      <c r="C38" s="464" t="s">
        <v>31</v>
      </c>
      <c r="D38" s="372" t="s">
        <v>169</v>
      </c>
      <c r="E38" s="401" t="s">
        <v>277</v>
      </c>
      <c r="F38" s="2292" t="s">
        <v>602</v>
      </c>
      <c r="G38" s="2140"/>
      <c r="H38" s="2291"/>
      <c r="I38" s="711" t="s">
        <v>277</v>
      </c>
      <c r="J38" s="1207">
        <v>1</v>
      </c>
      <c r="K38" s="1207"/>
      <c r="L38" s="1207">
        <v>30</v>
      </c>
      <c r="M38" s="1207">
        <f>L38*5*233</f>
        <v>34950</v>
      </c>
      <c r="N38" s="711" t="s">
        <v>277</v>
      </c>
      <c r="O38" s="1207">
        <v>1</v>
      </c>
      <c r="P38" s="1207"/>
      <c r="Q38" s="1207">
        <v>30</v>
      </c>
      <c r="R38" s="1207">
        <f>Q38*5*233</f>
        <v>34950</v>
      </c>
      <c r="S38" s="711" t="s">
        <v>277</v>
      </c>
      <c r="T38" s="1207">
        <v>1</v>
      </c>
      <c r="U38" s="1207"/>
      <c r="V38" s="1207">
        <v>20</v>
      </c>
      <c r="W38" s="1207">
        <f>V38*5*233</f>
        <v>23300</v>
      </c>
    </row>
    <row r="39" spans="1:23" ht="30.75" thickBot="1">
      <c r="A39" s="1779"/>
      <c r="B39" s="1772"/>
      <c r="C39" s="465" t="s">
        <v>32</v>
      </c>
      <c r="D39" s="466" t="s">
        <v>250</v>
      </c>
      <c r="E39" s="467" t="s">
        <v>277</v>
      </c>
      <c r="F39" s="2498"/>
      <c r="G39" s="2498"/>
      <c r="H39" s="2499"/>
      <c r="I39" s="711" t="s">
        <v>277</v>
      </c>
      <c r="J39" s="1207">
        <v>1</v>
      </c>
      <c r="K39" s="1207"/>
      <c r="L39" s="1207">
        <v>30</v>
      </c>
      <c r="M39" s="1207">
        <f>L39*5*121</f>
        <v>18150</v>
      </c>
      <c r="N39" s="711" t="s">
        <v>277</v>
      </c>
      <c r="O39" s="1207">
        <v>1</v>
      </c>
      <c r="P39" s="1207"/>
      <c r="Q39" s="1207">
        <v>30</v>
      </c>
      <c r="R39" s="1207">
        <f>Q39*5*121</f>
        <v>18150</v>
      </c>
      <c r="S39" s="711" t="s">
        <v>277</v>
      </c>
      <c r="T39" s="1207">
        <v>1</v>
      </c>
      <c r="U39" s="1207"/>
      <c r="V39" s="1207">
        <v>20</v>
      </c>
      <c r="W39" s="1207">
        <f>V39*5*121</f>
        <v>12100</v>
      </c>
    </row>
    <row r="40" spans="1:23" ht="15.75">
      <c r="A40" s="1786" t="s">
        <v>491</v>
      </c>
      <c r="B40" s="2500"/>
      <c r="C40" s="468" t="s">
        <v>144</v>
      </c>
      <c r="D40" s="469" t="s">
        <v>253</v>
      </c>
      <c r="E40" s="431"/>
      <c r="F40" s="1873" t="s">
        <v>492</v>
      </c>
      <c r="G40" s="1874"/>
      <c r="H40" s="1875"/>
      <c r="I40" s="1212"/>
      <c r="J40" s="1207"/>
      <c r="K40" s="1207"/>
      <c r="L40" s="1207"/>
      <c r="M40" s="1207"/>
      <c r="N40" s="1212"/>
      <c r="O40" s="1207"/>
      <c r="P40" s="1207"/>
      <c r="Q40" s="1207"/>
      <c r="R40" s="1207"/>
      <c r="S40" s="1212"/>
      <c r="T40" s="1207"/>
      <c r="U40" s="1207"/>
      <c r="V40" s="1207"/>
      <c r="W40" s="1207"/>
    </row>
    <row r="41" spans="1:23" ht="16.5" thickBot="1">
      <c r="A41" s="1772"/>
      <c r="B41" s="1772"/>
      <c r="C41" s="470" t="s">
        <v>145</v>
      </c>
      <c r="D41" s="376" t="s">
        <v>254</v>
      </c>
      <c r="E41" s="433"/>
      <c r="F41" s="1780"/>
      <c r="G41" s="1780"/>
      <c r="H41" s="2054"/>
      <c r="I41" s="1212"/>
      <c r="J41" s="1207"/>
      <c r="K41" s="1207"/>
      <c r="L41" s="1207"/>
      <c r="M41" s="1207"/>
      <c r="N41" s="1212"/>
      <c r="O41" s="1207"/>
      <c r="P41" s="1207"/>
      <c r="Q41" s="1207"/>
      <c r="R41" s="1207"/>
      <c r="S41" s="1212"/>
      <c r="T41" s="1207"/>
      <c r="U41" s="1207"/>
      <c r="V41" s="1207"/>
      <c r="W41" s="1207"/>
    </row>
    <row r="42" spans="1:23" ht="48" thickBot="1">
      <c r="A42" s="1772"/>
      <c r="B42" s="1772"/>
      <c r="C42" s="471" t="s">
        <v>128</v>
      </c>
      <c r="D42" s="472" t="s">
        <v>262</v>
      </c>
      <c r="E42" s="446"/>
      <c r="F42" s="1858"/>
      <c r="G42" s="1771"/>
      <c r="H42" s="2058"/>
      <c r="I42" s="1212"/>
      <c r="J42" s="1207"/>
      <c r="K42" s="1207"/>
      <c r="L42" s="1207"/>
      <c r="M42" s="1207"/>
      <c r="N42" s="1212"/>
      <c r="O42" s="1207"/>
      <c r="P42" s="1207"/>
      <c r="Q42" s="1207"/>
      <c r="R42" s="1207"/>
      <c r="S42" s="1212"/>
      <c r="T42" s="1207"/>
      <c r="U42" s="1207"/>
      <c r="V42" s="1207"/>
      <c r="W42" s="1207"/>
    </row>
    <row r="43" spans="1:23" ht="46.5" customHeight="1" thickBot="1">
      <c r="A43" s="2490" t="s">
        <v>493</v>
      </c>
      <c r="B43" s="2482"/>
      <c r="C43" s="2491"/>
      <c r="D43" s="473" t="s">
        <v>237</v>
      </c>
      <c r="E43" s="474" t="s">
        <v>277</v>
      </c>
      <c r="F43" s="2492" t="s">
        <v>603</v>
      </c>
      <c r="G43" s="2493"/>
      <c r="H43" s="2494"/>
      <c r="I43" s="711" t="s">
        <v>277</v>
      </c>
      <c r="J43" s="1207">
        <v>2</v>
      </c>
      <c r="K43" s="1207"/>
      <c r="L43" s="1207">
        <v>10</v>
      </c>
      <c r="M43" s="1207">
        <f>L43*5*652</f>
        <v>32600</v>
      </c>
      <c r="N43" s="711" t="s">
        <v>277</v>
      </c>
      <c r="O43" s="1207">
        <v>1</v>
      </c>
      <c r="P43" s="1207"/>
      <c r="Q43" s="1207">
        <v>5</v>
      </c>
      <c r="R43" s="1207">
        <f>Q43*5*652</f>
        <v>16300</v>
      </c>
      <c r="S43" s="711" t="s">
        <v>277</v>
      </c>
      <c r="T43" s="1207">
        <v>1</v>
      </c>
      <c r="U43" s="1207"/>
      <c r="V43" s="1207">
        <v>5</v>
      </c>
      <c r="W43" s="1207">
        <f>V43*5*652</f>
        <v>16300</v>
      </c>
    </row>
    <row r="44" spans="1:23" ht="15.75" thickBot="1">
      <c r="A44" s="2490" t="s">
        <v>133</v>
      </c>
      <c r="B44" s="2482"/>
      <c r="C44" s="2491"/>
      <c r="D44" s="473" t="s">
        <v>238</v>
      </c>
      <c r="E44" s="456"/>
      <c r="F44" s="2481" t="s">
        <v>495</v>
      </c>
      <c r="G44" s="2482"/>
      <c r="H44" s="2483"/>
      <c r="I44" s="1212"/>
      <c r="J44" s="1207"/>
      <c r="K44" s="1207"/>
      <c r="L44" s="1207"/>
      <c r="M44" s="1207"/>
      <c r="N44" s="1212"/>
      <c r="O44" s="1207"/>
      <c r="P44" s="1207"/>
      <c r="Q44" s="1207"/>
      <c r="R44" s="1207"/>
      <c r="S44" s="1212"/>
      <c r="T44" s="1207"/>
      <c r="U44" s="1207"/>
      <c r="V44" s="1207"/>
      <c r="W44" s="1207"/>
    </row>
    <row r="45" spans="1:23">
      <c r="A45" s="1778" t="s">
        <v>41</v>
      </c>
      <c r="B45" s="1772"/>
      <c r="C45" s="475" t="s">
        <v>50</v>
      </c>
      <c r="D45" s="476" t="s">
        <v>246</v>
      </c>
      <c r="E45" s="477" t="s">
        <v>277</v>
      </c>
      <c r="F45" s="2495" t="s">
        <v>604</v>
      </c>
      <c r="G45" s="2485"/>
      <c r="H45" s="2486"/>
      <c r="I45" s="714" t="s">
        <v>277</v>
      </c>
      <c r="J45" s="1207">
        <v>1</v>
      </c>
      <c r="K45" s="1207"/>
      <c r="L45" s="1207">
        <v>3</v>
      </c>
      <c r="M45" s="1207">
        <f>L45*5*82</f>
        <v>1230</v>
      </c>
      <c r="N45" s="711" t="s">
        <v>277</v>
      </c>
      <c r="O45" s="1207">
        <v>1</v>
      </c>
      <c r="P45" s="1207"/>
      <c r="Q45" s="1207">
        <v>2</v>
      </c>
      <c r="R45" s="1207">
        <f>Q45*5*82</f>
        <v>820</v>
      </c>
      <c r="S45" s="711" t="s">
        <v>277</v>
      </c>
      <c r="T45" s="1207">
        <v>1</v>
      </c>
      <c r="U45" s="1207"/>
      <c r="V45" s="1207">
        <v>2</v>
      </c>
      <c r="W45" s="1207">
        <f>V45*5*82</f>
        <v>820</v>
      </c>
    </row>
    <row r="46" spans="1:23" ht="36" customHeight="1">
      <c r="A46" s="1779"/>
      <c r="B46" s="1772"/>
      <c r="C46" s="478" t="s">
        <v>51</v>
      </c>
      <c r="D46" s="381" t="s">
        <v>247</v>
      </c>
      <c r="E46" s="401" t="s">
        <v>277</v>
      </c>
      <c r="F46" s="1785" t="s">
        <v>605</v>
      </c>
      <c r="G46" s="1762"/>
      <c r="H46" s="2043"/>
      <c r="I46" s="711" t="s">
        <v>277</v>
      </c>
      <c r="J46" s="1207">
        <v>1</v>
      </c>
      <c r="K46" s="1207"/>
      <c r="L46" s="1207">
        <v>3</v>
      </c>
      <c r="M46" s="1207">
        <f>L46*5*145</f>
        <v>2175</v>
      </c>
      <c r="N46" s="711" t="s">
        <v>277</v>
      </c>
      <c r="O46" s="1207">
        <v>1</v>
      </c>
      <c r="P46" s="1207"/>
      <c r="Q46" s="1207">
        <v>2</v>
      </c>
      <c r="R46" s="1207">
        <f>Q46*5*145</f>
        <v>1450</v>
      </c>
      <c r="S46" s="711" t="s">
        <v>277</v>
      </c>
      <c r="T46" s="1207">
        <v>1</v>
      </c>
      <c r="U46" s="1207"/>
      <c r="V46" s="1207">
        <v>2</v>
      </c>
      <c r="W46" s="1207">
        <f>V46*5*145</f>
        <v>1450</v>
      </c>
    </row>
    <row r="47" spans="1:23">
      <c r="A47" s="1779"/>
      <c r="B47" s="1772"/>
      <c r="C47" s="478" t="s">
        <v>39</v>
      </c>
      <c r="D47" s="381" t="s">
        <v>248</v>
      </c>
      <c r="E47" s="401" t="s">
        <v>277</v>
      </c>
      <c r="F47" s="1785" t="s">
        <v>606</v>
      </c>
      <c r="G47" s="1762"/>
      <c r="H47" s="2043"/>
      <c r="I47" s="711" t="s">
        <v>277</v>
      </c>
      <c r="J47" s="1207">
        <v>1</v>
      </c>
      <c r="K47" s="1207"/>
      <c r="L47" s="1207">
        <v>3</v>
      </c>
      <c r="M47" s="1207">
        <f>L47*5*200</f>
        <v>3000</v>
      </c>
      <c r="N47" s="711" t="s">
        <v>277</v>
      </c>
      <c r="O47" s="1207">
        <v>1</v>
      </c>
      <c r="P47" s="1207"/>
      <c r="Q47" s="1207">
        <v>2</v>
      </c>
      <c r="R47" s="1207">
        <f>Q47*5*200</f>
        <v>2000</v>
      </c>
      <c r="S47" s="711" t="s">
        <v>277</v>
      </c>
      <c r="T47" s="1207">
        <v>1</v>
      </c>
      <c r="U47" s="1207"/>
      <c r="V47" s="1207">
        <v>2</v>
      </c>
      <c r="W47" s="1207">
        <f>V47*5*200</f>
        <v>2000</v>
      </c>
    </row>
    <row r="48" spans="1:23" ht="15.75" thickBot="1">
      <c r="A48" s="1767"/>
      <c r="B48" s="1780"/>
      <c r="C48" s="479" t="s">
        <v>40</v>
      </c>
      <c r="D48" s="480" t="s">
        <v>249</v>
      </c>
      <c r="E48" s="481"/>
      <c r="F48" s="2496" t="s">
        <v>607</v>
      </c>
      <c r="G48" s="2040"/>
      <c r="H48" s="2041"/>
      <c r="I48" s="713"/>
      <c r="J48" s="1214"/>
      <c r="K48" s="1214"/>
      <c r="L48" s="1214"/>
      <c r="M48" s="1214"/>
      <c r="N48" s="713"/>
      <c r="O48" s="1214"/>
      <c r="P48" s="1214"/>
      <c r="Q48" s="1214"/>
      <c r="R48" s="1214"/>
      <c r="S48" s="713"/>
      <c r="T48" s="1214"/>
      <c r="U48" s="1214"/>
      <c r="V48" s="1214"/>
      <c r="W48" s="1214"/>
    </row>
    <row r="49" spans="1:23" ht="15.75">
      <c r="A49" s="1765" t="s">
        <v>130</v>
      </c>
      <c r="B49" s="1771"/>
      <c r="C49" s="468" t="s">
        <v>131</v>
      </c>
      <c r="D49" s="469" t="s">
        <v>255</v>
      </c>
      <c r="E49" s="424"/>
      <c r="F49" s="2484"/>
      <c r="G49" s="2485"/>
      <c r="H49" s="2486"/>
      <c r="I49" s="1212"/>
      <c r="J49" s="1207"/>
      <c r="K49" s="1207"/>
      <c r="L49" s="1207"/>
      <c r="M49" s="1207"/>
      <c r="N49" s="1212"/>
      <c r="O49" s="1207"/>
      <c r="P49" s="1207"/>
      <c r="Q49" s="1207"/>
      <c r="R49" s="1207"/>
      <c r="S49" s="1212"/>
      <c r="T49" s="1207"/>
      <c r="U49" s="1207"/>
      <c r="V49" s="1207"/>
      <c r="W49" s="1207"/>
    </row>
    <row r="50" spans="1:23" ht="48" thickBot="1">
      <c r="A50" s="1767"/>
      <c r="B50" s="1780"/>
      <c r="C50" s="482" t="s">
        <v>132</v>
      </c>
      <c r="D50" s="483" t="s">
        <v>263</v>
      </c>
      <c r="E50" s="484"/>
      <c r="F50" s="2487"/>
      <c r="G50" s="2040"/>
      <c r="H50" s="2041"/>
      <c r="I50" s="1212"/>
      <c r="J50" s="1207"/>
      <c r="K50" s="1207"/>
      <c r="L50" s="1207"/>
      <c r="M50" s="1207"/>
      <c r="N50" s="1212"/>
      <c r="O50" s="1207"/>
      <c r="P50" s="1207"/>
      <c r="Q50" s="1207"/>
      <c r="R50" s="1207"/>
      <c r="S50" s="1212"/>
      <c r="T50" s="1207"/>
      <c r="U50" s="1207"/>
      <c r="V50" s="1207"/>
      <c r="W50" s="1207"/>
    </row>
    <row r="51" spans="1:23">
      <c r="A51" s="1770" t="s">
        <v>42</v>
      </c>
      <c r="B51" s="1771"/>
      <c r="C51" s="485" t="s">
        <v>38</v>
      </c>
      <c r="D51" s="486" t="s">
        <v>239</v>
      </c>
      <c r="E51" s="477" t="s">
        <v>277</v>
      </c>
      <c r="F51" s="2488" t="s">
        <v>608</v>
      </c>
      <c r="G51" s="2485"/>
      <c r="H51" s="2486"/>
      <c r="I51" s="711" t="s">
        <v>277</v>
      </c>
      <c r="J51" s="1207">
        <v>4</v>
      </c>
      <c r="K51" s="1207"/>
      <c r="L51" s="1207">
        <v>2000</v>
      </c>
      <c r="M51" s="715">
        <v>1600</v>
      </c>
      <c r="N51" s="716" t="s">
        <v>277</v>
      </c>
      <c r="O51" s="715">
        <v>4</v>
      </c>
      <c r="P51" s="715"/>
      <c r="Q51" s="715">
        <v>1000</v>
      </c>
      <c r="R51" s="715">
        <v>800</v>
      </c>
      <c r="S51" s="716" t="s">
        <v>277</v>
      </c>
      <c r="T51" s="715">
        <v>4</v>
      </c>
      <c r="U51" s="715"/>
      <c r="V51" s="715">
        <v>1000</v>
      </c>
      <c r="W51" s="715">
        <v>800</v>
      </c>
    </row>
    <row r="52" spans="1:23">
      <c r="A52" s="1772"/>
      <c r="B52" s="1772"/>
      <c r="C52" s="487" t="s">
        <v>55</v>
      </c>
      <c r="D52" s="386" t="s">
        <v>240</v>
      </c>
      <c r="E52" s="401"/>
      <c r="F52" s="1773"/>
      <c r="G52" s="1762"/>
      <c r="H52" s="2043"/>
      <c r="I52" s="713"/>
      <c r="J52" s="1214"/>
      <c r="K52" s="1214"/>
      <c r="L52" s="1214"/>
      <c r="M52" s="1214"/>
      <c r="N52" s="713"/>
      <c r="O52" s="1214"/>
      <c r="P52" s="1214"/>
      <c r="Q52" s="1214"/>
      <c r="R52" s="1214"/>
      <c r="S52" s="713"/>
      <c r="T52" s="1214"/>
      <c r="U52" s="1214"/>
      <c r="V52" s="1214"/>
      <c r="W52" s="1214"/>
    </row>
    <row r="53" spans="1:23" ht="16.5" thickBot="1">
      <c r="A53" s="1772"/>
      <c r="B53" s="1772"/>
      <c r="C53" s="488" t="s">
        <v>48</v>
      </c>
      <c r="D53" s="489" t="s">
        <v>241</v>
      </c>
      <c r="E53" s="484"/>
      <c r="F53" s="2489"/>
      <c r="G53" s="2040"/>
      <c r="H53" s="2041"/>
      <c r="I53" s="1212"/>
      <c r="J53" s="1207"/>
      <c r="K53" s="1207"/>
      <c r="L53" s="1207"/>
      <c r="M53" s="1207"/>
      <c r="N53" s="1212"/>
      <c r="O53" s="1207"/>
      <c r="P53" s="1207"/>
      <c r="Q53" s="1207"/>
      <c r="R53" s="1207"/>
      <c r="S53" s="1212"/>
      <c r="T53" s="1207"/>
      <c r="U53" s="1207"/>
      <c r="V53" s="1207"/>
      <c r="W53" s="1207"/>
    </row>
    <row r="54" spans="1:23" ht="16.5" thickBot="1">
      <c r="A54" s="1761" t="s">
        <v>500</v>
      </c>
      <c r="B54" s="1762"/>
      <c r="C54" s="490" t="s">
        <v>134</v>
      </c>
      <c r="D54" s="491" t="s">
        <v>269</v>
      </c>
      <c r="E54" s="492"/>
      <c r="F54" s="2481" t="s">
        <v>501</v>
      </c>
      <c r="G54" s="2482"/>
      <c r="H54" s="2483"/>
      <c r="I54" s="1215"/>
      <c r="J54" s="1216"/>
      <c r="K54" s="1216"/>
      <c r="L54" s="1216"/>
      <c r="M54" s="1216"/>
      <c r="N54" s="1215"/>
      <c r="O54" s="1216"/>
      <c r="P54" s="1216"/>
      <c r="Q54" s="1216"/>
      <c r="R54" s="1216"/>
      <c r="S54" s="1215"/>
      <c r="T54" s="1216"/>
      <c r="U54" s="1216"/>
      <c r="V54" s="1216"/>
      <c r="W54" s="1216"/>
    </row>
    <row r="56" spans="1:23">
      <c r="M56">
        <f>SUM(M15:M54)</f>
        <v>289855</v>
      </c>
    </row>
    <row r="58" spans="1:23">
      <c r="A58" s="2506" t="s">
        <v>1031</v>
      </c>
      <c r="B58" s="2506"/>
      <c r="C58" s="2506"/>
      <c r="D58" s="2506"/>
      <c r="E58" s="2506"/>
    </row>
    <row r="59" spans="1:23">
      <c r="A59" s="2507" t="s">
        <v>1032</v>
      </c>
      <c r="B59" s="2508"/>
      <c r="C59" s="2508"/>
      <c r="D59" s="2508"/>
      <c r="E59" s="2508"/>
    </row>
    <row r="60" spans="1:23">
      <c r="A60" s="717"/>
      <c r="B60" s="718"/>
      <c r="C60" s="718"/>
      <c r="D60" s="718"/>
      <c r="E60" s="718"/>
    </row>
    <row r="61" spans="1:23" ht="60">
      <c r="A61" s="1191" t="s">
        <v>948</v>
      </c>
      <c r="B61" s="1191" t="s">
        <v>949</v>
      </c>
      <c r="C61" s="1191" t="s">
        <v>950</v>
      </c>
      <c r="D61" s="1191" t="s">
        <v>951</v>
      </c>
      <c r="E61" s="1191" t="s">
        <v>952</v>
      </c>
    </row>
    <row r="62" spans="1:23">
      <c r="A62" s="1204" t="s">
        <v>953</v>
      </c>
      <c r="B62" s="624" t="s">
        <v>1005</v>
      </c>
      <c r="C62" s="1207">
        <v>1</v>
      </c>
      <c r="D62" s="1207">
        <v>1</v>
      </c>
      <c r="E62" s="1205"/>
    </row>
    <row r="63" spans="1:23">
      <c r="A63" s="1204" t="s">
        <v>1033</v>
      </c>
      <c r="B63" s="624" t="s">
        <v>1005</v>
      </c>
      <c r="C63" s="715">
        <v>1</v>
      </c>
      <c r="D63" s="1207">
        <v>2</v>
      </c>
      <c r="E63" s="1205"/>
    </row>
    <row r="64" spans="1:23">
      <c r="A64" s="1204" t="s">
        <v>957</v>
      </c>
      <c r="B64" s="624" t="s">
        <v>1005</v>
      </c>
      <c r="C64" s="1207">
        <v>1</v>
      </c>
      <c r="D64" s="1207">
        <v>10</v>
      </c>
      <c r="E64" s="635" t="s">
        <v>1034</v>
      </c>
    </row>
    <row r="65" spans="1:6">
      <c r="A65" s="1204" t="s">
        <v>959</v>
      </c>
      <c r="B65" s="624" t="s">
        <v>1005</v>
      </c>
      <c r="C65" s="1217"/>
      <c r="D65" s="1217"/>
      <c r="E65" s="1205"/>
    </row>
    <row r="66" spans="1:6">
      <c r="A66" s="1204" t="s">
        <v>961</v>
      </c>
      <c r="B66" s="624" t="s">
        <v>954</v>
      </c>
      <c r="C66" s="1207">
        <v>10</v>
      </c>
      <c r="D66" s="1207">
        <v>7</v>
      </c>
      <c r="E66" s="635" t="s">
        <v>1035</v>
      </c>
    </row>
    <row r="67" spans="1:6">
      <c r="A67" s="1204" t="s">
        <v>963</v>
      </c>
      <c r="B67" s="624" t="s">
        <v>954</v>
      </c>
      <c r="C67" s="1207">
        <v>4</v>
      </c>
      <c r="D67" s="1207">
        <v>4</v>
      </c>
      <c r="E67" s="635" t="s">
        <v>1035</v>
      </c>
    </row>
    <row r="68" spans="1:6">
      <c r="A68" s="1204" t="s">
        <v>965</v>
      </c>
      <c r="B68" s="624" t="s">
        <v>1005</v>
      </c>
      <c r="C68" s="1217"/>
      <c r="D68" s="1207">
        <v>13</v>
      </c>
      <c r="E68" s="635" t="s">
        <v>1035</v>
      </c>
    </row>
    <row r="69" spans="1:6">
      <c r="A69" s="1204" t="s">
        <v>967</v>
      </c>
      <c r="B69" s="624" t="s">
        <v>1005</v>
      </c>
      <c r="C69" s="1186"/>
      <c r="D69" s="1186"/>
      <c r="E69" s="1205"/>
    </row>
    <row r="70" spans="1:6">
      <c r="A70" s="1204" t="s">
        <v>969</v>
      </c>
      <c r="B70" s="624" t="s">
        <v>1005</v>
      </c>
      <c r="C70" s="1207">
        <v>1</v>
      </c>
      <c r="D70" s="1207">
        <v>6</v>
      </c>
      <c r="E70" s="635" t="s">
        <v>1036</v>
      </c>
    </row>
    <row r="71" spans="1:6">
      <c r="A71" s="1204" t="s">
        <v>971</v>
      </c>
      <c r="B71" s="624" t="s">
        <v>1037</v>
      </c>
      <c r="C71" s="1186"/>
      <c r="D71" s="1186"/>
      <c r="E71" s="1205"/>
    </row>
    <row r="72" spans="1:6">
      <c r="A72" s="1204" t="s">
        <v>986</v>
      </c>
      <c r="B72" s="1186"/>
      <c r="C72" s="1186"/>
      <c r="D72" s="1186"/>
      <c r="E72" s="1205"/>
    </row>
    <row r="73" spans="1:6">
      <c r="A73" s="1192"/>
      <c r="B73" s="1186"/>
      <c r="C73" s="1186"/>
      <c r="D73" s="1186"/>
      <c r="E73" s="1205"/>
    </row>
    <row r="74" spans="1:6">
      <c r="A74" s="1192"/>
      <c r="B74" s="1186"/>
      <c r="C74" s="1186"/>
      <c r="D74" s="1186"/>
      <c r="E74" s="1205"/>
    </row>
    <row r="77" spans="1:6">
      <c r="A77" s="1912" t="s">
        <v>1270</v>
      </c>
      <c r="B77" s="1913"/>
      <c r="C77" s="1913"/>
      <c r="D77" s="1913"/>
      <c r="E77" s="1913"/>
      <c r="F77" s="1913"/>
    </row>
    <row r="78" spans="1:6" ht="75">
      <c r="A78" s="1333" t="s">
        <v>1271</v>
      </c>
      <c r="B78" s="1333" t="s">
        <v>1272</v>
      </c>
      <c r="C78" s="1333" t="s">
        <v>1273</v>
      </c>
      <c r="D78" s="1333" t="s">
        <v>1274</v>
      </c>
      <c r="E78" s="1333" t="s">
        <v>1275</v>
      </c>
      <c r="F78" s="1333" t="s">
        <v>1276</v>
      </c>
    </row>
    <row r="79" spans="1:6" ht="315">
      <c r="A79" s="1335"/>
      <c r="B79" s="1663" t="s">
        <v>1343</v>
      </c>
      <c r="C79" s="1334" t="s">
        <v>1399</v>
      </c>
      <c r="D79" s="1334" t="s">
        <v>954</v>
      </c>
      <c r="E79" s="1337" t="s">
        <v>1345</v>
      </c>
      <c r="F79" s="1339">
        <v>3</v>
      </c>
    </row>
    <row r="80" spans="1:6" ht="409.5">
      <c r="A80" s="1335"/>
      <c r="B80" s="1338" t="s">
        <v>1346</v>
      </c>
      <c r="C80" s="1334" t="s">
        <v>1399</v>
      </c>
      <c r="D80" s="1334" t="s">
        <v>954</v>
      </c>
      <c r="E80" s="1336" t="s">
        <v>1347</v>
      </c>
      <c r="F80" s="1339">
        <v>6</v>
      </c>
    </row>
    <row r="81" spans="1:6" ht="409.5">
      <c r="A81" s="1335"/>
      <c r="B81" s="1338" t="s">
        <v>1348</v>
      </c>
      <c r="C81" s="1334" t="s">
        <v>1399</v>
      </c>
      <c r="D81" s="1334" t="s">
        <v>954</v>
      </c>
      <c r="E81" s="1336" t="s">
        <v>1349</v>
      </c>
      <c r="F81" s="1339">
        <v>6</v>
      </c>
    </row>
    <row r="82" spans="1:6" ht="315">
      <c r="A82" s="1335"/>
      <c r="B82" s="1663" t="s">
        <v>1350</v>
      </c>
      <c r="C82" s="1334" t="s">
        <v>1351</v>
      </c>
      <c r="D82" s="1334" t="s">
        <v>1005</v>
      </c>
      <c r="E82" s="1334" t="s">
        <v>1352</v>
      </c>
      <c r="F82" s="1340" t="s">
        <v>1400</v>
      </c>
    </row>
    <row r="83" spans="1:6" ht="345">
      <c r="A83" s="1335"/>
      <c r="B83" s="1338" t="s">
        <v>1354</v>
      </c>
      <c r="C83" s="1334" t="s">
        <v>1351</v>
      </c>
      <c r="D83" s="1334" t="s">
        <v>1005</v>
      </c>
      <c r="E83" s="1334" t="s">
        <v>1352</v>
      </c>
      <c r="F83" s="1340" t="s">
        <v>1400</v>
      </c>
    </row>
  </sheetData>
  <mergeCells count="60">
    <mergeCell ref="A77:F77"/>
    <mergeCell ref="A58:E58"/>
    <mergeCell ref="A59:E59"/>
    <mergeCell ref="I13:M13"/>
    <mergeCell ref="N13:R13"/>
    <mergeCell ref="A21:B22"/>
    <mergeCell ref="F21:H22"/>
    <mergeCell ref="A23:B25"/>
    <mergeCell ref="F23:H25"/>
    <mergeCell ref="A26:C26"/>
    <mergeCell ref="F26:H26"/>
    <mergeCell ref="A27:B29"/>
    <mergeCell ref="F27:H29"/>
    <mergeCell ref="A30:B32"/>
    <mergeCell ref="F30:H32"/>
    <mergeCell ref="A33:B33"/>
    <mergeCell ref="S13:W13"/>
    <mergeCell ref="A15:B17"/>
    <mergeCell ref="F15:H17"/>
    <mergeCell ref="A18:B20"/>
    <mergeCell ref="F18:H20"/>
    <mergeCell ref="B2:D2"/>
    <mergeCell ref="B3:D3"/>
    <mergeCell ref="B8:D8"/>
    <mergeCell ref="A14:B14"/>
    <mergeCell ref="F14:H14"/>
    <mergeCell ref="C10:H10"/>
    <mergeCell ref="B4:D4"/>
    <mergeCell ref="B6:D6"/>
    <mergeCell ref="A10:B10"/>
    <mergeCell ref="E12:H13"/>
    <mergeCell ref="F33:H33"/>
    <mergeCell ref="A34:B34"/>
    <mergeCell ref="F34:H34"/>
    <mergeCell ref="A35:B36"/>
    <mergeCell ref="F35:H36"/>
    <mergeCell ref="A37:B39"/>
    <mergeCell ref="F37:H37"/>
    <mergeCell ref="F38:H39"/>
    <mergeCell ref="A40:B42"/>
    <mergeCell ref="F40:H41"/>
    <mergeCell ref="F42:H42"/>
    <mergeCell ref="A43:C43"/>
    <mergeCell ref="F43:H43"/>
    <mergeCell ref="A44:C44"/>
    <mergeCell ref="F44:H44"/>
    <mergeCell ref="A45:B48"/>
    <mergeCell ref="F45:H45"/>
    <mergeCell ref="F46:H46"/>
    <mergeCell ref="F47:H47"/>
    <mergeCell ref="F48:H48"/>
    <mergeCell ref="A54:B54"/>
    <mergeCell ref="F54:H54"/>
    <mergeCell ref="A49:B50"/>
    <mergeCell ref="F49:H49"/>
    <mergeCell ref="F50:H50"/>
    <mergeCell ref="A51:B53"/>
    <mergeCell ref="F51:H51"/>
    <mergeCell ref="F52:H52"/>
    <mergeCell ref="F53:H53"/>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3" location="SOMMAIRE!A1" display="Retour sommaire"/>
    <hyperlink ref="J5" location="SYNTHESE!A1" display="Retour synthèse"/>
  </hyperlinks>
  <pageMargins left="0.25" right="0.25" top="0.75" bottom="0.75" header="0.3" footer="0.3"/>
  <pageSetup paperSize="9"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W80"/>
  <sheetViews>
    <sheetView topLeftCell="A36" zoomScale="70" zoomScaleNormal="70" workbookViewId="0">
      <selection activeCell="F48" sqref="F48:H48"/>
    </sheetView>
  </sheetViews>
  <sheetFormatPr baseColWidth="10" defaultRowHeight="15"/>
  <cols>
    <col min="1" max="1" width="20.42578125" style="8" bestFit="1" customWidth="1"/>
    <col min="2" max="2" width="15.7109375" style="8" customWidth="1"/>
    <col min="3" max="3" width="40" style="8" customWidth="1"/>
    <col min="4" max="4" width="8.85546875" style="8" customWidth="1"/>
    <col min="5" max="5" width="7.5703125" style="8" customWidth="1"/>
    <col min="6" max="6" width="16.28515625" style="8" bestFit="1" customWidth="1"/>
    <col min="7" max="7" width="17" style="8" bestFit="1" customWidth="1"/>
    <col min="8" max="8" width="23.85546875" customWidth="1"/>
    <col min="9" max="9" width="5.7109375" customWidth="1"/>
    <col min="10" max="10" width="16.42578125" bestFit="1" customWidth="1"/>
  </cols>
  <sheetData>
    <row r="1" spans="1:23" ht="15.75" thickBot="1">
      <c r="A1"/>
      <c r="B1"/>
      <c r="C1"/>
      <c r="D1"/>
      <c r="E1"/>
      <c r="F1"/>
      <c r="G1"/>
    </row>
    <row r="2" spans="1:23" ht="15.75" thickBot="1">
      <c r="A2" s="328" t="s">
        <v>0</v>
      </c>
      <c r="B2" s="1808" t="s">
        <v>713</v>
      </c>
      <c r="C2" s="1910"/>
      <c r="D2" s="1911"/>
      <c r="E2" s="329"/>
      <c r="F2" s="329"/>
      <c r="G2" s="330" t="s">
        <v>462</v>
      </c>
      <c r="H2" s="112" t="s">
        <v>14</v>
      </c>
      <c r="J2" s="32" t="s">
        <v>73</v>
      </c>
    </row>
    <row r="3" spans="1:23" ht="32.25" customHeight="1" thickBot="1">
      <c r="A3" s="331" t="s">
        <v>714</v>
      </c>
      <c r="B3" s="1808" t="s">
        <v>715</v>
      </c>
      <c r="C3" s="1776"/>
      <c r="D3" s="1777"/>
      <c r="E3" s="329"/>
      <c r="F3" s="329"/>
      <c r="G3" s="332" t="s">
        <v>10</v>
      </c>
      <c r="H3" s="112" t="s">
        <v>16</v>
      </c>
    </row>
    <row r="4" spans="1:23" ht="15.75" customHeight="1" thickBot="1">
      <c r="A4" s="332" t="s">
        <v>3</v>
      </c>
      <c r="B4" s="1909" t="s">
        <v>716</v>
      </c>
      <c r="C4" s="1910"/>
      <c r="D4" s="1911"/>
      <c r="E4" s="333"/>
      <c r="F4" s="329"/>
      <c r="G4" s="334" t="s">
        <v>26</v>
      </c>
      <c r="H4" s="392">
        <v>10</v>
      </c>
      <c r="J4" s="13" t="s">
        <v>381</v>
      </c>
    </row>
    <row r="5" spans="1:23" ht="15.75" customHeight="1" thickBot="1">
      <c r="A5" s="329"/>
      <c r="B5" s="329"/>
      <c r="C5" s="329"/>
      <c r="D5" s="329"/>
      <c r="E5" s="329"/>
      <c r="F5" s="329"/>
      <c r="G5" s="329"/>
      <c r="H5" s="329"/>
    </row>
    <row r="6" spans="1:23" ht="132" customHeight="1" thickBot="1">
      <c r="A6" s="328" t="s">
        <v>465</v>
      </c>
      <c r="B6" s="1810" t="s">
        <v>1599</v>
      </c>
      <c r="C6" s="1811"/>
      <c r="D6" s="1812"/>
      <c r="E6" s="507"/>
      <c r="F6" s="329"/>
      <c r="G6" s="335" t="s">
        <v>466</v>
      </c>
      <c r="H6" s="178" t="s">
        <v>717</v>
      </c>
    </row>
    <row r="7" spans="1:23" ht="15.75" thickBot="1">
      <c r="A7"/>
      <c r="B7" s="329"/>
      <c r="C7" s="329"/>
      <c r="D7" s="329"/>
      <c r="E7" s="329"/>
      <c r="F7" s="329"/>
      <c r="G7" s="337"/>
      <c r="H7" s="329"/>
    </row>
    <row r="8" spans="1:23" ht="30.75" customHeight="1" thickBot="1">
      <c r="A8" s="338" t="s">
        <v>7</v>
      </c>
      <c r="B8" s="1809" t="s">
        <v>718</v>
      </c>
      <c r="C8" s="1776"/>
      <c r="D8" s="1777"/>
      <c r="E8" s="333"/>
      <c r="F8" s="339"/>
      <c r="G8" s="338" t="s">
        <v>469</v>
      </c>
      <c r="H8" s="123" t="s">
        <v>470</v>
      </c>
    </row>
    <row r="9" spans="1:23">
      <c r="A9"/>
      <c r="B9" s="329"/>
      <c r="C9" s="329"/>
      <c r="D9" s="329"/>
      <c r="E9" s="329"/>
      <c r="F9" s="329"/>
      <c r="G9" s="337"/>
      <c r="H9" s="329"/>
    </row>
    <row r="10" spans="1:23" ht="114.75" customHeight="1">
      <c r="A10" s="1813" t="s">
        <v>471</v>
      </c>
      <c r="B10" s="1772"/>
      <c r="C10" s="1805" t="s">
        <v>719</v>
      </c>
      <c r="D10" s="1805"/>
      <c r="E10" s="1805"/>
      <c r="F10" s="1805"/>
      <c r="G10" s="1805"/>
      <c r="H10" s="1805"/>
      <c r="I10" s="20"/>
      <c r="J10" s="1259"/>
      <c r="K10" s="20"/>
      <c r="L10" s="20"/>
      <c r="M10" s="20"/>
    </row>
    <row r="11" spans="1:23">
      <c r="A11" s="343"/>
      <c r="B11" s="333"/>
      <c r="C11" s="333"/>
      <c r="D11" s="333"/>
      <c r="E11" s="333"/>
      <c r="F11" s="339"/>
      <c r="G11" s="342"/>
      <c r="H11" s="342"/>
      <c r="I11" s="20"/>
      <c r="J11" s="20"/>
      <c r="K11" s="20"/>
      <c r="L11" s="20"/>
      <c r="M11" s="20"/>
    </row>
    <row r="12" spans="1:23" ht="15" customHeight="1">
      <c r="A12" s="343"/>
      <c r="B12" s="333"/>
      <c r="C12" s="333"/>
      <c r="D12" s="333"/>
      <c r="E12" s="1814" t="s">
        <v>473</v>
      </c>
      <c r="F12" s="1772"/>
      <c r="G12" s="1772"/>
      <c r="H12" s="1772"/>
      <c r="I12" s="20"/>
      <c r="K12" s="20"/>
      <c r="L12" s="20"/>
      <c r="M12" s="20"/>
    </row>
    <row r="13" spans="1:23" ht="15" customHeight="1">
      <c r="A13" s="329"/>
      <c r="B13" s="329"/>
      <c r="C13" s="329"/>
      <c r="D13" s="329"/>
      <c r="E13" s="1780"/>
      <c r="F13" s="1780"/>
      <c r="G13" s="1780"/>
      <c r="H13" s="1780"/>
      <c r="I13" s="1817">
        <v>2025</v>
      </c>
      <c r="J13" s="1762"/>
      <c r="K13" s="1762"/>
      <c r="L13" s="1762"/>
      <c r="M13" s="1764"/>
      <c r="N13" s="1817">
        <v>2026</v>
      </c>
      <c r="O13" s="1762"/>
      <c r="P13" s="1762"/>
      <c r="Q13" s="1762"/>
      <c r="R13" s="1764"/>
      <c r="S13" s="1817">
        <v>2027</v>
      </c>
      <c r="T13" s="1762"/>
      <c r="U13" s="1762"/>
      <c r="V13" s="1762"/>
      <c r="W13" s="1764"/>
    </row>
    <row r="14" spans="1:23" ht="45.75" thickBot="1">
      <c r="A14" s="1816" t="s">
        <v>5</v>
      </c>
      <c r="B14" s="1792"/>
      <c r="C14" s="344" t="s">
        <v>1</v>
      </c>
      <c r="D14" s="344" t="s">
        <v>260</v>
      </c>
      <c r="E14" s="345" t="s">
        <v>474</v>
      </c>
      <c r="F14" s="1815" t="s">
        <v>6</v>
      </c>
      <c r="G14" s="1762"/>
      <c r="H14" s="1764"/>
      <c r="I14" s="643" t="s">
        <v>474</v>
      </c>
      <c r="J14" s="644" t="s">
        <v>944</v>
      </c>
      <c r="K14" s="645" t="s">
        <v>945</v>
      </c>
      <c r="L14" s="644" t="s">
        <v>946</v>
      </c>
      <c r="M14" s="646" t="s">
        <v>947</v>
      </c>
      <c r="N14" s="643" t="s">
        <v>474</v>
      </c>
      <c r="O14" s="644" t="s">
        <v>944</v>
      </c>
      <c r="P14" s="645" t="s">
        <v>945</v>
      </c>
      <c r="Q14" s="644" t="s">
        <v>946</v>
      </c>
      <c r="R14" s="646" t="s">
        <v>947</v>
      </c>
      <c r="S14" s="643" t="s">
        <v>474</v>
      </c>
      <c r="T14" s="644" t="s">
        <v>944</v>
      </c>
      <c r="U14" s="645" t="s">
        <v>945</v>
      </c>
      <c r="V14" s="644" t="s">
        <v>946</v>
      </c>
      <c r="W14" s="646" t="s">
        <v>947</v>
      </c>
    </row>
    <row r="15" spans="1:23" ht="15" customHeight="1">
      <c r="A15" s="1804" t="s">
        <v>17</v>
      </c>
      <c r="B15" s="1771"/>
      <c r="C15" s="346" t="s">
        <v>59</v>
      </c>
      <c r="D15" s="347" t="s">
        <v>251</v>
      </c>
      <c r="E15" s="508"/>
      <c r="F15" s="1791" t="s">
        <v>475</v>
      </c>
      <c r="G15" s="1771"/>
      <c r="H15" s="1792"/>
      <c r="I15" s="778"/>
      <c r="J15" s="779"/>
      <c r="K15" s="779"/>
      <c r="L15" s="779"/>
      <c r="M15" s="780"/>
      <c r="N15" s="778"/>
      <c r="O15" s="779"/>
      <c r="P15" s="779"/>
      <c r="Q15" s="779"/>
      <c r="R15" s="780"/>
      <c r="S15" s="778"/>
      <c r="T15" s="779"/>
      <c r="U15" s="779"/>
      <c r="V15" s="779"/>
      <c r="W15" s="781"/>
    </row>
    <row r="16" spans="1:23">
      <c r="A16" s="1772"/>
      <c r="B16" s="1772"/>
      <c r="C16" s="349" t="s">
        <v>18</v>
      </c>
      <c r="D16" s="350" t="s">
        <v>168</v>
      </c>
      <c r="E16" s="509"/>
      <c r="F16" s="1845"/>
      <c r="G16" s="1845"/>
      <c r="H16" s="1799"/>
      <c r="I16" s="774"/>
      <c r="J16" s="774"/>
      <c r="K16" s="774"/>
      <c r="L16" s="774"/>
      <c r="M16" s="774"/>
      <c r="N16" s="774"/>
      <c r="O16" s="774"/>
      <c r="P16" s="774"/>
      <c r="Q16" s="774"/>
      <c r="R16" s="774"/>
      <c r="S16" s="774"/>
      <c r="T16" s="774"/>
      <c r="U16" s="774"/>
      <c r="V16" s="774"/>
      <c r="W16" s="774"/>
    </row>
    <row r="17" spans="1:23" ht="30" customHeight="1" thickBot="1">
      <c r="A17" s="1780"/>
      <c r="B17" s="1780"/>
      <c r="C17" s="352" t="s">
        <v>19</v>
      </c>
      <c r="D17" s="353" t="s">
        <v>233</v>
      </c>
      <c r="E17" s="510"/>
      <c r="F17" s="1780"/>
      <c r="G17" s="1780"/>
      <c r="H17" s="1793"/>
      <c r="I17" s="774"/>
      <c r="J17" s="774"/>
      <c r="K17" s="774"/>
      <c r="L17" s="774"/>
      <c r="M17" s="774"/>
      <c r="N17" s="774"/>
      <c r="O17" s="774"/>
      <c r="P17" s="774"/>
      <c r="Q17" s="774"/>
      <c r="R17" s="774"/>
      <c r="S17" s="774"/>
      <c r="T17" s="774"/>
      <c r="U17" s="774"/>
      <c r="V17" s="774"/>
      <c r="W17" s="774"/>
    </row>
    <row r="18" spans="1:23" ht="27.75" customHeight="1">
      <c r="A18" s="1804" t="s">
        <v>20</v>
      </c>
      <c r="B18" s="1771"/>
      <c r="C18" s="346" t="s">
        <v>54</v>
      </c>
      <c r="D18" s="353" t="s">
        <v>261</v>
      </c>
      <c r="E18" s="510"/>
      <c r="F18" s="2535"/>
      <c r="G18" s="2536"/>
      <c r="H18" s="2537"/>
      <c r="I18" s="774"/>
      <c r="J18" s="774"/>
      <c r="K18" s="774"/>
      <c r="L18" s="774"/>
      <c r="M18" s="774"/>
      <c r="N18" s="774"/>
      <c r="O18" s="774"/>
      <c r="P18" s="774"/>
      <c r="Q18" s="774"/>
      <c r="R18" s="774"/>
      <c r="S18" s="774"/>
      <c r="T18" s="774"/>
      <c r="U18" s="774"/>
      <c r="V18" s="774"/>
      <c r="W18" s="774"/>
    </row>
    <row r="19" spans="1:23" ht="39.75" customHeight="1">
      <c r="A19" s="1772"/>
      <c r="B19" s="1772"/>
      <c r="C19" s="355" t="s">
        <v>21</v>
      </c>
      <c r="D19" s="353" t="s">
        <v>234</v>
      </c>
      <c r="E19" s="183" t="s">
        <v>277</v>
      </c>
      <c r="F19" s="2521" t="s">
        <v>720</v>
      </c>
      <c r="G19" s="2522"/>
      <c r="H19" s="2522"/>
      <c r="I19" s="782" t="s">
        <v>277</v>
      </c>
      <c r="J19" s="774">
        <v>0</v>
      </c>
      <c r="K19" s="774"/>
      <c r="L19" s="774"/>
      <c r="M19" s="774"/>
      <c r="N19" s="782" t="s">
        <v>277</v>
      </c>
      <c r="O19" s="774">
        <v>0</v>
      </c>
      <c r="P19" s="774"/>
      <c r="Q19" s="774"/>
      <c r="R19" s="774"/>
      <c r="S19" s="782" t="s">
        <v>277</v>
      </c>
      <c r="T19" s="774">
        <v>0</v>
      </c>
      <c r="U19" s="774"/>
      <c r="V19" s="774"/>
      <c r="W19" s="774"/>
    </row>
    <row r="20" spans="1:23" ht="36.75" customHeight="1" thickBot="1">
      <c r="A20" s="1772"/>
      <c r="B20" s="1772"/>
      <c r="C20" s="352" t="s">
        <v>22</v>
      </c>
      <c r="D20" s="353" t="s">
        <v>235</v>
      </c>
      <c r="E20" s="183" t="s">
        <v>277</v>
      </c>
      <c r="F20" s="2521" t="s">
        <v>720</v>
      </c>
      <c r="G20" s="2522"/>
      <c r="H20" s="2522"/>
      <c r="I20" s="782" t="s">
        <v>277</v>
      </c>
      <c r="J20" s="774">
        <v>1</v>
      </c>
      <c r="K20" s="774"/>
      <c r="L20" s="774">
        <v>80</v>
      </c>
      <c r="M20" s="774">
        <v>80400</v>
      </c>
      <c r="N20" s="782" t="s">
        <v>277</v>
      </c>
      <c r="O20" s="774">
        <v>1</v>
      </c>
      <c r="P20" s="774"/>
      <c r="Q20" s="774">
        <v>80</v>
      </c>
      <c r="R20" s="774">
        <v>80400</v>
      </c>
      <c r="S20" s="782" t="s">
        <v>277</v>
      </c>
      <c r="T20" s="774">
        <v>1</v>
      </c>
      <c r="U20" s="774"/>
      <c r="V20" s="774">
        <v>80</v>
      </c>
      <c r="W20" s="774">
        <v>80400</v>
      </c>
    </row>
    <row r="21" spans="1:23" ht="38.25" customHeight="1">
      <c r="A21" s="1804" t="s">
        <v>23</v>
      </c>
      <c r="B21" s="1771"/>
      <c r="C21" s="356" t="s">
        <v>69</v>
      </c>
      <c r="D21" s="353" t="s">
        <v>267</v>
      </c>
      <c r="E21" s="510"/>
      <c r="F21" s="1791" t="s">
        <v>477</v>
      </c>
      <c r="G21" s="1771"/>
      <c r="H21" s="1792"/>
      <c r="I21" s="774"/>
      <c r="J21" s="774"/>
      <c r="K21" s="774"/>
      <c r="L21" s="774"/>
      <c r="M21" s="774"/>
      <c r="N21" s="774"/>
      <c r="O21" s="774"/>
      <c r="P21" s="774"/>
      <c r="Q21" s="774"/>
      <c r="R21" s="774"/>
      <c r="S21" s="774"/>
      <c r="T21" s="774"/>
      <c r="U21" s="774"/>
      <c r="V21" s="774"/>
      <c r="W21" s="774"/>
    </row>
    <row r="22" spans="1:23" ht="42.75" customHeight="1" thickBot="1">
      <c r="A22" s="1780"/>
      <c r="B22" s="1780"/>
      <c r="C22" s="357" t="s">
        <v>24</v>
      </c>
      <c r="D22" s="358" t="s">
        <v>236</v>
      </c>
      <c r="E22" s="510"/>
      <c r="F22" s="1780"/>
      <c r="G22" s="1780"/>
      <c r="H22" s="1793"/>
      <c r="I22" s="774"/>
      <c r="J22" s="774"/>
      <c r="K22" s="774"/>
      <c r="L22" s="774"/>
      <c r="M22" s="774"/>
      <c r="N22" s="774"/>
      <c r="O22" s="774"/>
      <c r="P22" s="774"/>
      <c r="Q22" s="774"/>
      <c r="R22" s="774"/>
      <c r="S22" s="774"/>
      <c r="T22" s="774"/>
      <c r="U22" s="774"/>
      <c r="V22" s="774"/>
      <c r="W22" s="774"/>
    </row>
    <row r="23" spans="1:23" ht="30" customHeight="1">
      <c r="A23" s="1801" t="s">
        <v>478</v>
      </c>
      <c r="B23" s="1792"/>
      <c r="C23" s="359" t="s">
        <v>360</v>
      </c>
      <c r="D23" s="358" t="s">
        <v>265</v>
      </c>
      <c r="E23" s="510"/>
      <c r="F23" s="1791" t="s">
        <v>477</v>
      </c>
      <c r="G23" s="1771"/>
      <c r="H23" s="1792"/>
      <c r="I23" s="774"/>
      <c r="J23" s="774"/>
      <c r="K23" s="774"/>
      <c r="L23" s="774"/>
      <c r="M23" s="774"/>
      <c r="N23" s="774"/>
      <c r="O23" s="774"/>
      <c r="P23" s="774"/>
      <c r="Q23" s="774"/>
      <c r="R23" s="774"/>
      <c r="S23" s="774"/>
      <c r="T23" s="774"/>
      <c r="U23" s="774"/>
      <c r="V23" s="774"/>
      <c r="W23" s="774"/>
    </row>
    <row r="24" spans="1:23" ht="30" customHeight="1">
      <c r="A24" s="1779"/>
      <c r="B24" s="1799"/>
      <c r="C24" s="360" t="s">
        <v>361</v>
      </c>
      <c r="D24" s="358" t="s">
        <v>362</v>
      </c>
      <c r="E24" s="510"/>
      <c r="F24" s="1845"/>
      <c r="G24" s="1845"/>
      <c r="H24" s="1799"/>
      <c r="I24" s="774"/>
      <c r="J24" s="774"/>
      <c r="K24" s="774"/>
      <c r="L24" s="774"/>
      <c r="M24" s="774"/>
      <c r="N24" s="774"/>
      <c r="O24" s="774"/>
      <c r="P24" s="774"/>
      <c r="Q24" s="774"/>
      <c r="R24" s="774"/>
      <c r="S24" s="774"/>
      <c r="T24" s="774"/>
      <c r="U24" s="774"/>
      <c r="V24" s="774"/>
      <c r="W24" s="774"/>
    </row>
    <row r="25" spans="1:23" ht="16.5" thickBot="1">
      <c r="A25" s="1779"/>
      <c r="B25" s="1799"/>
      <c r="C25" s="361" t="s">
        <v>479</v>
      </c>
      <c r="D25" s="358" t="s">
        <v>480</v>
      </c>
      <c r="E25" s="510"/>
      <c r="F25" s="1780"/>
      <c r="G25" s="1780"/>
      <c r="H25" s="1793"/>
      <c r="I25" s="774"/>
      <c r="J25" s="774"/>
      <c r="K25" s="774"/>
      <c r="L25" s="774"/>
      <c r="M25" s="774"/>
      <c r="N25" s="774"/>
      <c r="O25" s="774"/>
      <c r="P25" s="774"/>
      <c r="Q25" s="774"/>
      <c r="R25" s="774"/>
      <c r="S25" s="774"/>
      <c r="T25" s="774"/>
      <c r="U25" s="774"/>
      <c r="V25" s="774"/>
      <c r="W25" s="774"/>
    </row>
    <row r="26" spans="1:23" ht="15.75" customHeight="1" thickBot="1">
      <c r="A26" s="1802" t="s">
        <v>25</v>
      </c>
      <c r="B26" s="1776"/>
      <c r="C26" s="1777"/>
      <c r="D26" s="362" t="s">
        <v>270</v>
      </c>
      <c r="E26" s="510"/>
      <c r="F26" s="1763" t="s">
        <v>481</v>
      </c>
      <c r="G26" s="1762"/>
      <c r="H26" s="1764"/>
      <c r="I26" s="774"/>
      <c r="J26" s="774"/>
      <c r="K26" s="774"/>
      <c r="L26" s="774"/>
      <c r="M26" s="774"/>
      <c r="N26" s="774"/>
      <c r="O26" s="774"/>
      <c r="P26" s="774"/>
      <c r="Q26" s="774"/>
      <c r="R26" s="774"/>
      <c r="S26" s="774"/>
      <c r="T26" s="774"/>
      <c r="U26" s="774"/>
      <c r="V26" s="774"/>
      <c r="W26" s="774"/>
    </row>
    <row r="27" spans="1:23" ht="15.75" customHeight="1">
      <c r="A27" s="1803" t="s">
        <v>153</v>
      </c>
      <c r="B27" s="1788"/>
      <c r="C27" s="363" t="s">
        <v>152</v>
      </c>
      <c r="D27" s="364" t="s">
        <v>268</v>
      </c>
      <c r="E27" s="510"/>
      <c r="F27" s="1791" t="s">
        <v>475</v>
      </c>
      <c r="G27" s="1771"/>
      <c r="H27" s="1792"/>
      <c r="I27" s="774"/>
      <c r="J27" s="774"/>
      <c r="K27" s="774"/>
      <c r="L27" s="774"/>
      <c r="M27" s="774"/>
      <c r="N27" s="774"/>
      <c r="O27" s="774"/>
      <c r="P27" s="774"/>
      <c r="Q27" s="774"/>
      <c r="R27" s="774"/>
      <c r="S27" s="774"/>
      <c r="T27" s="774"/>
      <c r="U27" s="774"/>
      <c r="V27" s="774"/>
      <c r="W27" s="774"/>
    </row>
    <row r="28" spans="1:23" ht="15.75">
      <c r="A28" s="1779"/>
      <c r="B28" s="1788"/>
      <c r="C28" s="365" t="s">
        <v>154</v>
      </c>
      <c r="D28" s="364" t="s">
        <v>392</v>
      </c>
      <c r="E28" s="510"/>
      <c r="F28" s="1845"/>
      <c r="G28" s="1845"/>
      <c r="H28" s="1799"/>
      <c r="I28" s="774"/>
      <c r="J28" s="774"/>
      <c r="K28" s="774"/>
      <c r="L28" s="774"/>
      <c r="M28" s="774"/>
      <c r="N28" s="774"/>
      <c r="O28" s="774"/>
      <c r="P28" s="774"/>
      <c r="Q28" s="774"/>
      <c r="R28" s="774"/>
      <c r="S28" s="774"/>
      <c r="T28" s="774"/>
      <c r="U28" s="774"/>
      <c r="V28" s="774"/>
      <c r="W28" s="774"/>
    </row>
    <row r="29" spans="1:23" ht="16.5" thickBot="1">
      <c r="A29" s="1767"/>
      <c r="B29" s="1768"/>
      <c r="C29" s="366" t="s">
        <v>400</v>
      </c>
      <c r="D29" s="364" t="s">
        <v>393</v>
      </c>
      <c r="E29" s="510"/>
      <c r="F29" s="1780"/>
      <c r="G29" s="1780"/>
      <c r="H29" s="1793"/>
      <c r="I29" s="774"/>
      <c r="J29" s="774"/>
      <c r="K29" s="774"/>
      <c r="L29" s="774"/>
      <c r="M29" s="774"/>
      <c r="N29" s="774"/>
      <c r="O29" s="774"/>
      <c r="P29" s="774"/>
      <c r="Q29" s="774"/>
      <c r="R29" s="774"/>
      <c r="S29" s="774"/>
      <c r="T29" s="774"/>
      <c r="U29" s="774"/>
      <c r="V29" s="774"/>
      <c r="W29" s="774"/>
    </row>
    <row r="30" spans="1:23" ht="15.75">
      <c r="A30" s="1797" t="s">
        <v>153</v>
      </c>
      <c r="B30" s="1766"/>
      <c r="C30" s="367" t="s">
        <v>155</v>
      </c>
      <c r="D30" s="364" t="s">
        <v>266</v>
      </c>
      <c r="E30" s="510"/>
      <c r="F30" s="1791" t="s">
        <v>475</v>
      </c>
      <c r="G30" s="1771"/>
      <c r="H30" s="1792"/>
      <c r="I30" s="774"/>
      <c r="J30" s="774"/>
      <c r="K30" s="774"/>
      <c r="L30" s="774"/>
      <c r="M30" s="774"/>
      <c r="N30" s="774"/>
      <c r="O30" s="774"/>
      <c r="P30" s="774"/>
      <c r="Q30" s="774"/>
      <c r="R30" s="774"/>
      <c r="S30" s="774"/>
      <c r="T30" s="774"/>
      <c r="U30" s="774"/>
      <c r="V30" s="774"/>
      <c r="W30" s="774"/>
    </row>
    <row r="31" spans="1:23" ht="15.75">
      <c r="A31" s="1779"/>
      <c r="B31" s="1788"/>
      <c r="C31" s="365" t="s">
        <v>156</v>
      </c>
      <c r="D31" s="364" t="s">
        <v>394</v>
      </c>
      <c r="E31" s="510"/>
      <c r="F31" s="1845"/>
      <c r="G31" s="1845"/>
      <c r="H31" s="1799"/>
      <c r="I31" s="774"/>
      <c r="J31" s="774"/>
      <c r="K31" s="774"/>
      <c r="L31" s="774"/>
      <c r="M31" s="774"/>
      <c r="N31" s="774"/>
      <c r="O31" s="774"/>
      <c r="P31" s="774"/>
      <c r="Q31" s="774"/>
      <c r="R31" s="774"/>
      <c r="S31" s="774"/>
      <c r="T31" s="774"/>
      <c r="U31" s="774"/>
      <c r="V31" s="774"/>
      <c r="W31" s="774"/>
    </row>
    <row r="32" spans="1:23" ht="16.5" thickBot="1">
      <c r="A32" s="1767"/>
      <c r="B32" s="1768"/>
      <c r="C32" s="366" t="s">
        <v>399</v>
      </c>
      <c r="D32" s="364" t="s">
        <v>395</v>
      </c>
      <c r="E32" s="510"/>
      <c r="F32" s="1780"/>
      <c r="G32" s="1780"/>
      <c r="H32" s="1793"/>
      <c r="I32" s="774"/>
      <c r="J32" s="774"/>
      <c r="K32" s="774"/>
      <c r="L32" s="774"/>
      <c r="M32" s="774"/>
      <c r="N32" s="774"/>
      <c r="O32" s="774"/>
      <c r="P32" s="774"/>
      <c r="Q32" s="774"/>
      <c r="R32" s="774"/>
      <c r="S32" s="774"/>
      <c r="T32" s="774"/>
      <c r="U32" s="774"/>
      <c r="V32" s="774"/>
      <c r="W32" s="774"/>
    </row>
    <row r="33" spans="1:23" ht="16.5" thickBot="1">
      <c r="A33" s="1797" t="s">
        <v>482</v>
      </c>
      <c r="B33" s="1766"/>
      <c r="C33" s="367" t="s">
        <v>365</v>
      </c>
      <c r="D33" s="364" t="s">
        <v>252</v>
      </c>
      <c r="E33" s="510"/>
      <c r="F33" s="1791" t="s">
        <v>483</v>
      </c>
      <c r="G33" s="1771"/>
      <c r="H33" s="1792"/>
      <c r="I33" s="774"/>
      <c r="J33" s="774"/>
      <c r="K33" s="774"/>
      <c r="L33" s="774"/>
      <c r="M33" s="774"/>
      <c r="N33" s="774"/>
      <c r="O33" s="774"/>
      <c r="P33" s="774"/>
      <c r="Q33" s="774"/>
      <c r="R33" s="774"/>
      <c r="S33" s="774"/>
      <c r="T33" s="774"/>
      <c r="U33" s="774"/>
      <c r="V33" s="774"/>
      <c r="W33" s="774"/>
    </row>
    <row r="34" spans="1:23" ht="16.5" thickBot="1">
      <c r="A34" s="1797" t="s">
        <v>484</v>
      </c>
      <c r="B34" s="1766"/>
      <c r="C34" s="367" t="s">
        <v>485</v>
      </c>
      <c r="D34" s="364" t="s">
        <v>264</v>
      </c>
      <c r="E34" s="510"/>
      <c r="F34" s="1800"/>
      <c r="G34" s="1771"/>
      <c r="H34" s="1792"/>
      <c r="I34" s="774"/>
      <c r="J34" s="774"/>
      <c r="K34" s="774"/>
      <c r="L34" s="774"/>
      <c r="M34" s="774"/>
      <c r="N34" s="774"/>
      <c r="O34" s="774"/>
      <c r="P34" s="774"/>
      <c r="Q34" s="774"/>
      <c r="R34" s="774"/>
      <c r="S34" s="774"/>
      <c r="T34" s="774"/>
      <c r="U34" s="774"/>
      <c r="V34" s="774"/>
      <c r="W34" s="774"/>
    </row>
    <row r="35" spans="1:23" ht="15.75">
      <c r="A35" s="1795" t="s">
        <v>486</v>
      </c>
      <c r="B35" s="1766"/>
      <c r="C35" s="368" t="s">
        <v>43</v>
      </c>
      <c r="D35" s="369" t="s">
        <v>256</v>
      </c>
      <c r="E35" s="510"/>
      <c r="F35" s="1791" t="s">
        <v>487</v>
      </c>
      <c r="G35" s="1771"/>
      <c r="H35" s="1792"/>
      <c r="I35" s="774"/>
      <c r="J35" s="774"/>
      <c r="K35" s="774"/>
      <c r="L35" s="774"/>
      <c r="M35" s="774"/>
      <c r="N35" s="774"/>
      <c r="O35" s="774"/>
      <c r="P35" s="774"/>
      <c r="Q35" s="774"/>
      <c r="R35" s="774"/>
      <c r="S35" s="774"/>
      <c r="T35" s="774"/>
      <c r="U35" s="774"/>
      <c r="V35" s="774"/>
      <c r="W35" s="774"/>
    </row>
    <row r="36" spans="1:23" ht="16.5" thickBot="1">
      <c r="A36" s="1767"/>
      <c r="B36" s="1768"/>
      <c r="C36" s="370" t="s">
        <v>60</v>
      </c>
      <c r="D36" s="369" t="s">
        <v>257</v>
      </c>
      <c r="E36" s="510"/>
      <c r="F36" s="1780"/>
      <c r="G36" s="1780"/>
      <c r="H36" s="1793"/>
      <c r="I36" s="774"/>
      <c r="J36" s="774"/>
      <c r="K36" s="774"/>
      <c r="L36" s="774"/>
      <c r="M36" s="774"/>
      <c r="N36" s="774"/>
      <c r="O36" s="774"/>
      <c r="P36" s="774"/>
      <c r="Q36" s="774"/>
      <c r="R36" s="774"/>
      <c r="S36" s="774"/>
      <c r="T36" s="774"/>
      <c r="U36" s="774"/>
      <c r="V36" s="774"/>
      <c r="W36" s="774"/>
    </row>
    <row r="37" spans="1:23" ht="30">
      <c r="A37" s="1796" t="s">
        <v>33</v>
      </c>
      <c r="B37" s="1771"/>
      <c r="C37" s="371" t="s">
        <v>30</v>
      </c>
      <c r="D37" s="372" t="s">
        <v>170</v>
      </c>
      <c r="E37" s="184" t="s">
        <v>277</v>
      </c>
      <c r="F37" s="2524" t="s">
        <v>721</v>
      </c>
      <c r="G37" s="2525"/>
      <c r="H37" s="2526"/>
      <c r="I37" s="782" t="s">
        <v>277</v>
      </c>
      <c r="J37" s="774">
        <v>0</v>
      </c>
      <c r="K37" s="774"/>
      <c r="L37" s="774"/>
      <c r="M37" s="774"/>
      <c r="N37" s="782" t="s">
        <v>277</v>
      </c>
      <c r="O37" s="774">
        <v>0</v>
      </c>
      <c r="P37" s="774"/>
      <c r="Q37" s="774"/>
      <c r="R37" s="774"/>
      <c r="S37" s="782" t="s">
        <v>277</v>
      </c>
      <c r="T37" s="774">
        <v>0</v>
      </c>
      <c r="U37" s="774"/>
      <c r="V37" s="774"/>
      <c r="W37" s="774"/>
    </row>
    <row r="38" spans="1:23" ht="30">
      <c r="A38" s="1779"/>
      <c r="B38" s="1772"/>
      <c r="C38" s="373" t="s">
        <v>31</v>
      </c>
      <c r="D38" s="372" t="s">
        <v>169</v>
      </c>
      <c r="E38" s="184" t="s">
        <v>277</v>
      </c>
      <c r="F38" s="2527" t="s">
        <v>722</v>
      </c>
      <c r="G38" s="2528"/>
      <c r="H38" s="2529"/>
      <c r="I38" s="782" t="s">
        <v>277</v>
      </c>
      <c r="J38" s="774">
        <v>0</v>
      </c>
      <c r="K38" s="774"/>
      <c r="L38" s="774"/>
      <c r="M38" s="774"/>
      <c r="N38" s="782" t="s">
        <v>277</v>
      </c>
      <c r="O38" s="774">
        <v>0</v>
      </c>
      <c r="P38" s="774"/>
      <c r="Q38" s="774"/>
      <c r="R38" s="774"/>
      <c r="S38" s="782" t="s">
        <v>277</v>
      </c>
      <c r="T38" s="774">
        <v>0</v>
      </c>
      <c r="U38" s="774"/>
      <c r="V38" s="774"/>
      <c r="W38" s="774"/>
    </row>
    <row r="39" spans="1:23" ht="30.75" thickBot="1">
      <c r="A39" s="1779"/>
      <c r="B39" s="1772"/>
      <c r="C39" s="374" t="s">
        <v>32</v>
      </c>
      <c r="D39" s="372" t="s">
        <v>250</v>
      </c>
      <c r="E39" s="184" t="s">
        <v>277</v>
      </c>
      <c r="F39" s="2530" t="s">
        <v>723</v>
      </c>
      <c r="G39" s="2524"/>
      <c r="H39" s="2531"/>
      <c r="I39" s="782" t="s">
        <v>277</v>
      </c>
      <c r="J39" s="774">
        <v>1</v>
      </c>
      <c r="K39" s="774"/>
      <c r="L39" s="774">
        <v>80</v>
      </c>
      <c r="M39" s="774">
        <v>93200</v>
      </c>
      <c r="N39" s="782" t="s">
        <v>277</v>
      </c>
      <c r="O39" s="774">
        <v>1</v>
      </c>
      <c r="P39" s="774"/>
      <c r="Q39" s="774">
        <v>80</v>
      </c>
      <c r="R39" s="774">
        <v>93200</v>
      </c>
      <c r="S39" s="782" t="s">
        <v>277</v>
      </c>
      <c r="T39" s="774">
        <v>1</v>
      </c>
      <c r="U39" s="774"/>
      <c r="V39" s="774">
        <v>80</v>
      </c>
      <c r="W39" s="774">
        <v>93200</v>
      </c>
    </row>
    <row r="40" spans="1:23" ht="15.75">
      <c r="A40" s="1786" t="s">
        <v>491</v>
      </c>
      <c r="B40" s="1787"/>
      <c r="C40" s="375" t="s">
        <v>144</v>
      </c>
      <c r="D40" s="376" t="s">
        <v>253</v>
      </c>
      <c r="E40" s="184" t="s">
        <v>277</v>
      </c>
      <c r="F40" s="2521" t="s">
        <v>724</v>
      </c>
      <c r="G40" s="2522"/>
      <c r="H40" s="2523"/>
      <c r="I40" s="782" t="s">
        <v>277</v>
      </c>
      <c r="J40" s="774">
        <v>0</v>
      </c>
      <c r="K40" s="774"/>
      <c r="L40" s="774">
        <v>0</v>
      </c>
      <c r="M40" s="774">
        <v>0</v>
      </c>
      <c r="N40" s="782" t="s">
        <v>277</v>
      </c>
      <c r="O40" s="774">
        <v>0</v>
      </c>
      <c r="P40" s="774"/>
      <c r="Q40" s="774">
        <v>0</v>
      </c>
      <c r="R40" s="774">
        <v>0</v>
      </c>
      <c r="S40" s="782" t="s">
        <v>277</v>
      </c>
      <c r="T40" s="774">
        <v>0</v>
      </c>
      <c r="U40" s="774"/>
      <c r="V40" s="774">
        <v>0</v>
      </c>
      <c r="W40" s="774">
        <v>0</v>
      </c>
    </row>
    <row r="41" spans="1:23" ht="16.5" thickBot="1">
      <c r="A41" s="1772"/>
      <c r="B41" s="1788"/>
      <c r="C41" s="377" t="s">
        <v>145</v>
      </c>
      <c r="D41" s="376" t="s">
        <v>254</v>
      </c>
      <c r="E41" s="510"/>
      <c r="F41" s="511"/>
      <c r="G41" s="511"/>
      <c r="H41" s="512"/>
      <c r="I41" s="774"/>
      <c r="J41" s="774"/>
      <c r="K41" s="774"/>
      <c r="L41" s="774"/>
      <c r="M41" s="774"/>
      <c r="N41" s="774"/>
      <c r="O41" s="774"/>
      <c r="P41" s="774"/>
      <c r="Q41" s="774"/>
      <c r="R41" s="774"/>
      <c r="S41" s="774"/>
      <c r="T41" s="774"/>
      <c r="U41" s="774"/>
      <c r="V41" s="774"/>
      <c r="W41" s="774"/>
    </row>
    <row r="42" spans="1:23" ht="48" thickBot="1">
      <c r="A42" s="1789"/>
      <c r="B42" s="1790"/>
      <c r="C42" s="378" t="s">
        <v>128</v>
      </c>
      <c r="D42" s="376" t="s">
        <v>262</v>
      </c>
      <c r="E42" s="510"/>
      <c r="F42" s="1794"/>
      <c r="G42" s="1762"/>
      <c r="H42" s="1764"/>
      <c r="I42" s="774"/>
      <c r="J42" s="774"/>
      <c r="K42" s="774"/>
      <c r="L42" s="774"/>
      <c r="M42" s="774"/>
      <c r="N42" s="774"/>
      <c r="O42" s="774"/>
      <c r="P42" s="774"/>
      <c r="Q42" s="774"/>
      <c r="R42" s="774"/>
      <c r="S42" s="774"/>
      <c r="T42" s="774"/>
      <c r="U42" s="774"/>
      <c r="V42" s="774"/>
      <c r="W42" s="774"/>
    </row>
    <row r="43" spans="1:23" ht="15.75" thickBot="1">
      <c r="A43" s="1775" t="s">
        <v>493</v>
      </c>
      <c r="B43" s="1776"/>
      <c r="C43" s="1777"/>
      <c r="D43" s="379" t="s">
        <v>237</v>
      </c>
      <c r="E43" s="510"/>
      <c r="F43" s="1763" t="s">
        <v>559</v>
      </c>
      <c r="G43" s="1762"/>
      <c r="H43" s="1764"/>
      <c r="I43" s="774"/>
      <c r="J43" s="774"/>
      <c r="K43" s="774"/>
      <c r="L43" s="774"/>
      <c r="M43" s="774"/>
      <c r="N43" s="774"/>
      <c r="O43" s="774"/>
      <c r="P43" s="774"/>
      <c r="Q43" s="774"/>
      <c r="R43" s="774"/>
      <c r="S43" s="783"/>
      <c r="T43" s="774"/>
      <c r="U43" s="774"/>
      <c r="V43" s="774"/>
      <c r="W43" s="774"/>
    </row>
    <row r="44" spans="1:23" ht="15.75" thickBot="1">
      <c r="A44" s="1775" t="s">
        <v>133</v>
      </c>
      <c r="B44" s="1776"/>
      <c r="C44" s="1777"/>
      <c r="D44" s="379" t="s">
        <v>238</v>
      </c>
      <c r="E44" s="184" t="s">
        <v>277</v>
      </c>
      <c r="F44" s="2517" t="s">
        <v>725</v>
      </c>
      <c r="G44" s="2518"/>
      <c r="H44" s="2519"/>
      <c r="I44" s="782" t="s">
        <v>277</v>
      </c>
      <c r="J44" s="774">
        <v>1</v>
      </c>
      <c r="K44" s="774"/>
      <c r="L44" s="774">
        <v>5</v>
      </c>
      <c r="M44" s="774">
        <v>8950</v>
      </c>
      <c r="N44" s="782" t="s">
        <v>277</v>
      </c>
      <c r="O44" s="774">
        <v>1</v>
      </c>
      <c r="P44" s="774"/>
      <c r="Q44" s="774">
        <v>5</v>
      </c>
      <c r="R44" s="774">
        <v>8950</v>
      </c>
      <c r="S44" s="782" t="s">
        <v>277</v>
      </c>
      <c r="T44" s="774">
        <v>1</v>
      </c>
      <c r="U44" s="774"/>
      <c r="V44" s="774">
        <v>5</v>
      </c>
      <c r="W44" s="774">
        <v>8950</v>
      </c>
    </row>
    <row r="45" spans="1:23">
      <c r="A45" s="1778" t="s">
        <v>41</v>
      </c>
      <c r="B45" s="1772"/>
      <c r="C45" s="380" t="s">
        <v>50</v>
      </c>
      <c r="D45" s="381" t="s">
        <v>246</v>
      </c>
      <c r="E45" s="510"/>
      <c r="F45" s="1781" t="s">
        <v>560</v>
      </c>
      <c r="G45" s="1762"/>
      <c r="H45" s="1764"/>
      <c r="I45" s="774"/>
      <c r="J45" s="774"/>
      <c r="K45" s="774"/>
      <c r="L45" s="774"/>
      <c r="M45" s="774"/>
      <c r="N45" s="774"/>
      <c r="O45" s="774"/>
      <c r="P45" s="774"/>
      <c r="Q45" s="774"/>
      <c r="R45" s="774"/>
      <c r="S45" s="774"/>
      <c r="T45" s="774"/>
      <c r="U45" s="774"/>
      <c r="V45" s="774"/>
      <c r="W45" s="774"/>
    </row>
    <row r="46" spans="1:23" ht="32.25" customHeight="1">
      <c r="A46" s="1779"/>
      <c r="B46" s="1772"/>
      <c r="C46" s="382" t="s">
        <v>51</v>
      </c>
      <c r="D46" s="381" t="s">
        <v>247</v>
      </c>
      <c r="E46" s="184" t="s">
        <v>277</v>
      </c>
      <c r="F46" s="2520" t="s">
        <v>726</v>
      </c>
      <c r="G46" s="2518"/>
      <c r="H46" s="2519"/>
      <c r="I46" s="782" t="s">
        <v>277</v>
      </c>
      <c r="J46" s="774">
        <v>0</v>
      </c>
      <c r="K46" s="774"/>
      <c r="L46" s="774">
        <v>0</v>
      </c>
      <c r="M46" s="774">
        <v>0</v>
      </c>
      <c r="N46" s="782" t="s">
        <v>277</v>
      </c>
      <c r="O46" s="774">
        <v>0</v>
      </c>
      <c r="P46" s="774"/>
      <c r="Q46" s="774">
        <v>0</v>
      </c>
      <c r="R46" s="774">
        <v>0</v>
      </c>
      <c r="S46" s="782" t="s">
        <v>277</v>
      </c>
      <c r="T46" s="774">
        <v>0</v>
      </c>
      <c r="U46" s="774"/>
      <c r="V46" s="774">
        <v>0</v>
      </c>
      <c r="W46" s="774">
        <v>0</v>
      </c>
    </row>
    <row r="47" spans="1:23" ht="34.5" customHeight="1">
      <c r="A47" s="1779"/>
      <c r="B47" s="1772"/>
      <c r="C47" s="382" t="s">
        <v>39</v>
      </c>
      <c r="D47" s="381" t="s">
        <v>248</v>
      </c>
      <c r="E47" s="184" t="s">
        <v>277</v>
      </c>
      <c r="F47" s="2520" t="s">
        <v>727</v>
      </c>
      <c r="G47" s="2518"/>
      <c r="H47" s="2519"/>
      <c r="I47" s="782" t="s">
        <v>277</v>
      </c>
      <c r="J47" s="774">
        <v>0</v>
      </c>
      <c r="K47" s="774"/>
      <c r="L47" s="774">
        <v>0</v>
      </c>
      <c r="M47" s="774">
        <v>0</v>
      </c>
      <c r="N47" s="782" t="s">
        <v>277</v>
      </c>
      <c r="O47" s="774">
        <v>0</v>
      </c>
      <c r="P47" s="774"/>
      <c r="Q47" s="774">
        <v>0</v>
      </c>
      <c r="R47" s="774">
        <v>0</v>
      </c>
      <c r="S47" s="782" t="s">
        <v>277</v>
      </c>
      <c r="T47" s="774">
        <v>0</v>
      </c>
      <c r="U47" s="774"/>
      <c r="V47" s="774">
        <v>0</v>
      </c>
      <c r="W47" s="774">
        <v>0</v>
      </c>
    </row>
    <row r="48" spans="1:23" ht="15.75" thickBot="1">
      <c r="A48" s="1767"/>
      <c r="B48" s="1780"/>
      <c r="C48" s="383" t="s">
        <v>40</v>
      </c>
      <c r="D48" s="381" t="s">
        <v>249</v>
      </c>
      <c r="E48" s="184" t="s">
        <v>277</v>
      </c>
      <c r="F48" s="2520" t="s">
        <v>728</v>
      </c>
      <c r="G48" s="2518"/>
      <c r="H48" s="2519"/>
      <c r="I48" s="782" t="s">
        <v>277</v>
      </c>
      <c r="J48" s="774">
        <v>1</v>
      </c>
      <c r="K48" s="774"/>
      <c r="L48" s="774">
        <v>5</v>
      </c>
      <c r="M48" s="774">
        <v>6350</v>
      </c>
      <c r="N48" s="782" t="s">
        <v>277</v>
      </c>
      <c r="O48" s="774">
        <v>1</v>
      </c>
      <c r="P48" s="774"/>
      <c r="Q48" s="774">
        <v>5</v>
      </c>
      <c r="R48" s="774">
        <v>6350</v>
      </c>
      <c r="S48" s="782" t="s">
        <v>277</v>
      </c>
      <c r="T48" s="774">
        <v>1</v>
      </c>
      <c r="U48" s="774"/>
      <c r="V48" s="774">
        <v>5</v>
      </c>
      <c r="W48" s="774">
        <v>6350</v>
      </c>
    </row>
    <row r="49" spans="1:23" ht="15.75">
      <c r="A49" s="1765" t="s">
        <v>130</v>
      </c>
      <c r="B49" s="1766"/>
      <c r="C49" s="375" t="s">
        <v>131</v>
      </c>
      <c r="D49" s="376" t="s">
        <v>255</v>
      </c>
      <c r="E49" s="510"/>
      <c r="F49" s="1769"/>
      <c r="G49" s="1762"/>
      <c r="H49" s="1764"/>
      <c r="I49" s="774"/>
      <c r="J49" s="774"/>
      <c r="K49" s="774"/>
      <c r="L49" s="774"/>
      <c r="M49" s="774"/>
      <c r="N49" s="774"/>
      <c r="O49" s="774"/>
      <c r="P49" s="774"/>
      <c r="Q49" s="774"/>
      <c r="R49" s="774"/>
      <c r="S49" s="774"/>
      <c r="T49" s="774"/>
      <c r="U49" s="774"/>
      <c r="V49" s="774"/>
      <c r="W49" s="774"/>
    </row>
    <row r="50" spans="1:23" ht="48" thickBot="1">
      <c r="A50" s="1767"/>
      <c r="B50" s="1768"/>
      <c r="C50" s="384" t="s">
        <v>132</v>
      </c>
      <c r="D50" s="376" t="s">
        <v>263</v>
      </c>
      <c r="E50" s="510"/>
      <c r="F50" s="1769"/>
      <c r="G50" s="1762"/>
      <c r="H50" s="1764"/>
      <c r="I50" s="774"/>
      <c r="J50" s="774"/>
      <c r="K50" s="774"/>
      <c r="L50" s="774"/>
      <c r="M50" s="774"/>
      <c r="N50" s="774"/>
      <c r="O50" s="774"/>
      <c r="P50" s="774"/>
      <c r="Q50" s="774"/>
      <c r="R50" s="774"/>
      <c r="S50" s="774"/>
      <c r="T50" s="774"/>
      <c r="U50" s="774"/>
      <c r="V50" s="774"/>
      <c r="W50" s="774"/>
    </row>
    <row r="51" spans="1:23">
      <c r="A51" s="1770" t="s">
        <v>42</v>
      </c>
      <c r="B51" s="1771"/>
      <c r="C51" s="385" t="s">
        <v>38</v>
      </c>
      <c r="D51" s="386" t="s">
        <v>239</v>
      </c>
      <c r="E51" s="510"/>
      <c r="F51" s="1763" t="s">
        <v>499</v>
      </c>
      <c r="G51" s="1762"/>
      <c r="H51" s="1764"/>
      <c r="I51" s="774"/>
      <c r="J51" s="774"/>
      <c r="K51" s="774"/>
      <c r="L51" s="774"/>
      <c r="M51" s="774"/>
      <c r="N51" s="774"/>
      <c r="O51" s="774"/>
      <c r="P51" s="774"/>
      <c r="Q51" s="774"/>
      <c r="R51" s="774"/>
      <c r="S51" s="774"/>
      <c r="T51" s="774"/>
      <c r="U51" s="774"/>
      <c r="V51" s="774"/>
      <c r="W51" s="774"/>
    </row>
    <row r="52" spans="1:23">
      <c r="A52" s="1772"/>
      <c r="B52" s="1772"/>
      <c r="C52" s="387" t="s">
        <v>55</v>
      </c>
      <c r="D52" s="386" t="s">
        <v>240</v>
      </c>
      <c r="E52" s="510"/>
      <c r="F52" s="1773"/>
      <c r="G52" s="1762"/>
      <c r="H52" s="1764"/>
      <c r="I52" s="774"/>
      <c r="J52" s="774"/>
      <c r="K52" s="774"/>
      <c r="L52" s="774"/>
      <c r="M52" s="774"/>
      <c r="N52" s="774"/>
      <c r="O52" s="774"/>
      <c r="P52" s="774"/>
      <c r="Q52" s="774"/>
      <c r="R52" s="774"/>
      <c r="S52" s="774"/>
      <c r="T52" s="774"/>
      <c r="U52" s="774"/>
      <c r="V52" s="774"/>
      <c r="W52" s="774"/>
    </row>
    <row r="53" spans="1:23" ht="16.5" thickBot="1">
      <c r="A53" s="1772"/>
      <c r="B53" s="1772"/>
      <c r="C53" s="377" t="s">
        <v>48</v>
      </c>
      <c r="D53" s="388" t="s">
        <v>241</v>
      </c>
      <c r="E53" s="510"/>
      <c r="F53" s="1774"/>
      <c r="G53" s="1762"/>
      <c r="H53" s="1764"/>
      <c r="I53" s="774"/>
      <c r="J53" s="774"/>
      <c r="K53" s="774"/>
      <c r="L53" s="774"/>
      <c r="M53" s="774"/>
      <c r="N53" s="774"/>
      <c r="O53" s="774"/>
      <c r="P53" s="774"/>
      <c r="Q53" s="774"/>
      <c r="R53" s="774"/>
      <c r="S53" s="774"/>
      <c r="T53" s="774"/>
      <c r="U53" s="774"/>
      <c r="V53" s="774"/>
      <c r="W53" s="774"/>
    </row>
    <row r="54" spans="1:23" ht="32.25" thickBot="1">
      <c r="A54" s="1761" t="s">
        <v>500</v>
      </c>
      <c r="B54" s="1762"/>
      <c r="C54" s="389" t="s">
        <v>134</v>
      </c>
      <c r="D54" s="390" t="s">
        <v>269</v>
      </c>
      <c r="E54" s="513"/>
      <c r="F54" s="1763" t="s">
        <v>501</v>
      </c>
      <c r="G54" s="1762"/>
      <c r="H54" s="1764"/>
      <c r="I54" s="774"/>
      <c r="J54" s="774"/>
      <c r="K54" s="774"/>
      <c r="L54" s="774"/>
      <c r="M54" s="774"/>
      <c r="N54" s="774"/>
      <c r="O54" s="774"/>
      <c r="P54" s="774"/>
      <c r="Q54" s="774"/>
      <c r="R54" s="774"/>
      <c r="S54" s="774"/>
      <c r="T54" s="774"/>
      <c r="U54" s="774"/>
      <c r="V54" s="774"/>
      <c r="W54" s="774"/>
    </row>
    <row r="56" spans="1:23">
      <c r="M56">
        <f>SUM(M16:M54)</f>
        <v>188900</v>
      </c>
    </row>
    <row r="57" spans="1:23" ht="60">
      <c r="A57" s="661" t="s">
        <v>948</v>
      </c>
      <c r="B57" s="772" t="s">
        <v>949</v>
      </c>
      <c r="C57" s="772" t="s">
        <v>950</v>
      </c>
      <c r="D57" s="772" t="s">
        <v>951</v>
      </c>
      <c r="E57" s="772" t="s">
        <v>952</v>
      </c>
    </row>
    <row r="58" spans="1:23">
      <c r="A58" s="773" t="s">
        <v>953</v>
      </c>
      <c r="B58" s="774" t="s">
        <v>1005</v>
      </c>
      <c r="C58" s="2532" t="s">
        <v>1082</v>
      </c>
      <c r="D58" s="2533"/>
      <c r="E58" s="2534"/>
    </row>
    <row r="59" spans="1:23">
      <c r="A59" s="773" t="s">
        <v>956</v>
      </c>
      <c r="B59" s="774" t="s">
        <v>1005</v>
      </c>
      <c r="C59" s="774"/>
      <c r="D59" s="774"/>
      <c r="E59" s="774"/>
    </row>
    <row r="60" spans="1:23">
      <c r="A60" s="773" t="s">
        <v>957</v>
      </c>
      <c r="B60" s="774" t="s">
        <v>954</v>
      </c>
      <c r="C60" s="774">
        <v>1</v>
      </c>
      <c r="D60" s="774">
        <v>3</v>
      </c>
      <c r="E60" s="774" t="s">
        <v>1083</v>
      </c>
    </row>
    <row r="61" spans="1:23">
      <c r="A61" s="773" t="s">
        <v>959</v>
      </c>
      <c r="B61" s="774" t="s">
        <v>954</v>
      </c>
      <c r="C61" s="774">
        <v>5</v>
      </c>
      <c r="D61" s="774">
        <v>0.5</v>
      </c>
      <c r="E61" s="775">
        <v>45689</v>
      </c>
    </row>
    <row r="62" spans="1:23">
      <c r="A62" s="773" t="s">
        <v>961</v>
      </c>
      <c r="B62" s="774" t="s">
        <v>954</v>
      </c>
      <c r="C62" s="774">
        <v>4</v>
      </c>
      <c r="D62" s="774">
        <v>4</v>
      </c>
      <c r="E62" s="775">
        <v>45778</v>
      </c>
    </row>
    <row r="63" spans="1:23">
      <c r="A63" s="773" t="s">
        <v>963</v>
      </c>
      <c r="B63" s="774" t="s">
        <v>954</v>
      </c>
      <c r="C63" s="774">
        <v>2</v>
      </c>
      <c r="D63" s="774">
        <v>2</v>
      </c>
      <c r="E63" s="775">
        <v>45778</v>
      </c>
    </row>
    <row r="64" spans="1:23">
      <c r="A64" s="773" t="s">
        <v>965</v>
      </c>
      <c r="B64" s="774" t="s">
        <v>954</v>
      </c>
      <c r="C64" s="774">
        <v>4</v>
      </c>
      <c r="D64" s="774">
        <v>2</v>
      </c>
      <c r="E64" s="775">
        <v>45778</v>
      </c>
    </row>
    <row r="65" spans="1:6">
      <c r="A65" s="773" t="s">
        <v>967</v>
      </c>
      <c r="B65" s="774" t="s">
        <v>1005</v>
      </c>
      <c r="C65" s="774"/>
      <c r="D65" s="774"/>
      <c r="E65" s="774"/>
    </row>
    <row r="66" spans="1:6">
      <c r="A66" s="773" t="s">
        <v>969</v>
      </c>
      <c r="B66" s="774" t="s">
        <v>954</v>
      </c>
      <c r="C66" s="774">
        <v>1</v>
      </c>
      <c r="D66" s="774">
        <v>1</v>
      </c>
      <c r="E66" s="774"/>
    </row>
    <row r="67" spans="1:6">
      <c r="A67" s="773" t="s">
        <v>971</v>
      </c>
      <c r="B67" s="774" t="s">
        <v>954</v>
      </c>
      <c r="C67" s="774">
        <v>4</v>
      </c>
      <c r="D67" s="774">
        <v>2</v>
      </c>
      <c r="E67" s="774">
        <v>2025</v>
      </c>
    </row>
    <row r="68" spans="1:6">
      <c r="A68" s="631" t="s">
        <v>986</v>
      </c>
      <c r="B68" s="776"/>
      <c r="C68" s="776"/>
      <c r="D68" s="776"/>
      <c r="E68" s="777"/>
    </row>
    <row r="69" spans="1:6">
      <c r="A69" s="631"/>
      <c r="B69" s="632"/>
      <c r="C69" s="632"/>
      <c r="D69" s="632"/>
      <c r="E69" s="633"/>
    </row>
    <row r="70" spans="1:6">
      <c r="A70" s="631"/>
      <c r="B70" s="632"/>
      <c r="C70" s="632"/>
      <c r="D70" s="632"/>
      <c r="E70" s="633"/>
    </row>
    <row r="72" spans="1:6">
      <c r="D72" s="8">
        <f>SUM(D60:D67)</f>
        <v>14.5</v>
      </c>
    </row>
    <row r="75" spans="1:6">
      <c r="A75" s="1829" t="s">
        <v>1270</v>
      </c>
      <c r="B75" s="1830"/>
      <c r="C75" s="1830"/>
      <c r="D75" s="1830"/>
      <c r="E75" s="1830"/>
      <c r="F75" s="1830"/>
    </row>
    <row r="76" spans="1:6" ht="75">
      <c r="A76" s="1406" t="s">
        <v>1271</v>
      </c>
      <c r="B76" s="1406" t="s">
        <v>1272</v>
      </c>
      <c r="C76" s="1406" t="s">
        <v>1273</v>
      </c>
      <c r="D76" s="1406" t="s">
        <v>1274</v>
      </c>
      <c r="E76" s="1406" t="s">
        <v>1275</v>
      </c>
      <c r="F76" s="1406" t="s">
        <v>1276</v>
      </c>
    </row>
    <row r="77" spans="1:6">
      <c r="A77" s="1407"/>
      <c r="B77" s="1407" t="s">
        <v>1461</v>
      </c>
      <c r="C77" s="1407" t="s">
        <v>1462</v>
      </c>
      <c r="D77" s="1407" t="s">
        <v>1037</v>
      </c>
      <c r="E77" s="1407" t="s">
        <v>1463</v>
      </c>
      <c r="F77" s="1407">
        <v>10</v>
      </c>
    </row>
    <row r="78" spans="1:6">
      <c r="A78" s="1407"/>
      <c r="B78" s="1407" t="s">
        <v>1464</v>
      </c>
      <c r="C78" s="1407" t="s">
        <v>1462</v>
      </c>
      <c r="D78" s="1407" t="s">
        <v>1037</v>
      </c>
      <c r="E78" s="1407" t="s">
        <v>1463</v>
      </c>
      <c r="F78" s="1407">
        <v>10</v>
      </c>
    </row>
    <row r="79" spans="1:6">
      <c r="A79" s="1407"/>
      <c r="B79" s="1407" t="s">
        <v>1465</v>
      </c>
      <c r="C79" s="1407" t="s">
        <v>1466</v>
      </c>
      <c r="D79" s="1407" t="s">
        <v>1037</v>
      </c>
      <c r="E79" s="1407" t="s">
        <v>1463</v>
      </c>
      <c r="F79" s="1407">
        <v>10</v>
      </c>
    </row>
    <row r="80" spans="1:6" ht="90">
      <c r="A80" s="1408"/>
      <c r="B80" s="1409" t="s">
        <v>1467</v>
      </c>
      <c r="C80" s="1408" t="s">
        <v>1466</v>
      </c>
      <c r="D80" s="1408" t="s">
        <v>1037</v>
      </c>
      <c r="E80" s="1408" t="s">
        <v>1468</v>
      </c>
      <c r="F80" s="1408">
        <v>10</v>
      </c>
    </row>
  </sheetData>
  <mergeCells count="62">
    <mergeCell ref="A75:F75"/>
    <mergeCell ref="C58:E58"/>
    <mergeCell ref="I13:M13"/>
    <mergeCell ref="N13:R13"/>
    <mergeCell ref="S13:W13"/>
    <mergeCell ref="A23:B25"/>
    <mergeCell ref="A21:B22"/>
    <mergeCell ref="F21:H22"/>
    <mergeCell ref="F23:H25"/>
    <mergeCell ref="A18:B20"/>
    <mergeCell ref="F18:H18"/>
    <mergeCell ref="F19:H19"/>
    <mergeCell ref="F20:H20"/>
    <mergeCell ref="A26:C26"/>
    <mergeCell ref="F26:H26"/>
    <mergeCell ref="A27:B29"/>
    <mergeCell ref="B2:D2"/>
    <mergeCell ref="B3:D3"/>
    <mergeCell ref="B4:D4"/>
    <mergeCell ref="B6:D6"/>
    <mergeCell ref="B8:D8"/>
    <mergeCell ref="A10:B10"/>
    <mergeCell ref="E12:H13"/>
    <mergeCell ref="A14:B14"/>
    <mergeCell ref="F14:H14"/>
    <mergeCell ref="A15:B17"/>
    <mergeCell ref="C10:H10"/>
    <mergeCell ref="F15:H17"/>
    <mergeCell ref="F27:H29"/>
    <mergeCell ref="A30:B32"/>
    <mergeCell ref="F30:H32"/>
    <mergeCell ref="A33:B33"/>
    <mergeCell ref="F33:H33"/>
    <mergeCell ref="A34:B34"/>
    <mergeCell ref="F34:H34"/>
    <mergeCell ref="A35:B36"/>
    <mergeCell ref="F35:H36"/>
    <mergeCell ref="A37:B39"/>
    <mergeCell ref="F37:H37"/>
    <mergeCell ref="F38:H38"/>
    <mergeCell ref="F39:H39"/>
    <mergeCell ref="A40:B42"/>
    <mergeCell ref="F40:H40"/>
    <mergeCell ref="F42:H42"/>
    <mergeCell ref="A43:C43"/>
    <mergeCell ref="F43:H43"/>
    <mergeCell ref="A44:C44"/>
    <mergeCell ref="F44:H44"/>
    <mergeCell ref="A45:B48"/>
    <mergeCell ref="F45:H45"/>
    <mergeCell ref="F46:H46"/>
    <mergeCell ref="F47:H47"/>
    <mergeCell ref="F48:H48"/>
    <mergeCell ref="A54:B54"/>
    <mergeCell ref="F54:H54"/>
    <mergeCell ref="A49:B50"/>
    <mergeCell ref="F49:H49"/>
    <mergeCell ref="F50:H50"/>
    <mergeCell ref="A51:B53"/>
    <mergeCell ref="F51:H51"/>
    <mergeCell ref="F52:H52"/>
    <mergeCell ref="F53:H53"/>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2" location="SOMMAIRE!A1" display="Retour sommaire"/>
    <hyperlink ref="G3" r:id="rId1" display="a.dlugon@pnr-scarpe-escaut.fr"/>
    <hyperlink ref="J4" location="SYNTHESE!A1" display="Retour synthèse"/>
  </hyperlinks>
  <pageMargins left="0.7" right="0.7" top="0.75" bottom="0.75" header="0.3" footer="0.3"/>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7E4FF"/>
  </sheetPr>
  <dimension ref="A1:W80"/>
  <sheetViews>
    <sheetView topLeftCell="A34" zoomScale="70" zoomScaleNormal="70" workbookViewId="0">
      <selection activeCell="F46" sqref="F46:H46"/>
    </sheetView>
  </sheetViews>
  <sheetFormatPr baseColWidth="10" defaultRowHeight="15"/>
  <cols>
    <col min="1" max="1" width="20.42578125" style="1" bestFit="1" customWidth="1"/>
    <col min="2" max="2" width="15.7109375" style="1" customWidth="1"/>
    <col min="3" max="3" width="48.7109375" style="1" customWidth="1"/>
    <col min="4" max="4" width="8.42578125" style="1" customWidth="1"/>
    <col min="5" max="5" width="7.5703125" style="1" customWidth="1"/>
    <col min="6" max="6" width="16.28515625" style="1" bestFit="1" customWidth="1"/>
    <col min="7" max="7" width="32.5703125" style="1" bestFit="1" customWidth="1"/>
    <col min="8" max="8" width="17.28515625" customWidth="1"/>
    <col min="10" max="10" width="16.42578125" bestFit="1" customWidth="1"/>
  </cols>
  <sheetData>
    <row r="1" spans="1:23" ht="15.75" thickBot="1">
      <c r="A1"/>
      <c r="B1"/>
      <c r="C1"/>
      <c r="D1"/>
      <c r="E1"/>
      <c r="F1"/>
      <c r="G1"/>
    </row>
    <row r="2" spans="1:23" ht="15.75" thickBot="1">
      <c r="A2" s="109" t="s">
        <v>0</v>
      </c>
      <c r="B2" s="1822" t="s">
        <v>713</v>
      </c>
      <c r="C2" s="2538"/>
      <c r="D2" s="2539"/>
      <c r="E2" s="110"/>
      <c r="F2" s="110"/>
      <c r="G2" s="111" t="s">
        <v>462</v>
      </c>
      <c r="H2" s="112" t="s">
        <v>14</v>
      </c>
    </row>
    <row r="3" spans="1:23" ht="15.75" thickBot="1">
      <c r="A3" s="113" t="s">
        <v>714</v>
      </c>
      <c r="B3" s="1822" t="s">
        <v>715</v>
      </c>
      <c r="C3" s="2144"/>
      <c r="D3" s="2145"/>
      <c r="E3" s="110"/>
      <c r="F3" s="110"/>
      <c r="G3" s="114" t="s">
        <v>10</v>
      </c>
      <c r="H3" s="112" t="s">
        <v>16</v>
      </c>
      <c r="J3" s="13" t="s">
        <v>73</v>
      </c>
    </row>
    <row r="4" spans="1:23" ht="15.75" thickBot="1">
      <c r="A4" s="114" t="s">
        <v>3</v>
      </c>
      <c r="B4" s="1810" t="s">
        <v>1223</v>
      </c>
      <c r="C4" s="2538"/>
      <c r="D4" s="2539"/>
      <c r="E4" s="115"/>
      <c r="F4" s="110"/>
      <c r="G4" s="116" t="s">
        <v>26</v>
      </c>
      <c r="H4" s="514">
        <v>10</v>
      </c>
      <c r="J4" s="13"/>
    </row>
    <row r="5" spans="1:23" ht="15.75" customHeight="1" thickBot="1">
      <c r="A5" s="110"/>
      <c r="B5" s="110"/>
      <c r="C5" s="110"/>
      <c r="D5" s="110"/>
      <c r="E5" s="110"/>
      <c r="F5" s="110"/>
      <c r="G5" s="110"/>
      <c r="H5" s="110"/>
      <c r="J5" s="13" t="s">
        <v>381</v>
      </c>
    </row>
    <row r="6" spans="1:23" ht="144.75" customHeight="1" thickBot="1">
      <c r="A6" s="109" t="s">
        <v>465</v>
      </c>
      <c r="B6" s="1810" t="s">
        <v>1600</v>
      </c>
      <c r="C6" s="2103"/>
      <c r="D6" s="2104"/>
      <c r="E6" s="110"/>
      <c r="F6" s="110"/>
      <c r="G6" s="118" t="s">
        <v>466</v>
      </c>
      <c r="H6" s="178" t="s">
        <v>717</v>
      </c>
    </row>
    <row r="7" spans="1:23" ht="15.75" thickBot="1">
      <c r="A7"/>
      <c r="B7" s="110"/>
      <c r="C7" s="110"/>
      <c r="D7" s="110"/>
      <c r="E7" s="110"/>
      <c r="F7" s="110"/>
      <c r="G7" s="120"/>
      <c r="H7" s="110"/>
    </row>
    <row r="8" spans="1:23" ht="30.75" thickBot="1">
      <c r="A8" s="121" t="s">
        <v>7</v>
      </c>
      <c r="B8" s="1823" t="s">
        <v>729</v>
      </c>
      <c r="C8" s="2144"/>
      <c r="D8" s="2145"/>
      <c r="E8" s="115"/>
      <c r="F8" s="122"/>
      <c r="G8" s="121" t="s">
        <v>469</v>
      </c>
      <c r="H8" s="123" t="s">
        <v>537</v>
      </c>
      <c r="I8" t="s">
        <v>1216</v>
      </c>
    </row>
    <row r="9" spans="1:23">
      <c r="A9"/>
      <c r="B9" s="110"/>
      <c r="C9" s="110"/>
      <c r="D9" s="110"/>
      <c r="E9" s="110"/>
      <c r="F9" s="110"/>
      <c r="G9" s="120"/>
      <c r="H9" s="110"/>
    </row>
    <row r="10" spans="1:23" ht="106.5" customHeight="1">
      <c r="A10" s="2174" t="s">
        <v>471</v>
      </c>
      <c r="B10" s="2148"/>
      <c r="C10" s="1805" t="s">
        <v>730</v>
      </c>
      <c r="D10" s="1805"/>
      <c r="E10" s="1805"/>
      <c r="F10" s="1805"/>
      <c r="G10" s="1805"/>
      <c r="H10" s="1805"/>
      <c r="I10" s="1259"/>
    </row>
    <row r="11" spans="1:23">
      <c r="A11" s="126"/>
      <c r="B11" s="115"/>
      <c r="C11" s="115"/>
      <c r="D11" s="115"/>
      <c r="E11" s="115"/>
      <c r="F11" s="122"/>
      <c r="G11" s="125"/>
      <c r="H11" s="125"/>
      <c r="I11" s="61"/>
    </row>
    <row r="12" spans="1:23">
      <c r="A12" s="126"/>
      <c r="B12" s="115"/>
      <c r="C12" s="115"/>
      <c r="D12" s="115"/>
      <c r="E12" s="2181" t="s">
        <v>473</v>
      </c>
      <c r="F12" s="2148"/>
      <c r="G12" s="2148"/>
      <c r="H12" s="2148"/>
      <c r="I12" s="61"/>
    </row>
    <row r="13" spans="1:23" ht="39.75" customHeight="1">
      <c r="A13" s="110"/>
      <c r="B13" s="110"/>
      <c r="C13" s="110"/>
      <c r="D13" s="110"/>
      <c r="E13" s="2141"/>
      <c r="F13" s="2141"/>
      <c r="G13" s="2141"/>
      <c r="H13" s="2141"/>
      <c r="I13" s="2186">
        <v>2025</v>
      </c>
      <c r="J13" s="2097"/>
      <c r="K13" s="2097"/>
      <c r="L13" s="2097"/>
      <c r="M13" s="2098"/>
      <c r="N13" s="2186">
        <v>2026</v>
      </c>
      <c r="O13" s="2097"/>
      <c r="P13" s="2097"/>
      <c r="Q13" s="2097"/>
      <c r="R13" s="2098"/>
      <c r="S13" s="2186">
        <v>2027</v>
      </c>
      <c r="T13" s="2097"/>
      <c r="U13" s="2097"/>
      <c r="V13" s="2097"/>
      <c r="W13" s="2098"/>
    </row>
    <row r="14" spans="1:23" ht="24.75" customHeight="1" thickBot="1">
      <c r="A14" s="2184" t="s">
        <v>5</v>
      </c>
      <c r="B14" s="2137"/>
      <c r="C14" s="128" t="s">
        <v>1</v>
      </c>
      <c r="D14" s="128" t="s">
        <v>260</v>
      </c>
      <c r="E14" s="129" t="s">
        <v>474</v>
      </c>
      <c r="F14" s="2182" t="s">
        <v>6</v>
      </c>
      <c r="G14" s="2097"/>
      <c r="H14" s="2098"/>
      <c r="I14" s="615" t="s">
        <v>474</v>
      </c>
      <c r="J14" s="616" t="s">
        <v>944</v>
      </c>
      <c r="K14" s="617" t="s">
        <v>945</v>
      </c>
      <c r="L14" s="616" t="s">
        <v>946</v>
      </c>
      <c r="M14" s="618" t="s">
        <v>947</v>
      </c>
      <c r="N14" s="615" t="s">
        <v>474</v>
      </c>
      <c r="O14" s="616" t="s">
        <v>944</v>
      </c>
      <c r="P14" s="617" t="s">
        <v>945</v>
      </c>
      <c r="Q14" s="616" t="s">
        <v>946</v>
      </c>
      <c r="R14" s="618" t="s">
        <v>947</v>
      </c>
      <c r="S14" s="615" t="s">
        <v>474</v>
      </c>
      <c r="T14" s="616" t="s">
        <v>944</v>
      </c>
      <c r="U14" s="617" t="s">
        <v>945</v>
      </c>
      <c r="V14" s="616" t="s">
        <v>946</v>
      </c>
      <c r="W14" s="618" t="s">
        <v>947</v>
      </c>
    </row>
    <row r="15" spans="1:23" ht="27" customHeight="1">
      <c r="A15" s="2183" t="s">
        <v>17</v>
      </c>
      <c r="B15" s="2140"/>
      <c r="C15" s="130" t="s">
        <v>59</v>
      </c>
      <c r="D15" s="131" t="s">
        <v>251</v>
      </c>
      <c r="E15" s="132"/>
      <c r="F15" s="1828" t="s">
        <v>475</v>
      </c>
      <c r="G15" s="2140"/>
      <c r="H15" s="2137"/>
      <c r="I15" s="619"/>
      <c r="J15" s="620"/>
      <c r="K15" s="620"/>
      <c r="L15" s="620"/>
      <c r="M15" s="621"/>
      <c r="N15" s="619"/>
      <c r="O15" s="620"/>
      <c r="P15" s="620"/>
      <c r="Q15" s="620"/>
      <c r="R15" s="621"/>
      <c r="S15" s="619"/>
      <c r="T15" s="620"/>
      <c r="U15" s="620"/>
      <c r="V15" s="620"/>
      <c r="W15" s="622"/>
    </row>
    <row r="16" spans="1:23" ht="25.5" customHeight="1">
      <c r="A16" s="2148"/>
      <c r="B16" s="2148"/>
      <c r="C16" s="133" t="s">
        <v>18</v>
      </c>
      <c r="D16" s="134" t="s">
        <v>168</v>
      </c>
      <c r="E16" s="135"/>
      <c r="F16" s="1845"/>
      <c r="G16" s="1845"/>
      <c r="H16" s="2139"/>
      <c r="I16" s="623"/>
      <c r="J16" s="624"/>
      <c r="K16" s="624"/>
      <c r="L16" s="624"/>
      <c r="M16" s="624"/>
      <c r="N16" s="623"/>
      <c r="O16" s="624"/>
      <c r="P16" s="624"/>
      <c r="Q16" s="624"/>
      <c r="R16" s="624"/>
      <c r="S16" s="623"/>
      <c r="T16" s="624"/>
      <c r="U16" s="624"/>
      <c r="V16" s="624"/>
      <c r="W16" s="625"/>
    </row>
    <row r="17" spans="1:23" ht="15.75" thickBot="1">
      <c r="A17" s="2141"/>
      <c r="B17" s="2141"/>
      <c r="C17" s="136" t="s">
        <v>19</v>
      </c>
      <c r="D17" s="137" t="s">
        <v>233</v>
      </c>
      <c r="E17" s="138"/>
      <c r="F17" s="2141"/>
      <c r="G17" s="2141"/>
      <c r="H17" s="2142"/>
      <c r="I17" s="326"/>
      <c r="J17" s="624"/>
      <c r="K17" s="624"/>
      <c r="L17" s="624"/>
      <c r="M17" s="624"/>
      <c r="N17" s="326"/>
      <c r="O17" s="624"/>
      <c r="P17" s="624"/>
      <c r="Q17" s="624"/>
      <c r="R17" s="624"/>
      <c r="S17" s="326"/>
      <c r="T17" s="624"/>
      <c r="U17" s="624"/>
      <c r="V17" s="624"/>
      <c r="W17" s="625"/>
    </row>
    <row r="18" spans="1:23">
      <c r="A18" s="2183" t="s">
        <v>20</v>
      </c>
      <c r="B18" s="2140"/>
      <c r="C18" s="130" t="s">
        <v>54</v>
      </c>
      <c r="D18" s="137" t="s">
        <v>261</v>
      </c>
      <c r="E18" s="138"/>
      <c r="F18" s="2162" t="s">
        <v>475</v>
      </c>
      <c r="G18" s="1828"/>
      <c r="H18" s="2274"/>
      <c r="I18" s="326"/>
      <c r="J18" s="624"/>
      <c r="K18" s="624"/>
      <c r="L18" s="624"/>
      <c r="M18" s="624"/>
      <c r="N18" s="326"/>
      <c r="O18" s="624"/>
      <c r="P18" s="624"/>
      <c r="Q18" s="624"/>
      <c r="R18" s="624"/>
      <c r="S18" s="326"/>
      <c r="T18" s="624"/>
      <c r="U18" s="624"/>
      <c r="V18" s="624"/>
      <c r="W18" s="625"/>
    </row>
    <row r="19" spans="1:23" ht="24" customHeight="1">
      <c r="A19" s="2148"/>
      <c r="B19" s="2148"/>
      <c r="C19" s="139" t="s">
        <v>21</v>
      </c>
      <c r="D19" s="137" t="s">
        <v>234</v>
      </c>
      <c r="E19" s="183" t="s">
        <v>277</v>
      </c>
      <c r="F19" s="2521" t="s">
        <v>731</v>
      </c>
      <c r="G19" s="2522"/>
      <c r="H19" s="2523"/>
      <c r="I19" s="326" t="s">
        <v>16</v>
      </c>
      <c r="J19" s="624">
        <v>1</v>
      </c>
      <c r="K19" s="624">
        <v>0</v>
      </c>
      <c r="L19" s="624">
        <v>80</v>
      </c>
      <c r="M19" s="624">
        <v>80400</v>
      </c>
      <c r="N19" s="326" t="s">
        <v>16</v>
      </c>
      <c r="O19" s="624">
        <v>1</v>
      </c>
      <c r="P19" s="624">
        <v>0</v>
      </c>
      <c r="Q19" s="624">
        <v>80</v>
      </c>
      <c r="R19" s="624">
        <v>80400</v>
      </c>
      <c r="S19" s="326" t="s">
        <v>16</v>
      </c>
      <c r="T19" s="624">
        <v>1</v>
      </c>
      <c r="U19" s="624">
        <v>0</v>
      </c>
      <c r="V19" s="624">
        <v>80</v>
      </c>
      <c r="W19" s="624">
        <v>80400</v>
      </c>
    </row>
    <row r="20" spans="1:23" ht="15.75" thickBot="1">
      <c r="A20" s="2148"/>
      <c r="B20" s="2148"/>
      <c r="C20" s="136" t="s">
        <v>22</v>
      </c>
      <c r="D20" s="137" t="s">
        <v>235</v>
      </c>
      <c r="E20" s="183" t="s">
        <v>277</v>
      </c>
      <c r="F20" s="2521" t="s">
        <v>731</v>
      </c>
      <c r="G20" s="2522"/>
      <c r="H20" s="2523"/>
      <c r="I20" s="326" t="s">
        <v>16</v>
      </c>
      <c r="J20" s="624">
        <v>3</v>
      </c>
      <c r="K20" s="624">
        <v>0</v>
      </c>
      <c r="L20" s="624">
        <f>80+160</f>
        <v>240</v>
      </c>
      <c r="M20" s="624">
        <v>300000</v>
      </c>
      <c r="N20" s="326" t="s">
        <v>16</v>
      </c>
      <c r="O20" s="624">
        <v>3</v>
      </c>
      <c r="P20" s="624">
        <v>0</v>
      </c>
      <c r="Q20" s="624">
        <f>80+160</f>
        <v>240</v>
      </c>
      <c r="R20" s="624">
        <v>300000</v>
      </c>
      <c r="S20" s="326" t="s">
        <v>16</v>
      </c>
      <c r="T20" s="624">
        <v>3</v>
      </c>
      <c r="U20" s="624">
        <v>0</v>
      </c>
      <c r="V20" s="624">
        <f>80+160</f>
        <v>240</v>
      </c>
      <c r="W20" s="624">
        <v>300000</v>
      </c>
    </row>
    <row r="21" spans="1:23" ht="30" customHeight="1">
      <c r="A21" s="2183" t="s">
        <v>23</v>
      </c>
      <c r="B21" s="2140"/>
      <c r="C21" s="140" t="s">
        <v>69</v>
      </c>
      <c r="D21" s="137" t="s">
        <v>267</v>
      </c>
      <c r="E21" s="138"/>
      <c r="F21" s="1828" t="s">
        <v>477</v>
      </c>
      <c r="G21" s="2140"/>
      <c r="H21" s="2137"/>
      <c r="I21" s="326"/>
      <c r="J21" s="624"/>
      <c r="K21" s="624"/>
      <c r="L21" s="624"/>
      <c r="M21" s="624"/>
      <c r="N21" s="326"/>
      <c r="O21" s="624"/>
      <c r="P21" s="624"/>
      <c r="Q21" s="624"/>
      <c r="R21" s="624"/>
      <c r="S21" s="326"/>
      <c r="T21" s="624"/>
      <c r="U21" s="624"/>
      <c r="V21" s="624"/>
      <c r="W21" s="624"/>
    </row>
    <row r="22" spans="1:23" s="21" customFormat="1" ht="15" customHeight="1" thickBot="1">
      <c r="A22" s="2141"/>
      <c r="B22" s="2141"/>
      <c r="C22" s="141" t="s">
        <v>24</v>
      </c>
      <c r="D22" s="142" t="s">
        <v>236</v>
      </c>
      <c r="E22" s="138"/>
      <c r="F22" s="2141"/>
      <c r="G22" s="2141"/>
      <c r="H22" s="2142"/>
      <c r="I22" s="326"/>
      <c r="J22" s="624"/>
      <c r="K22" s="624"/>
      <c r="L22" s="624"/>
      <c r="M22" s="624"/>
      <c r="N22" s="326"/>
      <c r="O22" s="624"/>
      <c r="P22" s="624"/>
      <c r="Q22" s="624"/>
      <c r="R22" s="624"/>
      <c r="S22" s="326"/>
      <c r="T22" s="624"/>
      <c r="U22" s="624"/>
      <c r="V22" s="624"/>
      <c r="W22" s="624"/>
    </row>
    <row r="23" spans="1:23" s="21" customFormat="1" ht="15" customHeight="1">
      <c r="A23" s="2136" t="s">
        <v>478</v>
      </c>
      <c r="B23" s="2137"/>
      <c r="C23" s="143" t="s">
        <v>360</v>
      </c>
      <c r="D23" s="142" t="s">
        <v>265</v>
      </c>
      <c r="E23" s="138"/>
      <c r="F23" s="1828" t="s">
        <v>477</v>
      </c>
      <c r="G23" s="2140"/>
      <c r="H23" s="2137"/>
      <c r="I23" s="326"/>
      <c r="J23" s="624"/>
      <c r="K23" s="624"/>
      <c r="L23" s="624"/>
      <c r="M23" s="624"/>
      <c r="N23" s="326"/>
      <c r="O23" s="624"/>
      <c r="P23" s="624"/>
      <c r="Q23" s="624"/>
      <c r="R23" s="624"/>
      <c r="S23" s="326"/>
      <c r="T23" s="624"/>
      <c r="U23" s="624"/>
      <c r="V23" s="624"/>
      <c r="W23" s="624"/>
    </row>
    <row r="24" spans="1:23" ht="30" customHeight="1">
      <c r="A24" s="2138"/>
      <c r="B24" s="2139"/>
      <c r="C24" s="144" t="s">
        <v>361</v>
      </c>
      <c r="D24" s="142" t="s">
        <v>362</v>
      </c>
      <c r="E24" s="138"/>
      <c r="F24" s="1845"/>
      <c r="G24" s="1845"/>
      <c r="H24" s="2139"/>
      <c r="I24" s="326"/>
      <c r="J24" s="624"/>
      <c r="K24" s="624"/>
      <c r="L24" s="624"/>
      <c r="M24" s="624"/>
      <c r="N24" s="326"/>
      <c r="O24" s="624"/>
      <c r="P24" s="624"/>
      <c r="Q24" s="624"/>
      <c r="R24" s="624"/>
      <c r="S24" s="326"/>
      <c r="T24" s="624"/>
      <c r="U24" s="624"/>
      <c r="V24" s="624"/>
      <c r="W24" s="624"/>
    </row>
    <row r="25" spans="1:23" ht="30" customHeight="1" thickBot="1">
      <c r="A25" s="2138"/>
      <c r="B25" s="2139"/>
      <c r="C25" s="145" t="s">
        <v>479</v>
      </c>
      <c r="D25" s="142" t="s">
        <v>480</v>
      </c>
      <c r="E25" s="138"/>
      <c r="F25" s="2141"/>
      <c r="G25" s="2141"/>
      <c r="H25" s="2142"/>
      <c r="I25" s="326"/>
      <c r="J25" s="624"/>
      <c r="K25" s="624"/>
      <c r="L25" s="624"/>
      <c r="M25" s="624"/>
      <c r="N25" s="326"/>
      <c r="O25" s="624"/>
      <c r="P25" s="624"/>
      <c r="Q25" s="624"/>
      <c r="R25" s="624"/>
      <c r="S25" s="326"/>
      <c r="T25" s="624"/>
      <c r="U25" s="624"/>
      <c r="V25" s="624"/>
      <c r="W25" s="624"/>
    </row>
    <row r="26" spans="1:23" ht="30" customHeight="1" thickBot="1">
      <c r="A26" s="2143" t="s">
        <v>25</v>
      </c>
      <c r="B26" s="2144"/>
      <c r="C26" s="2145"/>
      <c r="D26" s="146" t="s">
        <v>270</v>
      </c>
      <c r="E26" s="138"/>
      <c r="F26" s="1818" t="s">
        <v>481</v>
      </c>
      <c r="G26" s="2097"/>
      <c r="H26" s="2098"/>
      <c r="I26" s="326"/>
      <c r="J26" s="624"/>
      <c r="K26" s="624"/>
      <c r="L26" s="624"/>
      <c r="M26" s="624"/>
      <c r="N26" s="326"/>
      <c r="O26" s="624"/>
      <c r="P26" s="624"/>
      <c r="Q26" s="624"/>
      <c r="R26" s="624"/>
      <c r="S26" s="326"/>
      <c r="T26" s="624"/>
      <c r="U26" s="624"/>
      <c r="V26" s="624"/>
      <c r="W26" s="624"/>
    </row>
    <row r="27" spans="1:23" ht="15.75">
      <c r="A27" s="2157" t="s">
        <v>153</v>
      </c>
      <c r="B27" s="2158"/>
      <c r="C27" s="147" t="s">
        <v>152</v>
      </c>
      <c r="D27" s="148" t="s">
        <v>268</v>
      </c>
      <c r="E27" s="138"/>
      <c r="F27" s="1828" t="s">
        <v>475</v>
      </c>
      <c r="G27" s="2140"/>
      <c r="H27" s="2137"/>
      <c r="I27" s="326"/>
      <c r="J27" s="624"/>
      <c r="K27" s="624"/>
      <c r="L27" s="624"/>
      <c r="M27" s="624"/>
      <c r="N27" s="326"/>
      <c r="O27" s="624"/>
      <c r="P27" s="624"/>
      <c r="Q27" s="624"/>
      <c r="R27" s="624"/>
      <c r="S27" s="326"/>
      <c r="T27" s="624"/>
      <c r="U27" s="624"/>
      <c r="V27" s="624"/>
      <c r="W27" s="624"/>
    </row>
    <row r="28" spans="1:23" ht="15.75">
      <c r="A28" s="2138"/>
      <c r="B28" s="2158"/>
      <c r="C28" s="149" t="s">
        <v>154</v>
      </c>
      <c r="D28" s="148" t="s">
        <v>392</v>
      </c>
      <c r="E28" s="138"/>
      <c r="F28" s="1845"/>
      <c r="G28" s="1845"/>
      <c r="H28" s="2139"/>
      <c r="I28" s="326"/>
      <c r="J28" s="624"/>
      <c r="K28" s="624"/>
      <c r="L28" s="624"/>
      <c r="M28" s="624"/>
      <c r="N28" s="326"/>
      <c r="O28" s="624"/>
      <c r="P28" s="624"/>
      <c r="Q28" s="624"/>
      <c r="R28" s="624"/>
      <c r="S28" s="326"/>
      <c r="T28" s="624"/>
      <c r="U28" s="624"/>
      <c r="V28" s="624"/>
      <c r="W28" s="624"/>
    </row>
    <row r="29" spans="1:23" ht="16.5" thickBot="1">
      <c r="A29" s="2149"/>
      <c r="B29" s="2152"/>
      <c r="C29" s="150" t="s">
        <v>400</v>
      </c>
      <c r="D29" s="148" t="s">
        <v>393</v>
      </c>
      <c r="E29" s="138"/>
      <c r="F29" s="2141"/>
      <c r="G29" s="2141"/>
      <c r="H29" s="2142"/>
      <c r="I29" s="326"/>
      <c r="J29" s="624"/>
      <c r="K29" s="624"/>
      <c r="L29" s="624"/>
      <c r="M29" s="624"/>
      <c r="N29" s="326"/>
      <c r="O29" s="624"/>
      <c r="P29" s="624"/>
      <c r="Q29" s="624"/>
      <c r="R29" s="624"/>
      <c r="S29" s="326"/>
      <c r="T29" s="624"/>
      <c r="U29" s="624"/>
      <c r="V29" s="624"/>
      <c r="W29" s="624"/>
    </row>
    <row r="30" spans="1:23" ht="15.75">
      <c r="A30" s="2159" t="s">
        <v>153</v>
      </c>
      <c r="B30" s="2151"/>
      <c r="C30" s="151" t="s">
        <v>155</v>
      </c>
      <c r="D30" s="148" t="s">
        <v>266</v>
      </c>
      <c r="E30" s="138"/>
      <c r="F30" s="1828" t="s">
        <v>475</v>
      </c>
      <c r="G30" s="2140"/>
      <c r="H30" s="2137"/>
      <c r="I30" s="326"/>
      <c r="J30" s="624"/>
      <c r="K30" s="624"/>
      <c r="L30" s="624"/>
      <c r="M30" s="624"/>
      <c r="N30" s="326"/>
      <c r="O30" s="624"/>
      <c r="P30" s="624"/>
      <c r="Q30" s="624"/>
      <c r="R30" s="624"/>
      <c r="S30" s="326"/>
      <c r="T30" s="624"/>
      <c r="U30" s="624"/>
      <c r="V30" s="624"/>
      <c r="W30" s="624"/>
    </row>
    <row r="31" spans="1:23" ht="15.75">
      <c r="A31" s="2138"/>
      <c r="B31" s="2158"/>
      <c r="C31" s="149" t="s">
        <v>156</v>
      </c>
      <c r="D31" s="148" t="s">
        <v>394</v>
      </c>
      <c r="E31" s="138"/>
      <c r="F31" s="1845"/>
      <c r="G31" s="1845"/>
      <c r="H31" s="2139"/>
      <c r="I31" s="326"/>
      <c r="J31" s="624"/>
      <c r="K31" s="624"/>
      <c r="L31" s="624"/>
      <c r="M31" s="624"/>
      <c r="N31" s="326"/>
      <c r="O31" s="624"/>
      <c r="P31" s="624"/>
      <c r="Q31" s="624"/>
      <c r="R31" s="624"/>
      <c r="S31" s="326"/>
      <c r="T31" s="624"/>
      <c r="U31" s="624"/>
      <c r="V31" s="624"/>
      <c r="W31" s="624"/>
    </row>
    <row r="32" spans="1:23" ht="16.5" thickBot="1">
      <c r="A32" s="2149"/>
      <c r="B32" s="2152"/>
      <c r="C32" s="150" t="s">
        <v>399</v>
      </c>
      <c r="D32" s="148" t="s">
        <v>395</v>
      </c>
      <c r="E32" s="138"/>
      <c r="F32" s="2141"/>
      <c r="G32" s="2141"/>
      <c r="H32" s="2142"/>
      <c r="I32" s="326"/>
      <c r="J32" s="624"/>
      <c r="K32" s="624"/>
      <c r="L32" s="624"/>
      <c r="M32" s="624"/>
      <c r="N32" s="326"/>
      <c r="O32" s="624"/>
      <c r="P32" s="624"/>
      <c r="Q32" s="624"/>
      <c r="R32" s="624"/>
      <c r="S32" s="326"/>
      <c r="T32" s="624"/>
      <c r="U32" s="624"/>
      <c r="V32" s="624"/>
      <c r="W32" s="624"/>
    </row>
    <row r="33" spans="1:23" ht="16.5" thickBot="1">
      <c r="A33" s="2159" t="s">
        <v>482</v>
      </c>
      <c r="B33" s="2151"/>
      <c r="C33" s="151" t="s">
        <v>365</v>
      </c>
      <c r="D33" s="148" t="s">
        <v>252</v>
      </c>
      <c r="E33" s="138"/>
      <c r="F33" s="1828" t="s">
        <v>483</v>
      </c>
      <c r="G33" s="2140"/>
      <c r="H33" s="2137"/>
      <c r="I33" s="326"/>
      <c r="J33" s="624"/>
      <c r="K33" s="624"/>
      <c r="L33" s="624"/>
      <c r="M33" s="624"/>
      <c r="N33" s="326"/>
      <c r="O33" s="624"/>
      <c r="P33" s="624"/>
      <c r="Q33" s="624"/>
      <c r="R33" s="624"/>
      <c r="S33" s="326"/>
      <c r="T33" s="624"/>
      <c r="U33" s="624"/>
      <c r="V33" s="624"/>
      <c r="W33" s="624"/>
    </row>
    <row r="34" spans="1:23" ht="16.5" thickBot="1">
      <c r="A34" s="2159" t="s">
        <v>484</v>
      </c>
      <c r="B34" s="2151"/>
      <c r="C34" s="151" t="s">
        <v>485</v>
      </c>
      <c r="D34" s="148" t="s">
        <v>264</v>
      </c>
      <c r="E34" s="138"/>
      <c r="F34" s="2160"/>
      <c r="G34" s="2140"/>
      <c r="H34" s="2137"/>
      <c r="I34" s="326"/>
      <c r="J34" s="624"/>
      <c r="K34" s="624"/>
      <c r="L34" s="624"/>
      <c r="M34" s="624"/>
      <c r="N34" s="326"/>
      <c r="O34" s="624"/>
      <c r="P34" s="624"/>
      <c r="Q34" s="624"/>
      <c r="R34" s="624"/>
      <c r="S34" s="326"/>
      <c r="T34" s="624"/>
      <c r="U34" s="624"/>
      <c r="V34" s="624"/>
      <c r="W34" s="624"/>
    </row>
    <row r="35" spans="1:23" ht="15.75">
      <c r="A35" s="2161" t="s">
        <v>486</v>
      </c>
      <c r="B35" s="2151"/>
      <c r="C35" s="152" t="s">
        <v>43</v>
      </c>
      <c r="D35" s="153" t="s">
        <v>256</v>
      </c>
      <c r="E35" s="138"/>
      <c r="F35" s="1828" t="s">
        <v>487</v>
      </c>
      <c r="G35" s="2140"/>
      <c r="H35" s="2137"/>
      <c r="I35" s="326"/>
      <c r="J35" s="624"/>
      <c r="K35" s="624"/>
      <c r="L35" s="624"/>
      <c r="M35" s="624"/>
      <c r="N35" s="326"/>
      <c r="O35" s="624"/>
      <c r="P35" s="624"/>
      <c r="Q35" s="624"/>
      <c r="R35" s="624"/>
      <c r="S35" s="326"/>
      <c r="T35" s="624"/>
      <c r="U35" s="624"/>
      <c r="V35" s="624"/>
      <c r="W35" s="624"/>
    </row>
    <row r="36" spans="1:23" ht="16.5" thickBot="1">
      <c r="A36" s="2149"/>
      <c r="B36" s="2152"/>
      <c r="C36" s="154" t="s">
        <v>60</v>
      </c>
      <c r="D36" s="153" t="s">
        <v>257</v>
      </c>
      <c r="E36" s="138"/>
      <c r="F36" s="2141"/>
      <c r="G36" s="2141"/>
      <c r="H36" s="2142"/>
      <c r="I36" s="326"/>
      <c r="J36" s="624"/>
      <c r="K36" s="624"/>
      <c r="L36" s="624"/>
      <c r="M36" s="624"/>
      <c r="N36" s="326"/>
      <c r="O36" s="624"/>
      <c r="P36" s="624"/>
      <c r="Q36" s="624"/>
      <c r="R36" s="624"/>
      <c r="S36" s="326"/>
      <c r="T36" s="624"/>
      <c r="U36" s="624"/>
      <c r="V36" s="624"/>
      <c r="W36" s="624"/>
    </row>
    <row r="37" spans="1:23" ht="30">
      <c r="A37" s="2165" t="s">
        <v>33</v>
      </c>
      <c r="B37" s="2140"/>
      <c r="C37" s="155" t="s">
        <v>30</v>
      </c>
      <c r="D37" s="156" t="s">
        <v>170</v>
      </c>
      <c r="E37" s="184" t="s">
        <v>277</v>
      </c>
      <c r="F37" s="2524" t="s">
        <v>721</v>
      </c>
      <c r="G37" s="2525"/>
      <c r="H37" s="2526"/>
      <c r="I37" s="326" t="s">
        <v>16</v>
      </c>
      <c r="J37" s="624">
        <v>1</v>
      </c>
      <c r="K37" s="624">
        <v>0</v>
      </c>
      <c r="L37" s="624">
        <v>80</v>
      </c>
      <c r="M37" s="624">
        <v>50000</v>
      </c>
      <c r="N37" s="326" t="s">
        <v>16</v>
      </c>
      <c r="O37" s="624">
        <v>1</v>
      </c>
      <c r="P37" s="624">
        <v>0</v>
      </c>
      <c r="Q37" s="624">
        <v>80</v>
      </c>
      <c r="R37" s="624">
        <v>50000</v>
      </c>
      <c r="S37" s="326" t="s">
        <v>16</v>
      </c>
      <c r="T37" s="624">
        <v>1</v>
      </c>
      <c r="U37" s="624">
        <v>0</v>
      </c>
      <c r="V37" s="624">
        <v>80</v>
      </c>
      <c r="W37" s="624">
        <v>50000</v>
      </c>
    </row>
    <row r="38" spans="1:23" ht="30">
      <c r="A38" s="2138"/>
      <c r="B38" s="2148"/>
      <c r="C38" s="157" t="s">
        <v>31</v>
      </c>
      <c r="D38" s="156" t="s">
        <v>169</v>
      </c>
      <c r="E38" s="184" t="s">
        <v>277</v>
      </c>
      <c r="F38" s="2530" t="s">
        <v>722</v>
      </c>
      <c r="G38" s="2524"/>
      <c r="H38" s="2531"/>
      <c r="I38" s="326" t="s">
        <v>16</v>
      </c>
      <c r="J38" s="624">
        <v>0</v>
      </c>
      <c r="K38" s="624">
        <v>0</v>
      </c>
      <c r="L38" s="624">
        <v>0</v>
      </c>
      <c r="M38" s="624">
        <v>0</v>
      </c>
      <c r="N38" s="326" t="s">
        <v>16</v>
      </c>
      <c r="O38" s="624">
        <v>0</v>
      </c>
      <c r="P38" s="624">
        <v>0</v>
      </c>
      <c r="Q38" s="624">
        <v>0</v>
      </c>
      <c r="R38" s="624">
        <v>0</v>
      </c>
      <c r="S38" s="326" t="s">
        <v>16</v>
      </c>
      <c r="T38" s="624">
        <v>0</v>
      </c>
      <c r="U38" s="624">
        <v>0</v>
      </c>
      <c r="V38" s="624">
        <v>0</v>
      </c>
      <c r="W38" s="624">
        <v>0</v>
      </c>
    </row>
    <row r="39" spans="1:23" ht="30.75" thickBot="1">
      <c r="A39" s="2138"/>
      <c r="B39" s="2148"/>
      <c r="C39" s="158" t="s">
        <v>32</v>
      </c>
      <c r="D39" s="156" t="s">
        <v>250</v>
      </c>
      <c r="E39" s="184" t="s">
        <v>277</v>
      </c>
      <c r="F39" s="2530" t="s">
        <v>723</v>
      </c>
      <c r="G39" s="2524"/>
      <c r="H39" s="2531"/>
      <c r="I39" s="326" t="s">
        <v>16</v>
      </c>
      <c r="J39" s="624">
        <v>4</v>
      </c>
      <c r="K39" s="624">
        <v>0</v>
      </c>
      <c r="L39" s="624">
        <v>320</v>
      </c>
      <c r="M39" s="624">
        <v>372800</v>
      </c>
      <c r="N39" s="326" t="s">
        <v>16</v>
      </c>
      <c r="O39" s="624">
        <v>4</v>
      </c>
      <c r="P39" s="624">
        <v>0</v>
      </c>
      <c r="Q39" s="624">
        <v>320</v>
      </c>
      <c r="R39" s="624">
        <v>372800</v>
      </c>
      <c r="S39" s="326" t="s">
        <v>16</v>
      </c>
      <c r="T39" s="624">
        <v>8</v>
      </c>
      <c r="U39" s="624">
        <v>1</v>
      </c>
      <c r="V39" s="624">
        <v>640</v>
      </c>
      <c r="W39" s="624">
        <v>745600</v>
      </c>
    </row>
    <row r="40" spans="1:23" ht="24.75" customHeight="1">
      <c r="A40" s="2169" t="s">
        <v>491</v>
      </c>
      <c r="B40" s="2170"/>
      <c r="C40" s="159" t="s">
        <v>144</v>
      </c>
      <c r="D40" s="160" t="s">
        <v>253</v>
      </c>
      <c r="E40" s="184" t="s">
        <v>277</v>
      </c>
      <c r="F40" s="2521" t="s">
        <v>732</v>
      </c>
      <c r="G40" s="2522"/>
      <c r="H40" s="2523"/>
      <c r="I40" s="326" t="s">
        <v>16</v>
      </c>
      <c r="J40" s="624">
        <v>1</v>
      </c>
      <c r="K40" s="624">
        <v>0</v>
      </c>
      <c r="L40" s="624">
        <v>5</v>
      </c>
      <c r="M40" s="624">
        <v>3750</v>
      </c>
      <c r="N40" s="326" t="s">
        <v>16</v>
      </c>
      <c r="O40" s="624">
        <v>1</v>
      </c>
      <c r="P40" s="624">
        <v>0</v>
      </c>
      <c r="Q40" s="624">
        <v>5</v>
      </c>
      <c r="R40" s="624">
        <v>3750</v>
      </c>
      <c r="S40" s="326" t="s">
        <v>16</v>
      </c>
      <c r="T40" s="624">
        <v>1</v>
      </c>
      <c r="U40" s="624">
        <v>0</v>
      </c>
      <c r="V40" s="624">
        <v>5</v>
      </c>
      <c r="W40" s="624">
        <v>3750</v>
      </c>
    </row>
    <row r="41" spans="1:23" ht="16.5" thickBot="1">
      <c r="A41" s="2148"/>
      <c r="B41" s="2158"/>
      <c r="C41" s="161" t="s">
        <v>145</v>
      </c>
      <c r="D41" s="160" t="s">
        <v>254</v>
      </c>
      <c r="E41" s="138"/>
      <c r="F41" s="188"/>
      <c r="G41" s="188"/>
      <c r="H41" s="189"/>
      <c r="I41" s="326"/>
      <c r="J41" s="624"/>
      <c r="K41" s="624"/>
      <c r="L41" s="624"/>
      <c r="M41" s="624"/>
      <c r="N41" s="326"/>
      <c r="O41" s="624"/>
      <c r="P41" s="624"/>
      <c r="Q41" s="624"/>
      <c r="R41" s="624"/>
      <c r="S41" s="326"/>
      <c r="T41" s="624"/>
      <c r="U41" s="624"/>
      <c r="V41" s="624"/>
      <c r="W41" s="624"/>
    </row>
    <row r="42" spans="1:23" ht="48" thickBot="1">
      <c r="A42" s="2171"/>
      <c r="B42" s="2172"/>
      <c r="C42" s="162" t="s">
        <v>128</v>
      </c>
      <c r="D42" s="160" t="s">
        <v>262</v>
      </c>
      <c r="E42" s="138"/>
      <c r="F42" s="2173"/>
      <c r="G42" s="2097"/>
      <c r="H42" s="2098"/>
      <c r="I42" s="326"/>
      <c r="J42" s="624"/>
      <c r="K42" s="624"/>
      <c r="L42" s="624"/>
      <c r="M42" s="624"/>
      <c r="N42" s="326"/>
      <c r="O42" s="624"/>
      <c r="P42" s="624"/>
      <c r="Q42" s="624"/>
      <c r="R42" s="624"/>
      <c r="S42" s="326"/>
      <c r="T42" s="624"/>
      <c r="U42" s="624"/>
      <c r="V42" s="624"/>
      <c r="W42" s="624"/>
    </row>
    <row r="43" spans="1:23" ht="15.75" thickBot="1">
      <c r="A43" s="2146" t="s">
        <v>493</v>
      </c>
      <c r="B43" s="2144"/>
      <c r="C43" s="2145"/>
      <c r="D43" s="163" t="s">
        <v>237</v>
      </c>
      <c r="E43" s="138"/>
      <c r="F43" s="1818" t="s">
        <v>571</v>
      </c>
      <c r="G43" s="2097"/>
      <c r="H43" s="2098"/>
      <c r="I43" s="326"/>
      <c r="J43" s="624"/>
      <c r="K43" s="624"/>
      <c r="L43" s="624"/>
      <c r="M43" s="624"/>
      <c r="N43" s="326"/>
      <c r="O43" s="624"/>
      <c r="P43" s="624"/>
      <c r="Q43" s="624"/>
      <c r="R43" s="624"/>
      <c r="S43" s="326"/>
      <c r="T43" s="624"/>
      <c r="U43" s="624"/>
      <c r="V43" s="624"/>
      <c r="W43" s="624"/>
    </row>
    <row r="44" spans="1:23" ht="15.75" thickBot="1">
      <c r="A44" s="2146" t="s">
        <v>133</v>
      </c>
      <c r="B44" s="2144"/>
      <c r="C44" s="2145"/>
      <c r="D44" s="163" t="s">
        <v>238</v>
      </c>
      <c r="E44" s="184" t="s">
        <v>277</v>
      </c>
      <c r="F44" s="2517" t="s">
        <v>725</v>
      </c>
      <c r="G44" s="2518"/>
      <c r="H44" s="2519"/>
      <c r="I44" s="326" t="s">
        <v>16</v>
      </c>
      <c r="J44" s="624">
        <v>3</v>
      </c>
      <c r="K44" s="624"/>
      <c r="L44" s="624">
        <v>15</v>
      </c>
      <c r="M44" s="624">
        <v>26850</v>
      </c>
      <c r="N44" s="326" t="s">
        <v>16</v>
      </c>
      <c r="O44" s="624">
        <v>3</v>
      </c>
      <c r="P44" s="624"/>
      <c r="Q44" s="624">
        <v>15</v>
      </c>
      <c r="R44" s="624">
        <v>26850</v>
      </c>
      <c r="S44" s="326" t="s">
        <v>16</v>
      </c>
      <c r="T44" s="624">
        <v>3</v>
      </c>
      <c r="U44" s="624"/>
      <c r="V44" s="624">
        <v>15</v>
      </c>
      <c r="W44" s="624">
        <v>26850</v>
      </c>
    </row>
    <row r="45" spans="1:23">
      <c r="A45" s="2147" t="s">
        <v>41</v>
      </c>
      <c r="B45" s="2148"/>
      <c r="C45" s="164" t="s">
        <v>50</v>
      </c>
      <c r="D45" s="165" t="s">
        <v>246</v>
      </c>
      <c r="E45" s="138"/>
      <c r="F45" s="1785" t="s">
        <v>560</v>
      </c>
      <c r="G45" s="2097"/>
      <c r="H45" s="2098"/>
      <c r="I45" s="326"/>
      <c r="J45" s="624"/>
      <c r="K45" s="624"/>
      <c r="L45" s="624"/>
      <c r="M45" s="624"/>
      <c r="N45" s="326"/>
      <c r="O45" s="624"/>
      <c r="P45" s="624"/>
      <c r="Q45" s="624"/>
      <c r="R45" s="624"/>
      <c r="S45" s="326"/>
      <c r="T45" s="624"/>
      <c r="U45" s="624"/>
      <c r="V45" s="624"/>
      <c r="W45" s="624"/>
    </row>
    <row r="46" spans="1:23" ht="36.75" customHeight="1">
      <c r="A46" s="2138"/>
      <c r="B46" s="2148"/>
      <c r="C46" s="166" t="s">
        <v>51</v>
      </c>
      <c r="D46" s="165" t="s">
        <v>247</v>
      </c>
      <c r="E46" s="184" t="s">
        <v>277</v>
      </c>
      <c r="F46" s="2520" t="s">
        <v>726</v>
      </c>
      <c r="G46" s="2518"/>
      <c r="H46" s="2519"/>
      <c r="I46" s="326" t="s">
        <v>16</v>
      </c>
      <c r="J46" s="624">
        <v>3</v>
      </c>
      <c r="K46" s="624">
        <v>0</v>
      </c>
      <c r="L46" s="624">
        <v>15</v>
      </c>
      <c r="M46" s="624">
        <v>10875</v>
      </c>
      <c r="N46" s="326" t="s">
        <v>16</v>
      </c>
      <c r="O46" s="624">
        <v>3</v>
      </c>
      <c r="P46" s="624">
        <v>0</v>
      </c>
      <c r="Q46" s="624">
        <v>15</v>
      </c>
      <c r="R46" s="624">
        <v>10875</v>
      </c>
      <c r="S46" s="326" t="s">
        <v>16</v>
      </c>
      <c r="T46" s="624">
        <v>3</v>
      </c>
      <c r="U46" s="624">
        <v>0</v>
      </c>
      <c r="V46" s="624">
        <v>15</v>
      </c>
      <c r="W46" s="624">
        <v>10875</v>
      </c>
    </row>
    <row r="47" spans="1:23">
      <c r="A47" s="2138"/>
      <c r="B47" s="2148"/>
      <c r="C47" s="166" t="s">
        <v>39</v>
      </c>
      <c r="D47" s="165" t="s">
        <v>248</v>
      </c>
      <c r="E47" s="184" t="s">
        <v>277</v>
      </c>
      <c r="F47" s="2520" t="s">
        <v>727</v>
      </c>
      <c r="G47" s="2518"/>
      <c r="H47" s="2519"/>
      <c r="I47" s="326" t="s">
        <v>16</v>
      </c>
      <c r="J47" s="624">
        <v>3</v>
      </c>
      <c r="K47" s="624">
        <v>0</v>
      </c>
      <c r="L47" s="624">
        <v>15</v>
      </c>
      <c r="M47" s="624">
        <v>15000</v>
      </c>
      <c r="N47" s="326" t="s">
        <v>16</v>
      </c>
      <c r="O47" s="624">
        <v>3</v>
      </c>
      <c r="P47" s="624">
        <v>0</v>
      </c>
      <c r="Q47" s="624">
        <v>15</v>
      </c>
      <c r="R47" s="624">
        <v>15000</v>
      </c>
      <c r="S47" s="326" t="s">
        <v>16</v>
      </c>
      <c r="T47" s="624">
        <v>3</v>
      </c>
      <c r="U47" s="624">
        <v>0</v>
      </c>
      <c r="V47" s="624">
        <v>15</v>
      </c>
      <c r="W47" s="624">
        <v>15000</v>
      </c>
    </row>
    <row r="48" spans="1:23" ht="15.75" thickBot="1">
      <c r="A48" s="2149"/>
      <c r="B48" s="2141"/>
      <c r="C48" s="167" t="s">
        <v>40</v>
      </c>
      <c r="D48" s="165" t="s">
        <v>249</v>
      </c>
      <c r="E48" s="184" t="s">
        <v>277</v>
      </c>
      <c r="F48" s="2520" t="s">
        <v>728</v>
      </c>
      <c r="G48" s="2518"/>
      <c r="H48" s="2519"/>
      <c r="I48" s="326" t="s">
        <v>16</v>
      </c>
      <c r="J48" s="624">
        <v>4</v>
      </c>
      <c r="K48" s="624">
        <v>0</v>
      </c>
      <c r="L48" s="624">
        <v>20</v>
      </c>
      <c r="M48" s="624">
        <v>25400</v>
      </c>
      <c r="N48" s="326" t="s">
        <v>16</v>
      </c>
      <c r="O48" s="624">
        <v>4</v>
      </c>
      <c r="P48" s="624">
        <v>0</v>
      </c>
      <c r="Q48" s="624">
        <v>20</v>
      </c>
      <c r="R48" s="624">
        <v>25400</v>
      </c>
      <c r="S48" s="326" t="s">
        <v>16</v>
      </c>
      <c r="T48" s="624">
        <v>4</v>
      </c>
      <c r="U48" s="624">
        <v>0</v>
      </c>
      <c r="V48" s="624">
        <v>20</v>
      </c>
      <c r="W48" s="624">
        <v>25400</v>
      </c>
    </row>
    <row r="49" spans="1:23" ht="15.75">
      <c r="A49" s="2150" t="s">
        <v>130</v>
      </c>
      <c r="B49" s="2151"/>
      <c r="C49" s="159" t="s">
        <v>131</v>
      </c>
      <c r="D49" s="160" t="s">
        <v>255</v>
      </c>
      <c r="E49" s="138"/>
      <c r="F49" s="2153"/>
      <c r="G49" s="2097"/>
      <c r="H49" s="2098"/>
      <c r="I49" s="326"/>
      <c r="J49" s="624"/>
      <c r="K49" s="624"/>
      <c r="L49" s="624"/>
      <c r="M49" s="624"/>
      <c r="N49" s="326"/>
      <c r="O49" s="624"/>
      <c r="P49" s="624"/>
      <c r="Q49" s="624"/>
      <c r="R49" s="624"/>
      <c r="S49" s="326"/>
      <c r="T49" s="624"/>
      <c r="U49" s="624"/>
      <c r="V49" s="624"/>
      <c r="W49" s="625"/>
    </row>
    <row r="50" spans="1:23" ht="48" thickBot="1">
      <c r="A50" s="2149"/>
      <c r="B50" s="2152"/>
      <c r="C50" s="168" t="s">
        <v>132</v>
      </c>
      <c r="D50" s="160" t="s">
        <v>263</v>
      </c>
      <c r="E50" s="138"/>
      <c r="F50" s="2153"/>
      <c r="G50" s="2097"/>
      <c r="H50" s="2098"/>
      <c r="I50" s="326"/>
      <c r="J50" s="624"/>
      <c r="K50" s="624"/>
      <c r="L50" s="624"/>
      <c r="M50" s="624"/>
      <c r="N50" s="326"/>
      <c r="O50" s="624"/>
      <c r="P50" s="624"/>
      <c r="Q50" s="624"/>
      <c r="R50" s="624"/>
      <c r="S50" s="326"/>
      <c r="T50" s="624"/>
      <c r="U50" s="624"/>
      <c r="V50" s="624"/>
      <c r="W50" s="625"/>
    </row>
    <row r="51" spans="1:23">
      <c r="A51" s="2154" t="s">
        <v>42</v>
      </c>
      <c r="B51" s="2140"/>
      <c r="C51" s="169" t="s">
        <v>38</v>
      </c>
      <c r="D51" s="170" t="s">
        <v>239</v>
      </c>
      <c r="E51" s="138"/>
      <c r="F51" s="1818" t="s">
        <v>499</v>
      </c>
      <c r="G51" s="2097"/>
      <c r="H51" s="2098"/>
      <c r="I51" s="326"/>
      <c r="J51" s="624"/>
      <c r="K51" s="624"/>
      <c r="L51" s="624"/>
      <c r="M51" s="624"/>
      <c r="N51" s="326"/>
      <c r="O51" s="624"/>
      <c r="P51" s="624"/>
      <c r="Q51" s="624"/>
      <c r="R51" s="624"/>
      <c r="S51" s="326"/>
      <c r="T51" s="624"/>
      <c r="U51" s="624"/>
      <c r="V51" s="624"/>
      <c r="W51" s="625"/>
    </row>
    <row r="52" spans="1:23">
      <c r="A52" s="2148"/>
      <c r="B52" s="2148"/>
      <c r="C52" s="171" t="s">
        <v>55</v>
      </c>
      <c r="D52" s="170" t="s">
        <v>240</v>
      </c>
      <c r="E52" s="138"/>
      <c r="F52" s="2155"/>
      <c r="G52" s="2097"/>
      <c r="H52" s="2098"/>
      <c r="I52" s="326"/>
      <c r="J52" s="624"/>
      <c r="K52" s="624"/>
      <c r="L52" s="624"/>
      <c r="M52" s="624"/>
      <c r="N52" s="326"/>
      <c r="O52" s="624"/>
      <c r="P52" s="624"/>
      <c r="Q52" s="624"/>
      <c r="R52" s="624"/>
      <c r="S52" s="326"/>
      <c r="T52" s="624"/>
      <c r="U52" s="624"/>
      <c r="V52" s="624"/>
      <c r="W52" s="625"/>
    </row>
    <row r="53" spans="1:23" ht="16.5" thickBot="1">
      <c r="A53" s="2148"/>
      <c r="B53" s="2148"/>
      <c r="C53" s="161" t="s">
        <v>48</v>
      </c>
      <c r="D53" s="172" t="s">
        <v>241</v>
      </c>
      <c r="E53" s="138"/>
      <c r="F53" s="2156"/>
      <c r="G53" s="2097"/>
      <c r="H53" s="2098"/>
      <c r="I53" s="326"/>
      <c r="J53" s="624"/>
      <c r="K53" s="624"/>
      <c r="L53" s="624"/>
      <c r="M53" s="624"/>
      <c r="N53" s="326"/>
      <c r="O53" s="624"/>
      <c r="P53" s="624"/>
      <c r="Q53" s="624"/>
      <c r="R53" s="624"/>
      <c r="S53" s="326"/>
      <c r="T53" s="624"/>
      <c r="U53" s="624"/>
      <c r="V53" s="624"/>
      <c r="W53" s="625"/>
    </row>
    <row r="54" spans="1:23" ht="16.5" thickBot="1">
      <c r="A54" s="2135" t="s">
        <v>500</v>
      </c>
      <c r="B54" s="2097"/>
      <c r="C54" s="173" t="s">
        <v>134</v>
      </c>
      <c r="D54" s="174" t="s">
        <v>269</v>
      </c>
      <c r="E54" s="175"/>
      <c r="F54" s="1818" t="s">
        <v>501</v>
      </c>
      <c r="G54" s="2097"/>
      <c r="H54" s="2098"/>
      <c r="I54" s="626"/>
      <c r="J54" s="627"/>
      <c r="K54" s="627"/>
      <c r="L54" s="627"/>
      <c r="M54" s="627"/>
      <c r="N54" s="626"/>
      <c r="O54" s="627"/>
      <c r="P54" s="627"/>
      <c r="Q54" s="627"/>
      <c r="R54" s="627"/>
      <c r="S54" s="626"/>
      <c r="T54" s="627"/>
      <c r="U54" s="627"/>
      <c r="V54" s="627"/>
      <c r="W54" s="628"/>
    </row>
    <row r="56" spans="1:23">
      <c r="M56">
        <f>SUM(M15:M54)</f>
        <v>885075</v>
      </c>
    </row>
    <row r="58" spans="1:23" ht="60">
      <c r="A58" s="630" t="s">
        <v>948</v>
      </c>
      <c r="B58" s="630" t="s">
        <v>949</v>
      </c>
      <c r="C58" s="630" t="s">
        <v>950</v>
      </c>
      <c r="D58" s="630" t="s">
        <v>951</v>
      </c>
      <c r="E58" s="630" t="s">
        <v>952</v>
      </c>
    </row>
    <row r="59" spans="1:23">
      <c r="A59" s="634" t="s">
        <v>953</v>
      </c>
      <c r="B59" s="624" t="s">
        <v>1084</v>
      </c>
      <c r="C59" s="624">
        <v>1</v>
      </c>
      <c r="D59" s="624">
        <v>0.5</v>
      </c>
      <c r="E59" s="784">
        <v>45689</v>
      </c>
    </row>
    <row r="60" spans="1:23">
      <c r="A60" s="634" t="s">
        <v>956</v>
      </c>
      <c r="B60" s="624" t="s">
        <v>1005</v>
      </c>
      <c r="C60" s="624"/>
      <c r="D60" s="624"/>
      <c r="E60" s="635"/>
    </row>
    <row r="61" spans="1:23">
      <c r="A61" s="634" t="s">
        <v>957</v>
      </c>
      <c r="B61" s="624" t="s">
        <v>1084</v>
      </c>
      <c r="C61" s="624">
        <v>1</v>
      </c>
      <c r="D61" s="624">
        <v>3</v>
      </c>
      <c r="E61" s="635" t="s">
        <v>1085</v>
      </c>
    </row>
    <row r="62" spans="1:23">
      <c r="A62" s="634" t="s">
        <v>959</v>
      </c>
      <c r="B62" s="624" t="s">
        <v>1084</v>
      </c>
      <c r="C62" s="624">
        <v>30</v>
      </c>
      <c r="D62" s="624">
        <v>2.5</v>
      </c>
      <c r="E62" s="784">
        <v>45689</v>
      </c>
    </row>
    <row r="63" spans="1:23">
      <c r="A63" s="634" t="s">
        <v>961</v>
      </c>
      <c r="B63" s="624" t="s">
        <v>1084</v>
      </c>
      <c r="C63" s="624">
        <v>23</v>
      </c>
      <c r="D63" s="624">
        <v>23</v>
      </c>
      <c r="E63" s="784">
        <v>45778</v>
      </c>
    </row>
    <row r="64" spans="1:23">
      <c r="A64" s="634" t="s">
        <v>963</v>
      </c>
      <c r="B64" s="624" t="s">
        <v>1084</v>
      </c>
      <c r="C64" s="624">
        <v>14</v>
      </c>
      <c r="D64" s="624">
        <v>14</v>
      </c>
      <c r="E64" s="784">
        <v>45778</v>
      </c>
    </row>
    <row r="65" spans="1:6">
      <c r="A65" s="634" t="s">
        <v>965</v>
      </c>
      <c r="B65" s="624" t="s">
        <v>1084</v>
      </c>
      <c r="C65" s="624">
        <v>22</v>
      </c>
      <c r="D65" s="624">
        <v>11</v>
      </c>
      <c r="E65" s="784">
        <v>45778</v>
      </c>
    </row>
    <row r="66" spans="1:6">
      <c r="A66" s="634" t="s">
        <v>967</v>
      </c>
      <c r="B66" s="624" t="s">
        <v>1005</v>
      </c>
      <c r="C66" s="624"/>
      <c r="D66" s="624"/>
      <c r="E66" s="635"/>
    </row>
    <row r="67" spans="1:6">
      <c r="A67" s="634" t="s">
        <v>969</v>
      </c>
      <c r="B67" s="624" t="s">
        <v>1084</v>
      </c>
      <c r="C67" s="624">
        <v>1</v>
      </c>
      <c r="D67" s="624">
        <v>1</v>
      </c>
      <c r="E67" s="635"/>
    </row>
    <row r="68" spans="1:6">
      <c r="A68" s="634" t="s">
        <v>971</v>
      </c>
      <c r="B68" s="624" t="s">
        <v>1084</v>
      </c>
      <c r="C68" s="624">
        <v>22</v>
      </c>
      <c r="D68" s="624">
        <v>11</v>
      </c>
      <c r="E68" s="635">
        <v>2025</v>
      </c>
    </row>
    <row r="69" spans="1:6">
      <c r="A69" s="634" t="s">
        <v>986</v>
      </c>
      <c r="B69" s="624"/>
      <c r="C69" s="624"/>
      <c r="D69" s="624"/>
      <c r="E69" s="635"/>
    </row>
    <row r="70" spans="1:6">
      <c r="A70" s="634"/>
      <c r="B70" s="624"/>
      <c r="C70" s="624"/>
      <c r="D70" s="624"/>
      <c r="E70" s="635"/>
    </row>
    <row r="71" spans="1:6">
      <c r="A71" s="634"/>
      <c r="B71" s="624"/>
      <c r="C71" s="624"/>
      <c r="D71" s="624"/>
      <c r="E71" s="635"/>
    </row>
    <row r="72" spans="1:6">
      <c r="A72" s="610"/>
      <c r="B72" s="610"/>
      <c r="C72" s="610"/>
      <c r="D72" s="610"/>
      <c r="E72" s="610"/>
    </row>
    <row r="73" spans="1:6">
      <c r="D73" s="1">
        <f>SUM(D59:D71)</f>
        <v>66</v>
      </c>
    </row>
    <row r="75" spans="1:6">
      <c r="A75" s="2198" t="s">
        <v>1270</v>
      </c>
      <c r="B75" s="2199"/>
      <c r="C75" s="2199"/>
      <c r="D75" s="2199"/>
      <c r="E75" s="2199"/>
      <c r="F75" s="2199"/>
    </row>
    <row r="76" spans="1:6" ht="75">
      <c r="A76" s="1411" t="s">
        <v>1271</v>
      </c>
      <c r="B76" s="1411" t="s">
        <v>1272</v>
      </c>
      <c r="C76" s="1411" t="s">
        <v>1273</v>
      </c>
      <c r="D76" s="1411" t="s">
        <v>1274</v>
      </c>
      <c r="E76" s="1411" t="s">
        <v>1275</v>
      </c>
      <c r="F76" s="1411" t="s">
        <v>1276</v>
      </c>
    </row>
    <row r="77" spans="1:6">
      <c r="A77" s="1410"/>
      <c r="B77" s="1410" t="s">
        <v>1461</v>
      </c>
      <c r="C77" s="1410" t="s">
        <v>1462</v>
      </c>
      <c r="D77" s="1410" t="s">
        <v>1037</v>
      </c>
      <c r="E77" s="1410" t="s">
        <v>1463</v>
      </c>
      <c r="F77" s="1410">
        <v>10</v>
      </c>
    </row>
    <row r="78" spans="1:6">
      <c r="A78" s="1410"/>
      <c r="B78" s="1410" t="s">
        <v>1464</v>
      </c>
      <c r="C78" s="1410" t="s">
        <v>1462</v>
      </c>
      <c r="D78" s="1410" t="s">
        <v>1037</v>
      </c>
      <c r="E78" s="1410" t="s">
        <v>1463</v>
      </c>
      <c r="F78" s="1410">
        <v>10</v>
      </c>
    </row>
    <row r="79" spans="1:6">
      <c r="A79" s="1410"/>
      <c r="B79" s="1410" t="s">
        <v>1469</v>
      </c>
      <c r="C79" s="1410" t="s">
        <v>1466</v>
      </c>
      <c r="D79" s="1410" t="s">
        <v>1037</v>
      </c>
      <c r="E79" s="1410" t="s">
        <v>1463</v>
      </c>
      <c r="F79" s="1410">
        <v>10</v>
      </c>
    </row>
    <row r="80" spans="1:6" ht="90">
      <c r="A80" s="1410"/>
      <c r="B80" s="1412" t="s">
        <v>1470</v>
      </c>
      <c r="C80" s="1410" t="s">
        <v>1466</v>
      </c>
      <c r="D80" s="1410" t="s">
        <v>1037</v>
      </c>
      <c r="E80" s="1410" t="s">
        <v>1468</v>
      </c>
      <c r="F80" s="1410">
        <v>10</v>
      </c>
    </row>
  </sheetData>
  <mergeCells count="61">
    <mergeCell ref="A75:F75"/>
    <mergeCell ref="I13:M13"/>
    <mergeCell ref="N13:R13"/>
    <mergeCell ref="S13:W13"/>
    <mergeCell ref="B2:D2"/>
    <mergeCell ref="B3:D3"/>
    <mergeCell ref="B4:D4"/>
    <mergeCell ref="B6:D6"/>
    <mergeCell ref="B8:D8"/>
    <mergeCell ref="A10:B10"/>
    <mergeCell ref="C10:H10"/>
    <mergeCell ref="A23:B25"/>
    <mergeCell ref="F23:H25"/>
    <mergeCell ref="A26:C26"/>
    <mergeCell ref="F26:H26"/>
    <mergeCell ref="E12:H13"/>
    <mergeCell ref="A14:B14"/>
    <mergeCell ref="F14:H14"/>
    <mergeCell ref="A15:B17"/>
    <mergeCell ref="F15:H17"/>
    <mergeCell ref="A18:B20"/>
    <mergeCell ref="F18:H18"/>
    <mergeCell ref="F19:H19"/>
    <mergeCell ref="F20:H20"/>
    <mergeCell ref="A21:B22"/>
    <mergeCell ref="F21:H22"/>
    <mergeCell ref="A27:B29"/>
    <mergeCell ref="F27:H29"/>
    <mergeCell ref="A30:B32"/>
    <mergeCell ref="F30:H32"/>
    <mergeCell ref="A33:B33"/>
    <mergeCell ref="F33:H33"/>
    <mergeCell ref="A34:B34"/>
    <mergeCell ref="F34:H34"/>
    <mergeCell ref="A35:B36"/>
    <mergeCell ref="F35:H36"/>
    <mergeCell ref="A37:B39"/>
    <mergeCell ref="F37:H37"/>
    <mergeCell ref="F38:H38"/>
    <mergeCell ref="F39:H39"/>
    <mergeCell ref="A40:B42"/>
    <mergeCell ref="F40:H40"/>
    <mergeCell ref="F42:H42"/>
    <mergeCell ref="A43:C43"/>
    <mergeCell ref="F43:H43"/>
    <mergeCell ref="A44:C44"/>
    <mergeCell ref="F44:H44"/>
    <mergeCell ref="A45:B48"/>
    <mergeCell ref="F45:H45"/>
    <mergeCell ref="F46:H46"/>
    <mergeCell ref="F47:H47"/>
    <mergeCell ref="F48:H48"/>
    <mergeCell ref="A54:B54"/>
    <mergeCell ref="F54:H54"/>
    <mergeCell ref="A49:B50"/>
    <mergeCell ref="F49:H49"/>
    <mergeCell ref="F50:H50"/>
    <mergeCell ref="A51:B53"/>
    <mergeCell ref="F51:H51"/>
    <mergeCell ref="F52:H52"/>
    <mergeCell ref="F53:H53"/>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3" location="SOMMAIRE!A1" display="Retour sommaire"/>
    <hyperlink ref="J5" location="SYNTHESE!A1" display="Retour synthèse"/>
  </hyperlink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W107"/>
  <sheetViews>
    <sheetView topLeftCell="A40" zoomScale="70" zoomScaleNormal="70" workbookViewId="0">
      <selection activeCell="F48" sqref="F48:H48"/>
    </sheetView>
  </sheetViews>
  <sheetFormatPr baseColWidth="10" defaultRowHeight="15"/>
  <cols>
    <col min="1" max="1" width="20.42578125" style="8" bestFit="1" customWidth="1"/>
    <col min="2" max="2" width="15.7109375" style="8" customWidth="1"/>
    <col min="3" max="3" width="46.28515625" style="8" customWidth="1"/>
    <col min="4" max="5" width="7.5703125" style="8" customWidth="1"/>
    <col min="6" max="6" width="16.28515625" style="8" bestFit="1" customWidth="1"/>
    <col min="7" max="7" width="18.140625" style="8" customWidth="1"/>
    <col min="8" max="8" width="16.5703125" bestFit="1" customWidth="1"/>
  </cols>
  <sheetData>
    <row r="1" spans="1:23" ht="15.75" thickBot="1">
      <c r="A1" s="327"/>
      <c r="B1" s="327"/>
      <c r="C1" s="327"/>
      <c r="D1" s="327"/>
      <c r="E1" s="327"/>
      <c r="F1" s="327"/>
      <c r="G1" s="327"/>
      <c r="H1" s="327"/>
    </row>
    <row r="2" spans="1:23" ht="15.75" thickBot="1">
      <c r="A2" s="328" t="s">
        <v>0</v>
      </c>
      <c r="B2" s="1807" t="s">
        <v>140</v>
      </c>
      <c r="C2" s="1776"/>
      <c r="D2" s="1777"/>
      <c r="E2" s="329"/>
      <c r="F2" s="329"/>
      <c r="G2" s="330" t="s">
        <v>462</v>
      </c>
      <c r="H2" s="112" t="s">
        <v>53</v>
      </c>
    </row>
    <row r="3" spans="1:23" ht="15.75" customHeight="1" thickBot="1">
      <c r="A3" s="331" t="s">
        <v>344</v>
      </c>
      <c r="B3" s="1808" t="s">
        <v>610</v>
      </c>
      <c r="C3" s="1776"/>
      <c r="D3" s="1777"/>
      <c r="E3" s="329"/>
      <c r="F3" s="329"/>
      <c r="G3" s="332" t="s">
        <v>10</v>
      </c>
      <c r="H3" s="112" t="s">
        <v>16</v>
      </c>
      <c r="J3" s="13" t="s">
        <v>73</v>
      </c>
    </row>
    <row r="4" spans="1:23" ht="15.75" customHeight="1" thickBot="1">
      <c r="A4" s="332" t="s">
        <v>3</v>
      </c>
      <c r="B4" s="1809" t="s">
        <v>140</v>
      </c>
      <c r="C4" s="1776"/>
      <c r="D4" s="1777"/>
      <c r="E4" s="333"/>
      <c r="F4" s="329"/>
      <c r="G4" s="334" t="s">
        <v>26</v>
      </c>
      <c r="H4" s="117">
        <v>10</v>
      </c>
    </row>
    <row r="5" spans="1:23" ht="15.75" customHeight="1" thickBot="1">
      <c r="A5" s="329"/>
      <c r="B5" s="329"/>
      <c r="C5" s="329"/>
      <c r="D5" s="329"/>
      <c r="E5" s="329"/>
      <c r="F5" s="329"/>
      <c r="G5" s="329"/>
      <c r="H5" s="329"/>
      <c r="J5" s="13" t="s">
        <v>381</v>
      </c>
    </row>
    <row r="6" spans="1:23" ht="282.75" customHeight="1" thickBot="1">
      <c r="A6" s="328" t="s">
        <v>465</v>
      </c>
      <c r="B6" s="1909" t="s">
        <v>1601</v>
      </c>
      <c r="C6" s="2548"/>
      <c r="D6" s="2549"/>
      <c r="E6" s="329"/>
      <c r="F6" s="329"/>
      <c r="G6" s="335" t="s">
        <v>466</v>
      </c>
      <c r="H6" s="178" t="s">
        <v>819</v>
      </c>
    </row>
    <row r="7" spans="1:23" ht="15.75" thickBot="1">
      <c r="A7" s="327"/>
      <c r="B7" s="329"/>
      <c r="C7" s="329"/>
      <c r="D7" s="329"/>
      <c r="E7" s="329"/>
      <c r="F7" s="329"/>
      <c r="G7" s="337"/>
      <c r="H7" s="329"/>
    </row>
    <row r="8" spans="1:23" ht="30.75" customHeight="1" thickBot="1">
      <c r="A8" s="338" t="s">
        <v>7</v>
      </c>
      <c r="B8" s="1823" t="s">
        <v>820</v>
      </c>
      <c r="C8" s="1776"/>
      <c r="D8" s="1777"/>
      <c r="E8" s="333"/>
      <c r="F8" s="339"/>
      <c r="G8" s="338" t="s">
        <v>469</v>
      </c>
      <c r="H8" s="123" t="s">
        <v>508</v>
      </c>
    </row>
    <row r="9" spans="1:23">
      <c r="A9" s="327"/>
      <c r="B9" s="329"/>
      <c r="C9" s="329"/>
      <c r="D9" s="329"/>
      <c r="E9" s="329"/>
      <c r="F9" s="329"/>
      <c r="G9" s="337"/>
      <c r="H9" s="329"/>
    </row>
    <row r="10" spans="1:23" ht="85.5" customHeight="1">
      <c r="A10" s="1813" t="s">
        <v>471</v>
      </c>
      <c r="B10" s="1772"/>
      <c r="C10" s="1806" t="s">
        <v>821</v>
      </c>
      <c r="D10" s="1806"/>
      <c r="E10" s="1806"/>
      <c r="F10" s="1806"/>
      <c r="G10" s="1806"/>
      <c r="H10" s="1806"/>
    </row>
    <row r="11" spans="1:23">
      <c r="A11" s="343"/>
      <c r="B11" s="333"/>
      <c r="C11" s="333"/>
      <c r="D11" s="333"/>
      <c r="E11" s="333"/>
      <c r="F11" s="339"/>
      <c r="G11" s="342"/>
      <c r="H11" s="342"/>
    </row>
    <row r="12" spans="1:23" ht="15" customHeight="1">
      <c r="A12" s="343"/>
      <c r="B12" s="333"/>
      <c r="C12" s="333"/>
      <c r="D12" s="333"/>
      <c r="E12" s="1814" t="s">
        <v>473</v>
      </c>
      <c r="F12" s="1772"/>
      <c r="G12" s="1772"/>
      <c r="H12" s="1772"/>
    </row>
    <row r="13" spans="1:23" ht="15" customHeight="1">
      <c r="A13" s="329"/>
      <c r="B13" s="329"/>
      <c r="C13" s="329"/>
      <c r="D13" s="329"/>
      <c r="E13" s="1780"/>
      <c r="F13" s="1780"/>
      <c r="G13" s="1780"/>
      <c r="H13" s="1780"/>
      <c r="I13" s="1825">
        <v>2025</v>
      </c>
      <c r="J13" s="1826"/>
      <c r="K13" s="1826"/>
      <c r="L13" s="1826"/>
      <c r="M13" s="1827"/>
      <c r="N13" s="1825">
        <v>2026</v>
      </c>
      <c r="O13" s="1826"/>
      <c r="P13" s="1826"/>
      <c r="Q13" s="1826"/>
      <c r="R13" s="1827"/>
      <c r="S13" s="1825">
        <v>2027</v>
      </c>
      <c r="T13" s="1826"/>
      <c r="U13" s="1826"/>
      <c r="V13" s="1826"/>
      <c r="W13" s="1827"/>
    </row>
    <row r="14" spans="1:23" ht="45.75" thickBot="1">
      <c r="A14" s="1816" t="s">
        <v>5</v>
      </c>
      <c r="B14" s="1792"/>
      <c r="C14" s="344" t="s">
        <v>1</v>
      </c>
      <c r="D14" s="344" t="s">
        <v>260</v>
      </c>
      <c r="E14" s="345" t="s">
        <v>474</v>
      </c>
      <c r="F14" s="1815" t="s">
        <v>6</v>
      </c>
      <c r="G14" s="1762"/>
      <c r="H14" s="1764"/>
      <c r="I14" s="917" t="s">
        <v>474</v>
      </c>
      <c r="J14" s="918" t="s">
        <v>944</v>
      </c>
      <c r="K14" s="919" t="s">
        <v>945</v>
      </c>
      <c r="L14" s="918" t="s">
        <v>946</v>
      </c>
      <c r="M14" s="920" t="s">
        <v>947</v>
      </c>
      <c r="N14" s="917" t="s">
        <v>474</v>
      </c>
      <c r="O14" s="918" t="s">
        <v>944</v>
      </c>
      <c r="P14" s="919" t="s">
        <v>945</v>
      </c>
      <c r="Q14" s="918" t="s">
        <v>946</v>
      </c>
      <c r="R14" s="920" t="s">
        <v>947</v>
      </c>
      <c r="S14" s="917" t="s">
        <v>474</v>
      </c>
      <c r="T14" s="918" t="s">
        <v>944</v>
      </c>
      <c r="U14" s="919" t="s">
        <v>945</v>
      </c>
      <c r="V14" s="918" t="s">
        <v>946</v>
      </c>
      <c r="W14" s="920" t="s">
        <v>947</v>
      </c>
    </row>
    <row r="15" spans="1:23" ht="15" customHeight="1">
      <c r="A15" s="1804" t="s">
        <v>17</v>
      </c>
      <c r="B15" s="1771"/>
      <c r="C15" s="346" t="s">
        <v>59</v>
      </c>
      <c r="D15" s="347" t="s">
        <v>251</v>
      </c>
      <c r="E15" s="543"/>
      <c r="F15" s="1828"/>
      <c r="G15" s="1771"/>
      <c r="H15" s="1792"/>
      <c r="I15" s="924"/>
      <c r="J15" s="925"/>
      <c r="K15" s="925"/>
      <c r="L15" s="926"/>
      <c r="M15" s="935"/>
      <c r="N15" s="925"/>
      <c r="O15" s="925"/>
      <c r="P15" s="925"/>
      <c r="Q15" s="925"/>
      <c r="R15" s="936"/>
      <c r="S15" s="924"/>
      <c r="T15" s="925"/>
      <c r="U15" s="925"/>
      <c r="V15" s="925"/>
      <c r="W15" s="936"/>
    </row>
    <row r="16" spans="1:23">
      <c r="A16" s="1772"/>
      <c r="B16" s="1772"/>
      <c r="C16" s="349" t="s">
        <v>18</v>
      </c>
      <c r="D16" s="350" t="s">
        <v>168</v>
      </c>
      <c r="E16" s="544"/>
      <c r="F16" s="1798"/>
      <c r="G16" s="1798"/>
      <c r="H16" s="1799"/>
      <c r="I16" s="927"/>
      <c r="J16" s="922"/>
      <c r="K16" s="922"/>
      <c r="L16" s="928"/>
      <c r="M16" s="927"/>
      <c r="N16" s="922"/>
      <c r="O16" s="922"/>
      <c r="P16" s="922"/>
      <c r="Q16" s="922"/>
      <c r="R16" s="928"/>
      <c r="S16" s="927"/>
      <c r="T16" s="922"/>
      <c r="U16" s="922"/>
      <c r="V16" s="922"/>
      <c r="W16" s="928"/>
    </row>
    <row r="17" spans="1:23" ht="45.75" customHeight="1" thickBot="1">
      <c r="A17" s="1780"/>
      <c r="B17" s="1780"/>
      <c r="C17" s="352" t="s">
        <v>19</v>
      </c>
      <c r="D17" s="353" t="s">
        <v>233</v>
      </c>
      <c r="E17" s="433"/>
      <c r="F17" s="1780"/>
      <c r="G17" s="1780"/>
      <c r="H17" s="1793"/>
      <c r="I17" s="929"/>
      <c r="J17" s="921"/>
      <c r="K17" s="921"/>
      <c r="L17" s="930"/>
      <c r="M17" s="929"/>
      <c r="N17" s="921"/>
      <c r="O17" s="921"/>
      <c r="P17" s="921"/>
      <c r="Q17" s="921"/>
      <c r="R17" s="930"/>
      <c r="S17" s="929"/>
      <c r="T17" s="921"/>
      <c r="U17" s="921"/>
      <c r="V17" s="921"/>
      <c r="W17" s="930"/>
    </row>
    <row r="18" spans="1:23" ht="29.25" customHeight="1">
      <c r="A18" s="1804" t="s">
        <v>20</v>
      </c>
      <c r="B18" s="1771"/>
      <c r="C18" s="346" t="s">
        <v>54</v>
      </c>
      <c r="D18" s="353" t="s">
        <v>261</v>
      </c>
      <c r="E18" s="433" t="s">
        <v>277</v>
      </c>
      <c r="F18" s="1828" t="s">
        <v>822</v>
      </c>
      <c r="G18" s="1771"/>
      <c r="H18" s="1792"/>
      <c r="I18" s="931" t="s">
        <v>554</v>
      </c>
      <c r="J18" s="922">
        <v>1</v>
      </c>
      <c r="K18" s="922" t="s">
        <v>887</v>
      </c>
      <c r="L18" s="928">
        <v>50</v>
      </c>
      <c r="M18" s="927">
        <v>34250</v>
      </c>
      <c r="N18" s="922"/>
      <c r="O18" s="922">
        <v>0</v>
      </c>
      <c r="P18" s="922"/>
      <c r="Q18" s="922"/>
      <c r="R18" s="928"/>
      <c r="S18" s="929"/>
      <c r="T18" s="922">
        <v>0</v>
      </c>
      <c r="U18" s="922"/>
      <c r="V18" s="922"/>
      <c r="W18" s="928"/>
    </row>
    <row r="19" spans="1:23" ht="30" customHeight="1">
      <c r="A19" s="1772"/>
      <c r="B19" s="1772"/>
      <c r="C19" s="355" t="s">
        <v>21</v>
      </c>
      <c r="D19" s="353" t="s">
        <v>234</v>
      </c>
      <c r="E19" s="433"/>
      <c r="F19" s="1798"/>
      <c r="G19" s="1798"/>
      <c r="H19" s="1799"/>
      <c r="I19" s="931"/>
      <c r="J19" s="922"/>
      <c r="K19" s="922"/>
      <c r="L19" s="928"/>
      <c r="M19" s="927"/>
      <c r="N19" s="922"/>
      <c r="O19" s="922"/>
      <c r="P19" s="922"/>
      <c r="Q19" s="922"/>
      <c r="R19" s="928"/>
      <c r="S19" s="929"/>
      <c r="T19" s="922"/>
      <c r="U19" s="922"/>
      <c r="V19" s="922"/>
      <c r="W19" s="928"/>
    </row>
    <row r="20" spans="1:23" ht="30" customHeight="1" thickBot="1">
      <c r="A20" s="1772"/>
      <c r="B20" s="1772"/>
      <c r="C20" s="352" t="s">
        <v>22</v>
      </c>
      <c r="D20" s="353" t="s">
        <v>235</v>
      </c>
      <c r="E20" s="433" t="s">
        <v>554</v>
      </c>
      <c r="F20" s="1780"/>
      <c r="G20" s="1780"/>
      <c r="H20" s="1793"/>
      <c r="I20" s="931" t="s">
        <v>554</v>
      </c>
      <c r="J20" s="922">
        <v>1</v>
      </c>
      <c r="K20" s="922" t="s">
        <v>887</v>
      </c>
      <c r="L20" s="928">
        <v>100</v>
      </c>
      <c r="M20" s="927">
        <v>153000</v>
      </c>
      <c r="N20" s="922"/>
      <c r="O20" s="922">
        <v>0</v>
      </c>
      <c r="P20" s="922"/>
      <c r="Q20" s="922"/>
      <c r="R20" s="928"/>
      <c r="S20" s="929"/>
      <c r="T20" s="922">
        <v>1</v>
      </c>
      <c r="U20" s="922" t="s">
        <v>887</v>
      </c>
      <c r="V20" s="922">
        <v>100</v>
      </c>
      <c r="W20" s="928">
        <v>153000</v>
      </c>
    </row>
    <row r="21" spans="1:23" ht="33" customHeight="1">
      <c r="A21" s="1804" t="s">
        <v>23</v>
      </c>
      <c r="B21" s="1771"/>
      <c r="C21" s="356" t="s">
        <v>69</v>
      </c>
      <c r="D21" s="353" t="s">
        <v>267</v>
      </c>
      <c r="E21" s="433"/>
      <c r="F21" s="2550" t="s">
        <v>1222</v>
      </c>
      <c r="G21" s="2551"/>
      <c r="H21" s="2552"/>
      <c r="I21" s="927"/>
      <c r="J21" s="922"/>
      <c r="K21" s="922"/>
      <c r="L21" s="928"/>
      <c r="M21" s="927"/>
      <c r="N21" s="922"/>
      <c r="O21" s="922"/>
      <c r="P21" s="922"/>
      <c r="Q21" s="922"/>
      <c r="R21" s="928"/>
      <c r="S21" s="927"/>
      <c r="T21" s="922"/>
      <c r="U21" s="922"/>
      <c r="V21" s="922"/>
      <c r="W21" s="928"/>
    </row>
    <row r="22" spans="1:23" ht="44.25" customHeight="1" thickBot="1">
      <c r="A22" s="1780"/>
      <c r="B22" s="1780"/>
      <c r="C22" s="357" t="s">
        <v>24</v>
      </c>
      <c r="D22" s="358" t="s">
        <v>236</v>
      </c>
      <c r="E22" s="433" t="s">
        <v>554</v>
      </c>
      <c r="F22" s="2553"/>
      <c r="G22" s="2553"/>
      <c r="H22" s="2554"/>
      <c r="I22" s="931" t="s">
        <v>554</v>
      </c>
      <c r="J22" s="922">
        <v>1</v>
      </c>
      <c r="K22" s="923" t="s">
        <v>991</v>
      </c>
      <c r="L22" s="928">
        <v>100</v>
      </c>
      <c r="M22" s="927">
        <v>68000</v>
      </c>
      <c r="N22" s="922"/>
      <c r="O22" s="922">
        <v>0</v>
      </c>
      <c r="P22" s="922"/>
      <c r="Q22" s="922"/>
      <c r="R22" s="928"/>
      <c r="S22" s="927"/>
      <c r="T22" s="922">
        <v>0</v>
      </c>
      <c r="U22" s="922"/>
      <c r="V22" s="922"/>
      <c r="W22" s="928"/>
    </row>
    <row r="23" spans="1:23" ht="56.25" customHeight="1">
      <c r="A23" s="1801" t="s">
        <v>478</v>
      </c>
      <c r="B23" s="1792"/>
      <c r="C23" s="359" t="s">
        <v>360</v>
      </c>
      <c r="D23" s="358" t="s">
        <v>265</v>
      </c>
      <c r="E23" s="433"/>
      <c r="F23" s="1791" t="s">
        <v>477</v>
      </c>
      <c r="G23" s="1771"/>
      <c r="H23" s="1792"/>
      <c r="I23" s="927"/>
      <c r="J23" s="922"/>
      <c r="K23" s="922"/>
      <c r="L23" s="928"/>
      <c r="M23" s="927"/>
      <c r="N23" s="922"/>
      <c r="O23" s="922"/>
      <c r="P23" s="922"/>
      <c r="Q23" s="922"/>
      <c r="R23" s="928"/>
      <c r="S23" s="927"/>
      <c r="T23" s="922"/>
      <c r="U23" s="922"/>
      <c r="V23" s="922"/>
      <c r="W23" s="928"/>
    </row>
    <row r="24" spans="1:23" ht="56.25" customHeight="1">
      <c r="A24" s="1779"/>
      <c r="B24" s="1799"/>
      <c r="C24" s="360" t="s">
        <v>361</v>
      </c>
      <c r="D24" s="358" t="s">
        <v>362</v>
      </c>
      <c r="E24" s="433"/>
      <c r="F24" s="1798"/>
      <c r="G24" s="1798"/>
      <c r="H24" s="1799"/>
      <c r="I24" s="927"/>
      <c r="J24" s="922"/>
      <c r="K24" s="922"/>
      <c r="L24" s="928"/>
      <c r="M24" s="927"/>
      <c r="N24" s="922"/>
      <c r="O24" s="922"/>
      <c r="P24" s="922"/>
      <c r="Q24" s="922"/>
      <c r="R24" s="928"/>
      <c r="S24" s="927"/>
      <c r="T24" s="922"/>
      <c r="U24" s="922"/>
      <c r="V24" s="922"/>
      <c r="W24" s="928"/>
    </row>
    <row r="25" spans="1:23" ht="49.5" customHeight="1" thickBot="1">
      <c r="A25" s="1779"/>
      <c r="B25" s="1799"/>
      <c r="C25" s="361" t="s">
        <v>479</v>
      </c>
      <c r="D25" s="358" t="s">
        <v>480</v>
      </c>
      <c r="E25" s="433"/>
      <c r="F25" s="1780"/>
      <c r="G25" s="1780"/>
      <c r="H25" s="1793"/>
      <c r="I25" s="927"/>
      <c r="J25" s="922"/>
      <c r="K25" s="922"/>
      <c r="L25" s="928"/>
      <c r="M25" s="927"/>
      <c r="N25" s="922"/>
      <c r="O25" s="922"/>
      <c r="P25" s="922"/>
      <c r="Q25" s="922"/>
      <c r="R25" s="928"/>
      <c r="S25" s="927"/>
      <c r="T25" s="922"/>
      <c r="U25" s="922"/>
      <c r="V25" s="922"/>
      <c r="W25" s="928"/>
    </row>
    <row r="26" spans="1:23" ht="15.75" customHeight="1" thickBot="1">
      <c r="A26" s="1802" t="s">
        <v>25</v>
      </c>
      <c r="B26" s="1776"/>
      <c r="C26" s="1777"/>
      <c r="D26" s="362" t="s">
        <v>270</v>
      </c>
      <c r="E26" s="433"/>
      <c r="F26" s="1763" t="s">
        <v>481</v>
      </c>
      <c r="G26" s="1762"/>
      <c r="H26" s="1764"/>
      <c r="I26" s="927"/>
      <c r="J26" s="922"/>
      <c r="K26" s="922"/>
      <c r="L26" s="928"/>
      <c r="M26" s="927"/>
      <c r="N26" s="922"/>
      <c r="O26" s="922"/>
      <c r="P26" s="922"/>
      <c r="Q26" s="922"/>
      <c r="R26" s="928"/>
      <c r="S26" s="927"/>
      <c r="T26" s="922"/>
      <c r="U26" s="922"/>
      <c r="V26" s="922"/>
      <c r="W26" s="928"/>
    </row>
    <row r="27" spans="1:23" ht="15.75">
      <c r="A27" s="1803" t="s">
        <v>153</v>
      </c>
      <c r="B27" s="1788"/>
      <c r="C27" s="363" t="s">
        <v>152</v>
      </c>
      <c r="D27" s="364" t="s">
        <v>268</v>
      </c>
      <c r="E27" s="433"/>
      <c r="F27" s="1791" t="s">
        <v>475</v>
      </c>
      <c r="G27" s="1771"/>
      <c r="H27" s="1792"/>
      <c r="I27" s="927"/>
      <c r="J27" s="922"/>
      <c r="K27" s="922"/>
      <c r="L27" s="928"/>
      <c r="M27" s="927"/>
      <c r="N27" s="922"/>
      <c r="O27" s="922"/>
      <c r="P27" s="922"/>
      <c r="Q27" s="922"/>
      <c r="R27" s="928"/>
      <c r="S27" s="927"/>
      <c r="T27" s="922"/>
      <c r="U27" s="922"/>
      <c r="V27" s="922"/>
      <c r="W27" s="928"/>
    </row>
    <row r="28" spans="1:23" ht="15.75">
      <c r="A28" s="1779"/>
      <c r="B28" s="1788"/>
      <c r="C28" s="365" t="s">
        <v>154</v>
      </c>
      <c r="D28" s="364" t="s">
        <v>392</v>
      </c>
      <c r="E28" s="433"/>
      <c r="F28" s="1798"/>
      <c r="G28" s="1798"/>
      <c r="H28" s="1799"/>
      <c r="I28" s="927"/>
      <c r="J28" s="922"/>
      <c r="K28" s="922"/>
      <c r="L28" s="928"/>
      <c r="M28" s="927"/>
      <c r="N28" s="922"/>
      <c r="O28" s="922"/>
      <c r="P28" s="922"/>
      <c r="Q28" s="922"/>
      <c r="R28" s="928"/>
      <c r="S28" s="927"/>
      <c r="T28" s="922"/>
      <c r="U28" s="922"/>
      <c r="V28" s="922"/>
      <c r="W28" s="928"/>
    </row>
    <row r="29" spans="1:23" ht="16.5" thickBot="1">
      <c r="A29" s="1767"/>
      <c r="B29" s="1768"/>
      <c r="C29" s="366" t="s">
        <v>400</v>
      </c>
      <c r="D29" s="364" t="s">
        <v>393</v>
      </c>
      <c r="E29" s="433"/>
      <c r="F29" s="1780"/>
      <c r="G29" s="1780"/>
      <c r="H29" s="1793"/>
      <c r="I29" s="927"/>
      <c r="J29" s="922"/>
      <c r="K29" s="922"/>
      <c r="L29" s="928"/>
      <c r="M29" s="927"/>
      <c r="N29" s="922"/>
      <c r="O29" s="922"/>
      <c r="P29" s="922"/>
      <c r="Q29" s="922"/>
      <c r="R29" s="928"/>
      <c r="S29" s="927"/>
      <c r="T29" s="922"/>
      <c r="U29" s="922"/>
      <c r="V29" s="922"/>
      <c r="W29" s="928"/>
    </row>
    <row r="30" spans="1:23" ht="15.75">
      <c r="A30" s="1797" t="s">
        <v>153</v>
      </c>
      <c r="B30" s="1766"/>
      <c r="C30" s="367" t="s">
        <v>155</v>
      </c>
      <c r="D30" s="364" t="s">
        <v>266</v>
      </c>
      <c r="E30" s="433"/>
      <c r="F30" s="1791" t="s">
        <v>475</v>
      </c>
      <c r="G30" s="1771"/>
      <c r="H30" s="1792"/>
      <c r="I30" s="927"/>
      <c r="J30" s="922"/>
      <c r="K30" s="922"/>
      <c r="L30" s="928"/>
      <c r="M30" s="927"/>
      <c r="N30" s="922"/>
      <c r="O30" s="922"/>
      <c r="P30" s="922"/>
      <c r="Q30" s="922"/>
      <c r="R30" s="928"/>
      <c r="S30" s="927"/>
      <c r="T30" s="922"/>
      <c r="U30" s="922"/>
      <c r="V30" s="922"/>
      <c r="W30" s="928"/>
    </row>
    <row r="31" spans="1:23" ht="15.75">
      <c r="A31" s="1779"/>
      <c r="B31" s="1788"/>
      <c r="C31" s="365" t="s">
        <v>156</v>
      </c>
      <c r="D31" s="364" t="s">
        <v>394</v>
      </c>
      <c r="E31" s="433"/>
      <c r="F31" s="1798"/>
      <c r="G31" s="1798"/>
      <c r="H31" s="1799"/>
      <c r="I31" s="927"/>
      <c r="J31" s="922"/>
      <c r="K31" s="922"/>
      <c r="L31" s="928"/>
      <c r="M31" s="927"/>
      <c r="N31" s="922"/>
      <c r="O31" s="922"/>
      <c r="P31" s="922"/>
      <c r="Q31" s="922"/>
      <c r="R31" s="928"/>
      <c r="S31" s="927"/>
      <c r="T31" s="922"/>
      <c r="U31" s="922"/>
      <c r="V31" s="922"/>
      <c r="W31" s="928"/>
    </row>
    <row r="32" spans="1:23" ht="16.5" thickBot="1">
      <c r="A32" s="1767"/>
      <c r="B32" s="1768"/>
      <c r="C32" s="366" t="s">
        <v>399</v>
      </c>
      <c r="D32" s="364" t="s">
        <v>395</v>
      </c>
      <c r="E32" s="433"/>
      <c r="F32" s="1780"/>
      <c r="G32" s="1780"/>
      <c r="H32" s="1793"/>
      <c r="I32" s="927"/>
      <c r="J32" s="922"/>
      <c r="K32" s="922"/>
      <c r="L32" s="928"/>
      <c r="M32" s="927"/>
      <c r="N32" s="922"/>
      <c r="O32" s="922"/>
      <c r="P32" s="922"/>
      <c r="Q32" s="922"/>
      <c r="R32" s="928"/>
      <c r="S32" s="927"/>
      <c r="T32" s="922"/>
      <c r="U32" s="922"/>
      <c r="V32" s="922"/>
      <c r="W32" s="928"/>
    </row>
    <row r="33" spans="1:23" ht="16.5" thickBot="1">
      <c r="A33" s="1797" t="s">
        <v>482</v>
      </c>
      <c r="B33" s="1766"/>
      <c r="C33" s="367" t="s">
        <v>365</v>
      </c>
      <c r="D33" s="364" t="s">
        <v>252</v>
      </c>
      <c r="E33" s="433"/>
      <c r="F33" s="1791" t="s">
        <v>483</v>
      </c>
      <c r="G33" s="1771"/>
      <c r="H33" s="1792"/>
      <c r="I33" s="927"/>
      <c r="J33" s="922"/>
      <c r="K33" s="922"/>
      <c r="L33" s="928"/>
      <c r="M33" s="927"/>
      <c r="N33" s="922"/>
      <c r="O33" s="922"/>
      <c r="P33" s="922"/>
      <c r="Q33" s="922"/>
      <c r="R33" s="928"/>
      <c r="S33" s="927"/>
      <c r="T33" s="922"/>
      <c r="U33" s="922"/>
      <c r="V33" s="922"/>
      <c r="W33" s="928"/>
    </row>
    <row r="34" spans="1:23" ht="16.5" thickBot="1">
      <c r="A34" s="1797" t="s">
        <v>484</v>
      </c>
      <c r="B34" s="1766"/>
      <c r="C34" s="367" t="s">
        <v>485</v>
      </c>
      <c r="D34" s="364" t="s">
        <v>264</v>
      </c>
      <c r="E34" s="399"/>
      <c r="F34" s="1800"/>
      <c r="G34" s="1771"/>
      <c r="H34" s="1792"/>
      <c r="I34" s="931"/>
      <c r="J34" s="922"/>
      <c r="K34" s="923"/>
      <c r="L34" s="928"/>
      <c r="M34" s="927"/>
      <c r="N34" s="922"/>
      <c r="O34" s="922"/>
      <c r="P34" s="922"/>
      <c r="Q34" s="922"/>
      <c r="R34" s="928"/>
      <c r="S34" s="927"/>
      <c r="T34" s="922"/>
      <c r="U34" s="922"/>
      <c r="V34" s="922"/>
      <c r="W34" s="928"/>
    </row>
    <row r="35" spans="1:23" ht="15.75">
      <c r="A35" s="1795" t="s">
        <v>486</v>
      </c>
      <c r="B35" s="1766"/>
      <c r="C35" s="368" t="s">
        <v>43</v>
      </c>
      <c r="D35" s="369" t="s">
        <v>256</v>
      </c>
      <c r="E35" s="433"/>
      <c r="F35" s="1791" t="s">
        <v>487</v>
      </c>
      <c r="G35" s="1771"/>
      <c r="H35" s="1792"/>
      <c r="I35" s="927"/>
      <c r="J35" s="922"/>
      <c r="K35" s="922"/>
      <c r="L35" s="928"/>
      <c r="M35" s="927"/>
      <c r="N35" s="922"/>
      <c r="O35" s="922"/>
      <c r="P35" s="922"/>
      <c r="Q35" s="922"/>
      <c r="R35" s="928"/>
      <c r="S35" s="927"/>
      <c r="T35" s="922"/>
      <c r="U35" s="922"/>
      <c r="V35" s="922"/>
      <c r="W35" s="928"/>
    </row>
    <row r="36" spans="1:23" ht="16.5" thickBot="1">
      <c r="A36" s="1767"/>
      <c r="B36" s="1768"/>
      <c r="C36" s="370" t="s">
        <v>60</v>
      </c>
      <c r="D36" s="369" t="s">
        <v>257</v>
      </c>
      <c r="E36" s="433"/>
      <c r="F36" s="1780"/>
      <c r="G36" s="1780"/>
      <c r="H36" s="1793"/>
      <c r="I36" s="927"/>
      <c r="J36" s="922"/>
      <c r="K36" s="922"/>
      <c r="L36" s="928"/>
      <c r="M36" s="927"/>
      <c r="N36" s="922"/>
      <c r="O36" s="922"/>
      <c r="P36" s="922"/>
      <c r="Q36" s="922"/>
      <c r="R36" s="928"/>
      <c r="S36" s="927"/>
      <c r="T36" s="922"/>
      <c r="U36" s="922"/>
      <c r="V36" s="922"/>
      <c r="W36" s="928"/>
    </row>
    <row r="37" spans="1:23" ht="30">
      <c r="A37" s="1796" t="s">
        <v>33</v>
      </c>
      <c r="B37" s="1771"/>
      <c r="C37" s="371" t="s">
        <v>30</v>
      </c>
      <c r="D37" s="372" t="s">
        <v>170</v>
      </c>
      <c r="E37" s="433"/>
      <c r="F37" s="1819" t="s">
        <v>510</v>
      </c>
      <c r="G37" s="1771"/>
      <c r="H37" s="1792"/>
      <c r="I37" s="927"/>
      <c r="J37" s="922"/>
      <c r="K37" s="922"/>
      <c r="L37" s="928"/>
      <c r="M37" s="927"/>
      <c r="N37" s="922"/>
      <c r="O37" s="922"/>
      <c r="P37" s="922"/>
      <c r="Q37" s="922"/>
      <c r="R37" s="928"/>
      <c r="S37" s="927"/>
      <c r="T37" s="922"/>
      <c r="U37" s="922"/>
      <c r="V37" s="922"/>
      <c r="W37" s="928"/>
    </row>
    <row r="38" spans="1:23" ht="30">
      <c r="A38" s="1779"/>
      <c r="B38" s="1772"/>
      <c r="C38" s="373" t="s">
        <v>31</v>
      </c>
      <c r="D38" s="372" t="s">
        <v>169</v>
      </c>
      <c r="E38" s="433" t="s">
        <v>554</v>
      </c>
      <c r="F38" s="2540" t="s">
        <v>824</v>
      </c>
      <c r="G38" s="1819"/>
      <c r="H38" s="2541"/>
      <c r="I38" s="931" t="s">
        <v>554</v>
      </c>
      <c r="J38" s="922">
        <v>1</v>
      </c>
      <c r="K38" s="923" t="s">
        <v>991</v>
      </c>
      <c r="L38" s="928">
        <v>100</v>
      </c>
      <c r="M38" s="927">
        <v>88500</v>
      </c>
      <c r="N38" s="922"/>
      <c r="O38" s="922">
        <v>0</v>
      </c>
      <c r="P38" s="923"/>
      <c r="Q38" s="922"/>
      <c r="R38" s="928"/>
      <c r="S38" s="927"/>
      <c r="T38" s="922">
        <v>0</v>
      </c>
      <c r="U38" s="922"/>
      <c r="V38" s="922"/>
      <c r="W38" s="928"/>
    </row>
    <row r="39" spans="1:23" ht="30.75" thickBot="1">
      <c r="A39" s="1779"/>
      <c r="B39" s="1772"/>
      <c r="C39" s="374" t="s">
        <v>32</v>
      </c>
      <c r="D39" s="372" t="s">
        <v>250</v>
      </c>
      <c r="E39" s="433" t="s">
        <v>554</v>
      </c>
      <c r="F39" s="2542" t="s">
        <v>825</v>
      </c>
      <c r="G39" s="2406"/>
      <c r="H39" s="2407"/>
      <c r="I39" s="931" t="s">
        <v>554</v>
      </c>
      <c r="J39" s="922">
        <v>0</v>
      </c>
      <c r="K39" s="923"/>
      <c r="L39" s="928"/>
      <c r="M39" s="927"/>
      <c r="N39" s="922"/>
      <c r="O39" s="922">
        <v>1</v>
      </c>
      <c r="P39" s="923" t="s">
        <v>991</v>
      </c>
      <c r="Q39" s="922">
        <v>100</v>
      </c>
      <c r="R39" s="928">
        <v>116500</v>
      </c>
      <c r="S39" s="927"/>
      <c r="T39" s="922">
        <v>0</v>
      </c>
      <c r="U39" s="922"/>
      <c r="V39" s="922"/>
      <c r="W39" s="928"/>
    </row>
    <row r="40" spans="1:23" ht="15.75">
      <c r="A40" s="1786" t="s">
        <v>491</v>
      </c>
      <c r="B40" s="1787"/>
      <c r="C40" s="375" t="s">
        <v>144</v>
      </c>
      <c r="D40" s="376" t="s">
        <v>253</v>
      </c>
      <c r="E40" s="433" t="s">
        <v>554</v>
      </c>
      <c r="F40" s="2543" t="s">
        <v>826</v>
      </c>
      <c r="G40" s="2544"/>
      <c r="H40" s="2545"/>
      <c r="I40" s="931" t="s">
        <v>554</v>
      </c>
      <c r="J40" s="922">
        <v>2</v>
      </c>
      <c r="K40" s="922" t="s">
        <v>991</v>
      </c>
      <c r="L40" s="928">
        <v>20</v>
      </c>
      <c r="M40" s="927">
        <v>15000</v>
      </c>
      <c r="N40" s="922"/>
      <c r="O40" s="922">
        <v>1</v>
      </c>
      <c r="P40" s="922" t="s">
        <v>991</v>
      </c>
      <c r="Q40" s="922">
        <v>10</v>
      </c>
      <c r="R40" s="928">
        <v>7500</v>
      </c>
      <c r="S40" s="929"/>
      <c r="T40" s="922">
        <v>1</v>
      </c>
      <c r="U40" s="922" t="s">
        <v>991</v>
      </c>
      <c r="V40" s="922">
        <v>10</v>
      </c>
      <c r="W40" s="928">
        <v>7500</v>
      </c>
    </row>
    <row r="41" spans="1:23" ht="16.5" thickBot="1">
      <c r="A41" s="1772"/>
      <c r="B41" s="1788"/>
      <c r="C41" s="377" t="s">
        <v>145</v>
      </c>
      <c r="D41" s="376" t="s">
        <v>254</v>
      </c>
      <c r="E41" s="433" t="s">
        <v>554</v>
      </c>
      <c r="F41" s="2546"/>
      <c r="G41" s="2546"/>
      <c r="H41" s="2547"/>
      <c r="I41" s="931" t="s">
        <v>554</v>
      </c>
      <c r="J41" s="922">
        <v>1</v>
      </c>
      <c r="K41" s="922" t="s">
        <v>991</v>
      </c>
      <c r="L41" s="928">
        <v>10</v>
      </c>
      <c r="M41" s="927">
        <v>10050</v>
      </c>
      <c r="N41" s="922"/>
      <c r="O41" s="922">
        <v>1</v>
      </c>
      <c r="P41" s="922" t="s">
        <v>991</v>
      </c>
      <c r="Q41" s="922">
        <v>10</v>
      </c>
      <c r="R41" s="928">
        <v>10050</v>
      </c>
      <c r="S41" s="929"/>
      <c r="T41" s="922">
        <v>1</v>
      </c>
      <c r="U41" s="922" t="s">
        <v>991</v>
      </c>
      <c r="V41" s="922">
        <v>10</v>
      </c>
      <c r="W41" s="928">
        <v>10050</v>
      </c>
    </row>
    <row r="42" spans="1:23" ht="48" thickBot="1">
      <c r="A42" s="1789"/>
      <c r="B42" s="1790"/>
      <c r="C42" s="378" t="s">
        <v>128</v>
      </c>
      <c r="D42" s="376" t="s">
        <v>262</v>
      </c>
      <c r="E42" s="433"/>
      <c r="F42" s="1794"/>
      <c r="G42" s="1762"/>
      <c r="H42" s="1764"/>
      <c r="I42" s="927"/>
      <c r="J42" s="922"/>
      <c r="K42" s="922"/>
      <c r="L42" s="928"/>
      <c r="M42" s="927"/>
      <c r="N42" s="922"/>
      <c r="O42" s="922"/>
      <c r="P42" s="922"/>
      <c r="Q42" s="922"/>
      <c r="R42" s="928"/>
      <c r="S42" s="929"/>
      <c r="T42" s="922"/>
      <c r="U42" s="922"/>
      <c r="V42" s="922"/>
      <c r="W42" s="928"/>
    </row>
    <row r="43" spans="1:23" ht="15.75" thickBot="1">
      <c r="A43" s="1775" t="s">
        <v>493</v>
      </c>
      <c r="B43" s="1776"/>
      <c r="C43" s="1777"/>
      <c r="D43" s="379" t="s">
        <v>237</v>
      </c>
      <c r="E43" s="399"/>
      <c r="F43" s="1818" t="s">
        <v>827</v>
      </c>
      <c r="G43" s="1762"/>
      <c r="H43" s="1764"/>
      <c r="I43" s="931" t="s">
        <v>554</v>
      </c>
      <c r="J43" s="922">
        <v>1</v>
      </c>
      <c r="K43" s="922" t="s">
        <v>991</v>
      </c>
      <c r="L43" s="928">
        <v>10</v>
      </c>
      <c r="M43" s="927">
        <v>32600</v>
      </c>
      <c r="N43" s="922"/>
      <c r="O43" s="922">
        <v>2</v>
      </c>
      <c r="P43" s="922" t="s">
        <v>991</v>
      </c>
      <c r="Q43" s="922">
        <v>20</v>
      </c>
      <c r="R43" s="928">
        <v>65200</v>
      </c>
      <c r="S43" s="929"/>
      <c r="T43" s="922">
        <v>1</v>
      </c>
      <c r="U43" s="922" t="s">
        <v>991</v>
      </c>
      <c r="V43" s="922">
        <v>10</v>
      </c>
      <c r="W43" s="928">
        <v>32600</v>
      </c>
    </row>
    <row r="44" spans="1:23" ht="15.75" thickBot="1">
      <c r="A44" s="1775" t="s">
        <v>133</v>
      </c>
      <c r="B44" s="1776"/>
      <c r="C44" s="1777"/>
      <c r="D44" s="379" t="s">
        <v>238</v>
      </c>
      <c r="E44" s="399"/>
      <c r="F44" s="1763" t="s">
        <v>495</v>
      </c>
      <c r="G44" s="1762"/>
      <c r="H44" s="1764"/>
      <c r="I44" s="927"/>
      <c r="J44" s="922"/>
      <c r="K44" s="922"/>
      <c r="L44" s="928"/>
      <c r="M44" s="927"/>
      <c r="N44" s="922"/>
      <c r="O44" s="922"/>
      <c r="P44" s="922"/>
      <c r="Q44" s="922"/>
      <c r="R44" s="928"/>
      <c r="S44" s="927"/>
      <c r="T44" s="922"/>
      <c r="U44" s="922"/>
      <c r="V44" s="922"/>
      <c r="W44" s="928"/>
    </row>
    <row r="45" spans="1:23">
      <c r="A45" s="1778" t="s">
        <v>41</v>
      </c>
      <c r="B45" s="1772"/>
      <c r="C45" s="380" t="s">
        <v>50</v>
      </c>
      <c r="D45" s="381" t="s">
        <v>246</v>
      </c>
      <c r="E45" s="433"/>
      <c r="F45" s="1785" t="s">
        <v>828</v>
      </c>
      <c r="G45" s="1762"/>
      <c r="H45" s="1764"/>
      <c r="I45" s="931"/>
      <c r="J45" s="922"/>
      <c r="K45" s="922"/>
      <c r="L45" s="928"/>
      <c r="M45" s="927"/>
      <c r="N45" s="922"/>
      <c r="O45" s="922"/>
      <c r="P45" s="922"/>
      <c r="Q45" s="922"/>
      <c r="R45" s="928"/>
      <c r="S45" s="927"/>
      <c r="T45" s="922"/>
      <c r="U45" s="922"/>
      <c r="V45" s="922"/>
      <c r="W45" s="928"/>
    </row>
    <row r="46" spans="1:23" ht="46.5" customHeight="1">
      <c r="A46" s="1779"/>
      <c r="B46" s="1772"/>
      <c r="C46" s="382" t="s">
        <v>51</v>
      </c>
      <c r="D46" s="381" t="s">
        <v>247</v>
      </c>
      <c r="E46" s="433" t="s">
        <v>554</v>
      </c>
      <c r="F46" s="1785" t="s">
        <v>829</v>
      </c>
      <c r="G46" s="1762"/>
      <c r="H46" s="1764"/>
      <c r="I46" s="931" t="s">
        <v>554</v>
      </c>
      <c r="J46" s="922">
        <v>0</v>
      </c>
      <c r="K46" s="922"/>
      <c r="L46" s="928"/>
      <c r="M46" s="927"/>
      <c r="N46" s="922"/>
      <c r="O46" s="922">
        <v>0</v>
      </c>
      <c r="P46" s="922"/>
      <c r="Q46" s="922"/>
      <c r="R46" s="928"/>
      <c r="S46" s="927"/>
      <c r="T46" s="922">
        <v>0</v>
      </c>
      <c r="U46" s="922"/>
      <c r="V46" s="922"/>
      <c r="W46" s="928"/>
    </row>
    <row r="47" spans="1:23">
      <c r="A47" s="1779"/>
      <c r="B47" s="1772"/>
      <c r="C47" s="382" t="s">
        <v>39</v>
      </c>
      <c r="D47" s="381" t="s">
        <v>248</v>
      </c>
      <c r="E47" s="433" t="s">
        <v>554</v>
      </c>
      <c r="F47" s="1785" t="s">
        <v>830</v>
      </c>
      <c r="G47" s="1762"/>
      <c r="H47" s="1764"/>
      <c r="I47" s="931" t="s">
        <v>554</v>
      </c>
      <c r="J47" s="922">
        <v>0</v>
      </c>
      <c r="K47" s="922"/>
      <c r="L47" s="928"/>
      <c r="M47" s="927"/>
      <c r="N47" s="922"/>
      <c r="O47" s="922">
        <v>0</v>
      </c>
      <c r="P47" s="922"/>
      <c r="Q47" s="922"/>
      <c r="R47" s="928"/>
      <c r="S47" s="927"/>
      <c r="T47" s="922">
        <v>0</v>
      </c>
      <c r="U47" s="922"/>
      <c r="V47" s="922"/>
      <c r="W47" s="928"/>
    </row>
    <row r="48" spans="1:23" ht="15.75" thickBot="1">
      <c r="A48" s="1767"/>
      <c r="B48" s="1780"/>
      <c r="C48" s="383" t="s">
        <v>40</v>
      </c>
      <c r="D48" s="381" t="s">
        <v>249</v>
      </c>
      <c r="E48" s="433" t="s">
        <v>554</v>
      </c>
      <c r="F48" s="1785" t="s">
        <v>831</v>
      </c>
      <c r="G48" s="1762"/>
      <c r="H48" s="1764"/>
      <c r="I48" s="931" t="s">
        <v>554</v>
      </c>
      <c r="J48" s="922">
        <v>1</v>
      </c>
      <c r="K48" s="922" t="s">
        <v>991</v>
      </c>
      <c r="L48" s="928">
        <v>10</v>
      </c>
      <c r="M48" s="927">
        <v>12700</v>
      </c>
      <c r="N48" s="922"/>
      <c r="O48" s="922">
        <v>0</v>
      </c>
      <c r="P48" s="922"/>
      <c r="Q48" s="922"/>
      <c r="R48" s="928"/>
      <c r="S48" s="927"/>
      <c r="T48" s="922">
        <v>1</v>
      </c>
      <c r="U48" s="922" t="s">
        <v>991</v>
      </c>
      <c r="V48" s="922">
        <v>10</v>
      </c>
      <c r="W48" s="928">
        <v>12700</v>
      </c>
    </row>
    <row r="49" spans="1:23" ht="15.75">
      <c r="A49" s="1765" t="s">
        <v>130</v>
      </c>
      <c r="B49" s="1766"/>
      <c r="C49" s="375" t="s">
        <v>131</v>
      </c>
      <c r="D49" s="376" t="s">
        <v>255</v>
      </c>
      <c r="E49" s="433"/>
      <c r="F49" s="1769"/>
      <c r="G49" s="1762"/>
      <c r="H49" s="1764"/>
      <c r="I49" s="927"/>
      <c r="J49" s="922"/>
      <c r="K49" s="922"/>
      <c r="L49" s="928"/>
      <c r="M49" s="927"/>
      <c r="N49" s="922"/>
      <c r="O49" s="922"/>
      <c r="P49" s="922"/>
      <c r="Q49" s="922"/>
      <c r="R49" s="928"/>
      <c r="S49" s="927"/>
      <c r="T49" s="922"/>
      <c r="U49" s="922"/>
      <c r="V49" s="922"/>
      <c r="W49" s="928"/>
    </row>
    <row r="50" spans="1:23" ht="48" thickBot="1">
      <c r="A50" s="1767"/>
      <c r="B50" s="1768"/>
      <c r="C50" s="384" t="s">
        <v>132</v>
      </c>
      <c r="D50" s="376" t="s">
        <v>263</v>
      </c>
      <c r="E50" s="433"/>
      <c r="F50" s="1769"/>
      <c r="G50" s="1762"/>
      <c r="H50" s="1764"/>
      <c r="I50" s="927"/>
      <c r="J50" s="922"/>
      <c r="K50" s="922"/>
      <c r="L50" s="928"/>
      <c r="M50" s="927"/>
      <c r="N50" s="922"/>
      <c r="O50" s="922"/>
      <c r="P50" s="922"/>
      <c r="Q50" s="922"/>
      <c r="R50" s="928"/>
      <c r="S50" s="927"/>
      <c r="T50" s="922"/>
      <c r="U50" s="922"/>
      <c r="V50" s="922"/>
      <c r="W50" s="928"/>
    </row>
    <row r="51" spans="1:23">
      <c r="A51" s="1770" t="s">
        <v>42</v>
      </c>
      <c r="B51" s="1771"/>
      <c r="C51" s="385" t="s">
        <v>38</v>
      </c>
      <c r="D51" s="386" t="s">
        <v>239</v>
      </c>
      <c r="E51" s="433"/>
      <c r="F51" s="1763" t="s">
        <v>499</v>
      </c>
      <c r="G51" s="1762"/>
      <c r="H51" s="1764"/>
      <c r="I51" s="927"/>
      <c r="J51" s="922"/>
      <c r="K51" s="922"/>
      <c r="L51" s="928"/>
      <c r="M51" s="927"/>
      <c r="N51" s="922"/>
      <c r="O51" s="922"/>
      <c r="P51" s="922"/>
      <c r="Q51" s="922"/>
      <c r="R51" s="928"/>
      <c r="S51" s="927"/>
      <c r="T51" s="922"/>
      <c r="U51" s="922"/>
      <c r="V51" s="922"/>
      <c r="W51" s="928"/>
    </row>
    <row r="52" spans="1:23">
      <c r="A52" s="1772"/>
      <c r="B52" s="1772"/>
      <c r="C52" s="387" t="s">
        <v>55</v>
      </c>
      <c r="D52" s="386" t="s">
        <v>240</v>
      </c>
      <c r="E52" s="433"/>
      <c r="F52" s="1773"/>
      <c r="G52" s="1762"/>
      <c r="H52" s="1764"/>
      <c r="I52" s="927"/>
      <c r="J52" s="922"/>
      <c r="K52" s="922"/>
      <c r="L52" s="928"/>
      <c r="M52" s="927"/>
      <c r="N52" s="922"/>
      <c r="O52" s="922"/>
      <c r="P52" s="922"/>
      <c r="Q52" s="922"/>
      <c r="R52" s="928"/>
      <c r="S52" s="927"/>
      <c r="T52" s="922"/>
      <c r="U52" s="922"/>
      <c r="V52" s="922"/>
      <c r="W52" s="928"/>
    </row>
    <row r="53" spans="1:23" ht="16.5" thickBot="1">
      <c r="A53" s="1772"/>
      <c r="B53" s="1772"/>
      <c r="C53" s="377" t="s">
        <v>48</v>
      </c>
      <c r="D53" s="388" t="s">
        <v>241</v>
      </c>
      <c r="E53" s="433"/>
      <c r="F53" s="1774"/>
      <c r="G53" s="1762"/>
      <c r="H53" s="1764"/>
      <c r="I53" s="927"/>
      <c r="J53" s="922"/>
      <c r="K53" s="922"/>
      <c r="L53" s="928"/>
      <c r="M53" s="927"/>
      <c r="N53" s="922"/>
      <c r="O53" s="922"/>
      <c r="P53" s="922"/>
      <c r="Q53" s="922"/>
      <c r="R53" s="928"/>
      <c r="S53" s="927"/>
      <c r="T53" s="922"/>
      <c r="U53" s="922"/>
      <c r="V53" s="922"/>
      <c r="W53" s="928"/>
    </row>
    <row r="54" spans="1:23" ht="16.5" thickBot="1">
      <c r="A54" s="1761" t="s">
        <v>500</v>
      </c>
      <c r="B54" s="1762"/>
      <c r="C54" s="389" t="s">
        <v>134</v>
      </c>
      <c r="D54" s="390" t="s">
        <v>269</v>
      </c>
      <c r="E54" s="545"/>
      <c r="F54" s="1763" t="s">
        <v>501</v>
      </c>
      <c r="G54" s="1762"/>
      <c r="H54" s="1764"/>
      <c r="I54" s="932"/>
      <c r="J54" s="933"/>
      <c r="K54" s="933"/>
      <c r="L54" s="934"/>
      <c r="M54" s="932"/>
      <c r="N54" s="933"/>
      <c r="O54" s="933"/>
      <c r="P54" s="933"/>
      <c r="Q54" s="933"/>
      <c r="R54" s="934"/>
      <c r="S54" s="932"/>
      <c r="T54" s="933"/>
      <c r="U54" s="933"/>
      <c r="V54" s="933"/>
      <c r="W54" s="934"/>
    </row>
    <row r="56" spans="1:23">
      <c r="M56">
        <f>SUM(M17:M52)</f>
        <v>414100</v>
      </c>
    </row>
    <row r="58" spans="1:23">
      <c r="A58" s="1829" t="s">
        <v>1270</v>
      </c>
      <c r="B58" s="1830"/>
      <c r="C58" s="1830"/>
      <c r="D58" s="1830"/>
      <c r="E58" s="1830"/>
      <c r="F58" s="1830"/>
    </row>
    <row r="59" spans="1:23" ht="90">
      <c r="A59" s="1491" t="s">
        <v>1271</v>
      </c>
      <c r="B59" s="1491" t="s">
        <v>1272</v>
      </c>
      <c r="C59" s="1491" t="s">
        <v>1273</v>
      </c>
      <c r="D59" s="1491" t="s">
        <v>1274</v>
      </c>
      <c r="E59" s="1491" t="s">
        <v>1275</v>
      </c>
      <c r="F59" s="1491" t="s">
        <v>1276</v>
      </c>
    </row>
    <row r="60" spans="1:23">
      <c r="A60" s="2555" t="s">
        <v>1381</v>
      </c>
      <c r="B60" s="2555" t="s">
        <v>1278</v>
      </c>
      <c r="C60" s="2556" t="s">
        <v>1307</v>
      </c>
      <c r="D60" s="2556" t="s">
        <v>954</v>
      </c>
      <c r="E60" s="1492" t="s">
        <v>1382</v>
      </c>
      <c r="F60" s="1493">
        <v>3</v>
      </c>
    </row>
    <row r="61" spans="1:23">
      <c r="A61" s="2555"/>
      <c r="B61" s="2555"/>
      <c r="C61" s="2556"/>
      <c r="D61" s="2556"/>
      <c r="E61" s="1492" t="s">
        <v>1285</v>
      </c>
      <c r="F61" s="1493">
        <v>0</v>
      </c>
    </row>
    <row r="62" spans="1:23">
      <c r="A62" s="2555" t="s">
        <v>1277</v>
      </c>
      <c r="B62" s="2555" t="s">
        <v>1278</v>
      </c>
      <c r="C62" s="2556" t="s">
        <v>1279</v>
      </c>
      <c r="D62" s="2556" t="s">
        <v>954</v>
      </c>
      <c r="E62" s="1492" t="s">
        <v>237</v>
      </c>
      <c r="F62" s="1493">
        <v>0</v>
      </c>
    </row>
    <row r="63" spans="1:23">
      <c r="A63" s="2555"/>
      <c r="B63" s="2555"/>
      <c r="C63" s="2556"/>
      <c r="D63" s="2556"/>
      <c r="E63" s="1492" t="s">
        <v>1280</v>
      </c>
      <c r="F63" s="1493">
        <v>2</v>
      </c>
    </row>
    <row r="64" spans="1:23">
      <c r="A64" s="2555"/>
      <c r="B64" s="2555"/>
      <c r="C64" s="2556"/>
      <c r="D64" s="2556"/>
      <c r="E64" s="1492" t="s">
        <v>1284</v>
      </c>
      <c r="F64" s="1493">
        <v>0</v>
      </c>
    </row>
    <row r="65" spans="1:6">
      <c r="A65" s="2555" t="s">
        <v>1383</v>
      </c>
      <c r="B65" s="2555" t="s">
        <v>1278</v>
      </c>
      <c r="C65" s="2556" t="s">
        <v>1384</v>
      </c>
      <c r="D65" s="2556" t="s">
        <v>954</v>
      </c>
      <c r="E65" s="1492" t="s">
        <v>1285</v>
      </c>
      <c r="F65" s="1493">
        <v>1</v>
      </c>
    </row>
    <row r="66" spans="1:6">
      <c r="A66" s="2555"/>
      <c r="B66" s="2555"/>
      <c r="C66" s="2556"/>
      <c r="D66" s="2556"/>
      <c r="E66" s="1494" t="s">
        <v>1284</v>
      </c>
      <c r="F66" s="1493">
        <v>1</v>
      </c>
    </row>
    <row r="67" spans="1:6">
      <c r="A67" s="2555"/>
      <c r="B67" s="2555"/>
      <c r="C67" s="2556"/>
      <c r="D67" s="2556"/>
      <c r="E67" s="1492" t="s">
        <v>1382</v>
      </c>
      <c r="F67" s="1493">
        <v>0</v>
      </c>
    </row>
    <row r="68" spans="1:6">
      <c r="A68" s="2558" t="s">
        <v>1386</v>
      </c>
      <c r="B68" s="2555" t="s">
        <v>1282</v>
      </c>
      <c r="C68" s="2556" t="s">
        <v>1283</v>
      </c>
      <c r="D68" s="2556" t="s">
        <v>954</v>
      </c>
      <c r="E68" s="1492" t="s">
        <v>237</v>
      </c>
      <c r="F68" s="1493">
        <v>0</v>
      </c>
    </row>
    <row r="69" spans="1:6">
      <c r="A69" s="2564"/>
      <c r="B69" s="2555"/>
      <c r="C69" s="2556"/>
      <c r="D69" s="2556"/>
      <c r="E69" s="1492" t="s">
        <v>1284</v>
      </c>
      <c r="F69" s="1493">
        <v>0</v>
      </c>
    </row>
    <row r="70" spans="1:6">
      <c r="A70" s="2559"/>
      <c r="B70" s="2555"/>
      <c r="C70" s="2556"/>
      <c r="D70" s="2556"/>
      <c r="E70" s="1492" t="s">
        <v>1388</v>
      </c>
      <c r="F70" s="1493">
        <v>0</v>
      </c>
    </row>
    <row r="71" spans="1:6">
      <c r="A71" s="2557" t="s">
        <v>1389</v>
      </c>
      <c r="B71" s="2555" t="s">
        <v>1287</v>
      </c>
      <c r="C71" s="2556" t="s">
        <v>1307</v>
      </c>
      <c r="D71" s="2556" t="s">
        <v>954</v>
      </c>
      <c r="E71" s="1492" t="s">
        <v>237</v>
      </c>
      <c r="F71" s="1493">
        <v>0</v>
      </c>
    </row>
    <row r="72" spans="1:6">
      <c r="A72" s="2557"/>
      <c r="B72" s="2555"/>
      <c r="C72" s="2556"/>
      <c r="D72" s="2556"/>
      <c r="E72" s="1492" t="s">
        <v>1284</v>
      </c>
      <c r="F72" s="1493">
        <v>0</v>
      </c>
    </row>
    <row r="73" spans="1:6">
      <c r="A73" s="2557"/>
      <c r="B73" s="2555"/>
      <c r="C73" s="2556"/>
      <c r="D73" s="2556"/>
      <c r="E73" s="1492" t="s">
        <v>1280</v>
      </c>
      <c r="F73" s="1493">
        <v>0</v>
      </c>
    </row>
    <row r="74" spans="1:6">
      <c r="A74" s="2557" t="s">
        <v>1391</v>
      </c>
      <c r="B74" s="2555" t="s">
        <v>1282</v>
      </c>
      <c r="C74" s="2556" t="s">
        <v>1283</v>
      </c>
      <c r="D74" s="2556" t="s">
        <v>954</v>
      </c>
      <c r="E74" s="1492" t="s">
        <v>1284</v>
      </c>
      <c r="F74" s="1493">
        <v>0</v>
      </c>
    </row>
    <row r="75" spans="1:6">
      <c r="A75" s="2557"/>
      <c r="B75" s="2555"/>
      <c r="C75" s="2556"/>
      <c r="D75" s="2556"/>
      <c r="E75" s="1492" t="s">
        <v>1285</v>
      </c>
      <c r="F75" s="1493">
        <v>1</v>
      </c>
    </row>
    <row r="76" spans="1:6">
      <c r="A76" s="2557"/>
      <c r="B76" s="2555"/>
      <c r="C76" s="2556"/>
      <c r="D76" s="2556"/>
      <c r="E76" s="1492" t="s">
        <v>1280</v>
      </c>
      <c r="F76" s="1493">
        <v>0</v>
      </c>
    </row>
    <row r="77" spans="1:6">
      <c r="A77" s="2558" t="s">
        <v>1392</v>
      </c>
      <c r="B77" s="2560" t="s">
        <v>1287</v>
      </c>
      <c r="C77" s="2562" t="s">
        <v>1283</v>
      </c>
      <c r="D77" s="2562" t="s">
        <v>954</v>
      </c>
      <c r="E77" s="1492" t="s">
        <v>1285</v>
      </c>
      <c r="F77" s="1493">
        <v>0</v>
      </c>
    </row>
    <row r="78" spans="1:6">
      <c r="A78" s="2559"/>
      <c r="B78" s="2561"/>
      <c r="C78" s="2563"/>
      <c r="D78" s="2563"/>
      <c r="E78" s="1492" t="s">
        <v>1284</v>
      </c>
      <c r="F78" s="1493">
        <v>1</v>
      </c>
    </row>
    <row r="79" spans="1:6">
      <c r="A79" s="2558" t="s">
        <v>1286</v>
      </c>
      <c r="B79" s="2560" t="s">
        <v>1287</v>
      </c>
      <c r="C79" s="2562" t="s">
        <v>1283</v>
      </c>
      <c r="D79" s="2562" t="s">
        <v>954</v>
      </c>
      <c r="E79" s="1492" t="s">
        <v>237</v>
      </c>
      <c r="F79" s="1493">
        <v>0</v>
      </c>
    </row>
    <row r="80" spans="1:6">
      <c r="A80" s="2564"/>
      <c r="B80" s="2566"/>
      <c r="C80" s="2567"/>
      <c r="D80" s="2567"/>
      <c r="E80" s="1492" t="s">
        <v>1285</v>
      </c>
      <c r="F80" s="1493">
        <v>0</v>
      </c>
    </row>
    <row r="81" spans="1:6">
      <c r="A81" s="2564"/>
      <c r="B81" s="2566"/>
      <c r="C81" s="2567"/>
      <c r="D81" s="2567"/>
      <c r="E81" s="1492" t="s">
        <v>1280</v>
      </c>
      <c r="F81" s="1493">
        <v>0</v>
      </c>
    </row>
    <row r="82" spans="1:6">
      <c r="A82" s="2559"/>
      <c r="B82" s="2561"/>
      <c r="C82" s="2563"/>
      <c r="D82" s="2563"/>
      <c r="E82" s="1495" t="s">
        <v>1514</v>
      </c>
      <c r="F82" s="1493">
        <v>1</v>
      </c>
    </row>
    <row r="83" spans="1:6">
      <c r="A83" s="2557" t="s">
        <v>1288</v>
      </c>
      <c r="B83" s="2555" t="s">
        <v>1287</v>
      </c>
      <c r="C83" s="2556" t="s">
        <v>1289</v>
      </c>
      <c r="D83" s="2556" t="s">
        <v>954</v>
      </c>
      <c r="E83" s="1492" t="s">
        <v>237</v>
      </c>
      <c r="F83" s="1493">
        <v>0</v>
      </c>
    </row>
    <row r="84" spans="1:6">
      <c r="A84" s="2557"/>
      <c r="B84" s="2555"/>
      <c r="C84" s="2556"/>
      <c r="D84" s="2556"/>
      <c r="E84" s="1492" t="s">
        <v>1284</v>
      </c>
      <c r="F84" s="1493">
        <v>0</v>
      </c>
    </row>
    <row r="85" spans="1:6">
      <c r="A85" s="2557"/>
      <c r="B85" s="2555"/>
      <c r="C85" s="2556"/>
      <c r="D85" s="2556"/>
      <c r="E85" s="1492" t="s">
        <v>1280</v>
      </c>
      <c r="F85" s="1493">
        <v>0</v>
      </c>
    </row>
    <row r="86" spans="1:6">
      <c r="A86" s="2565" t="s">
        <v>1393</v>
      </c>
      <c r="B86" s="2555" t="s">
        <v>1282</v>
      </c>
      <c r="C86" s="2556" t="s">
        <v>1283</v>
      </c>
      <c r="D86" s="2556" t="s">
        <v>954</v>
      </c>
      <c r="E86" s="1492" t="s">
        <v>237</v>
      </c>
      <c r="F86" s="1493">
        <v>0</v>
      </c>
    </row>
    <row r="87" spans="1:6">
      <c r="A87" s="2565"/>
      <c r="B87" s="2555"/>
      <c r="C87" s="2556"/>
      <c r="D87" s="2556"/>
      <c r="E87" s="1492" t="s">
        <v>1280</v>
      </c>
      <c r="F87" s="1493">
        <v>0</v>
      </c>
    </row>
    <row r="88" spans="1:6">
      <c r="A88" s="2565" t="s">
        <v>1290</v>
      </c>
      <c r="B88" s="2555" t="s">
        <v>1291</v>
      </c>
      <c r="C88" s="2556" t="s">
        <v>1292</v>
      </c>
      <c r="D88" s="2556" t="s">
        <v>954</v>
      </c>
      <c r="E88" s="1492" t="s">
        <v>1284</v>
      </c>
      <c r="F88" s="1493">
        <v>0</v>
      </c>
    </row>
    <row r="89" spans="1:6">
      <c r="A89" s="2565"/>
      <c r="B89" s="2555"/>
      <c r="C89" s="2556"/>
      <c r="D89" s="2556"/>
      <c r="E89" s="1492" t="s">
        <v>1285</v>
      </c>
      <c r="F89" s="1493">
        <v>0</v>
      </c>
    </row>
    <row r="90" spans="1:6">
      <c r="A90" s="2565"/>
      <c r="B90" s="2555"/>
      <c r="C90" s="2556"/>
      <c r="D90" s="2556"/>
      <c r="E90" s="1492" t="s">
        <v>1280</v>
      </c>
      <c r="F90" s="1493">
        <v>0</v>
      </c>
    </row>
    <row r="91" spans="1:6">
      <c r="A91" s="2568" t="s">
        <v>1394</v>
      </c>
      <c r="B91" s="2555" t="s">
        <v>1282</v>
      </c>
      <c r="C91" s="2556" t="s">
        <v>1395</v>
      </c>
      <c r="D91" s="2556" t="s">
        <v>954</v>
      </c>
      <c r="E91" s="1492" t="s">
        <v>1285</v>
      </c>
      <c r="F91" s="1493">
        <v>0</v>
      </c>
    </row>
    <row r="92" spans="1:6">
      <c r="A92" s="2568"/>
      <c r="B92" s="2555"/>
      <c r="C92" s="2556"/>
      <c r="D92" s="2556"/>
      <c r="E92" s="1492" t="s">
        <v>1284</v>
      </c>
      <c r="F92" s="1493">
        <v>0</v>
      </c>
    </row>
    <row r="93" spans="1:6">
      <c r="A93" s="2568"/>
      <c r="B93" s="2555"/>
      <c r="C93" s="2556"/>
      <c r="D93" s="2556"/>
      <c r="E93" s="1492" t="s">
        <v>1382</v>
      </c>
      <c r="F93" s="1493">
        <v>1</v>
      </c>
    </row>
    <row r="94" spans="1:6">
      <c r="A94" s="2568"/>
      <c r="B94" s="2555"/>
      <c r="C94" s="2556"/>
      <c r="D94" s="2556"/>
      <c r="E94" s="1492" t="s">
        <v>1280</v>
      </c>
      <c r="F94" s="1493">
        <v>1</v>
      </c>
    </row>
    <row r="95" spans="1:6">
      <c r="A95" s="2557" t="s">
        <v>1396</v>
      </c>
      <c r="B95" s="2555" t="s">
        <v>1282</v>
      </c>
      <c r="C95" s="2556" t="s">
        <v>1395</v>
      </c>
      <c r="D95" s="2556" t="s">
        <v>954</v>
      </c>
      <c r="E95" s="1492" t="s">
        <v>1285</v>
      </c>
      <c r="F95" s="1493">
        <v>0</v>
      </c>
    </row>
    <row r="96" spans="1:6">
      <c r="A96" s="2557"/>
      <c r="B96" s="2555"/>
      <c r="C96" s="2556"/>
      <c r="D96" s="2556"/>
      <c r="E96" s="1492" t="s">
        <v>1284</v>
      </c>
      <c r="F96" s="1493">
        <v>0</v>
      </c>
    </row>
    <row r="97" spans="1:6">
      <c r="A97" s="2557"/>
      <c r="B97" s="2555"/>
      <c r="C97" s="2556"/>
      <c r="D97" s="2556"/>
      <c r="E97" s="1492" t="s">
        <v>1382</v>
      </c>
      <c r="F97" s="1493">
        <v>1</v>
      </c>
    </row>
    <row r="98" spans="1:6">
      <c r="A98" s="2557"/>
      <c r="B98" s="2555"/>
      <c r="C98" s="2556"/>
      <c r="D98" s="2556"/>
      <c r="E98" s="1492" t="s">
        <v>1280</v>
      </c>
      <c r="F98" s="1493">
        <v>0</v>
      </c>
    </row>
    <row r="99" spans="1:6">
      <c r="A99" s="2557" t="s">
        <v>1397</v>
      </c>
      <c r="B99" s="2555" t="s">
        <v>1282</v>
      </c>
      <c r="C99" s="2556" t="s">
        <v>1307</v>
      </c>
      <c r="D99" s="2556" t="s">
        <v>954</v>
      </c>
      <c r="E99" s="1492" t="s">
        <v>1285</v>
      </c>
      <c r="F99" s="1493">
        <v>0</v>
      </c>
    </row>
    <row r="100" spans="1:6">
      <c r="A100" s="2557"/>
      <c r="B100" s="2555"/>
      <c r="C100" s="2556"/>
      <c r="D100" s="2556"/>
      <c r="E100" s="1492" t="s">
        <v>1284</v>
      </c>
      <c r="F100" s="1493">
        <v>0</v>
      </c>
    </row>
    <row r="101" spans="1:6">
      <c r="A101" s="2557"/>
      <c r="B101" s="2555"/>
      <c r="C101" s="2556"/>
      <c r="D101" s="2556"/>
      <c r="E101" s="1492" t="s">
        <v>1382</v>
      </c>
      <c r="F101" s="1493">
        <v>0</v>
      </c>
    </row>
    <row r="102" spans="1:6">
      <c r="A102" s="2557"/>
      <c r="B102" s="2555"/>
      <c r="C102" s="2556"/>
      <c r="D102" s="2556"/>
      <c r="E102" s="1492" t="s">
        <v>1280</v>
      </c>
      <c r="F102" s="1493">
        <v>0</v>
      </c>
    </row>
    <row r="103" spans="1:6">
      <c r="A103" s="2555" t="s">
        <v>1398</v>
      </c>
      <c r="B103" s="2555" t="s">
        <v>1287</v>
      </c>
      <c r="C103" s="2556" t="s">
        <v>1307</v>
      </c>
      <c r="D103" s="2556" t="s">
        <v>954</v>
      </c>
      <c r="E103" s="1492" t="s">
        <v>1285</v>
      </c>
      <c r="F103" s="1493">
        <v>0</v>
      </c>
    </row>
    <row r="104" spans="1:6">
      <c r="A104" s="2555"/>
      <c r="B104" s="2555"/>
      <c r="C104" s="2556"/>
      <c r="D104" s="2556"/>
      <c r="E104" s="1492" t="s">
        <v>1284</v>
      </c>
      <c r="F104" s="1493">
        <v>0</v>
      </c>
    </row>
    <row r="105" spans="1:6">
      <c r="A105" s="2555"/>
      <c r="B105" s="2555"/>
      <c r="C105" s="2556"/>
      <c r="D105" s="2556"/>
      <c r="E105" s="1492" t="s">
        <v>1382</v>
      </c>
      <c r="F105" s="1493">
        <v>2</v>
      </c>
    </row>
    <row r="106" spans="1:6">
      <c r="A106" s="2555"/>
      <c r="B106" s="2555"/>
      <c r="C106" s="2556"/>
      <c r="D106" s="2556"/>
      <c r="E106" s="1492" t="s">
        <v>1280</v>
      </c>
      <c r="F106" s="1493">
        <v>0</v>
      </c>
    </row>
    <row r="107" spans="1:6">
      <c r="A107" s="2555"/>
      <c r="B107" s="2555"/>
      <c r="C107" s="2556"/>
      <c r="D107" s="2556"/>
      <c r="E107" s="1492" t="s">
        <v>237</v>
      </c>
      <c r="F107" s="1493">
        <v>0</v>
      </c>
    </row>
  </sheetData>
  <mergeCells count="119">
    <mergeCell ref="A99:A102"/>
    <mergeCell ref="B99:B102"/>
    <mergeCell ref="C99:C102"/>
    <mergeCell ref="D99:D102"/>
    <mergeCell ref="A103:A107"/>
    <mergeCell ref="B103:B107"/>
    <mergeCell ref="C103:C107"/>
    <mergeCell ref="D103:D107"/>
    <mergeCell ref="A91:A94"/>
    <mergeCell ref="B91:B94"/>
    <mergeCell ref="C91:C94"/>
    <mergeCell ref="D91:D94"/>
    <mergeCell ref="A95:A98"/>
    <mergeCell ref="B95:B98"/>
    <mergeCell ref="C95:C98"/>
    <mergeCell ref="D95:D98"/>
    <mergeCell ref="A86:A87"/>
    <mergeCell ref="B86:B87"/>
    <mergeCell ref="C86:C87"/>
    <mergeCell ref="D86:D87"/>
    <mergeCell ref="A88:A90"/>
    <mergeCell ref="B88:B90"/>
    <mergeCell ref="C88:C90"/>
    <mergeCell ref="D88:D90"/>
    <mergeCell ref="A79:A82"/>
    <mergeCell ref="B79:B82"/>
    <mergeCell ref="C79:C82"/>
    <mergeCell ref="D79:D82"/>
    <mergeCell ref="A83:A85"/>
    <mergeCell ref="B83:B85"/>
    <mergeCell ref="C83:C85"/>
    <mergeCell ref="D83:D85"/>
    <mergeCell ref="A74:A76"/>
    <mergeCell ref="B74:B76"/>
    <mergeCell ref="C74:C76"/>
    <mergeCell ref="D74:D76"/>
    <mergeCell ref="A77:A78"/>
    <mergeCell ref="B77:B78"/>
    <mergeCell ref="C77:C78"/>
    <mergeCell ref="D77:D78"/>
    <mergeCell ref="A68:A70"/>
    <mergeCell ref="B68:B70"/>
    <mergeCell ref="C68:C70"/>
    <mergeCell ref="D68:D70"/>
    <mergeCell ref="A71:A73"/>
    <mergeCell ref="B71:B73"/>
    <mergeCell ref="C71:C73"/>
    <mergeCell ref="D71:D73"/>
    <mergeCell ref="A62:A64"/>
    <mergeCell ref="B62:B64"/>
    <mergeCell ref="C62:C64"/>
    <mergeCell ref="D62:D64"/>
    <mergeCell ref="A65:A67"/>
    <mergeCell ref="B65:B67"/>
    <mergeCell ref="C65:C67"/>
    <mergeCell ref="D65:D67"/>
    <mergeCell ref="A58:F58"/>
    <mergeCell ref="A60:A61"/>
    <mergeCell ref="B60:B61"/>
    <mergeCell ref="C60:C61"/>
    <mergeCell ref="D60:D61"/>
    <mergeCell ref="I13:M13"/>
    <mergeCell ref="N13:R13"/>
    <mergeCell ref="S13:W13"/>
    <mergeCell ref="B2:D2"/>
    <mergeCell ref="B3:D3"/>
    <mergeCell ref="B8:D8"/>
    <mergeCell ref="C10:H10"/>
    <mergeCell ref="A23:B25"/>
    <mergeCell ref="B4:D4"/>
    <mergeCell ref="B6:D6"/>
    <mergeCell ref="A10:B10"/>
    <mergeCell ref="E12:H13"/>
    <mergeCell ref="A14:B14"/>
    <mergeCell ref="F14:H14"/>
    <mergeCell ref="F23:H25"/>
    <mergeCell ref="A15:B17"/>
    <mergeCell ref="F15:H17"/>
    <mergeCell ref="A18:B20"/>
    <mergeCell ref="F18:H20"/>
    <mergeCell ref="A21:B22"/>
    <mergeCell ref="F21:H22"/>
    <mergeCell ref="A26:C26"/>
    <mergeCell ref="F26:H26"/>
    <mergeCell ref="A27:B29"/>
    <mergeCell ref="F27:H29"/>
    <mergeCell ref="A30:B32"/>
    <mergeCell ref="F30:H32"/>
    <mergeCell ref="A33:B33"/>
    <mergeCell ref="F33:H33"/>
    <mergeCell ref="A34:B34"/>
    <mergeCell ref="F34:H34"/>
    <mergeCell ref="A35:B36"/>
    <mergeCell ref="F35:H36"/>
    <mergeCell ref="A37:B39"/>
    <mergeCell ref="F37:H37"/>
    <mergeCell ref="F38:H38"/>
    <mergeCell ref="F39:H39"/>
    <mergeCell ref="A40:B42"/>
    <mergeCell ref="F40:H41"/>
    <mergeCell ref="F42:H42"/>
    <mergeCell ref="A43:C43"/>
    <mergeCell ref="F43:H43"/>
    <mergeCell ref="A44:C44"/>
    <mergeCell ref="F44:H44"/>
    <mergeCell ref="A45:B48"/>
    <mergeCell ref="F45:H45"/>
    <mergeCell ref="F46:H46"/>
    <mergeCell ref="F47:H47"/>
    <mergeCell ref="F48:H48"/>
    <mergeCell ref="A54:B54"/>
    <mergeCell ref="F54:H54"/>
    <mergeCell ref="A49:B50"/>
    <mergeCell ref="F49:H49"/>
    <mergeCell ref="F50:H50"/>
    <mergeCell ref="A51:B53"/>
    <mergeCell ref="F51:H51"/>
    <mergeCell ref="F52:H52"/>
    <mergeCell ref="F53:H53"/>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3" location="SOMMAIRE!A1" display="Retour sommaire"/>
    <hyperlink ref="J5" location="SYNTHESE!A1" display="Retour synthèse"/>
  </hyperlinks>
  <pageMargins left="0.25" right="0.25" top="0.75" bottom="0.75" header="0.3" footer="0.3"/>
  <pageSetup paperSize="9" orientation="landscape"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7E4FF"/>
  </sheetPr>
  <dimension ref="A1:W107"/>
  <sheetViews>
    <sheetView topLeftCell="A43" workbookViewId="0">
      <selection activeCell="F48" sqref="F48:H48"/>
    </sheetView>
  </sheetViews>
  <sheetFormatPr baseColWidth="10" defaultRowHeight="15"/>
  <sheetData>
    <row r="1" spans="1:23" ht="15.75" thickBot="1">
      <c r="A1" s="1134"/>
      <c r="B1" s="1134"/>
      <c r="C1" s="1134"/>
      <c r="D1" s="1134"/>
      <c r="E1" s="1134"/>
      <c r="F1" s="1134"/>
      <c r="G1" s="1134"/>
      <c r="H1" s="1134"/>
    </row>
    <row r="2" spans="1:23" ht="15.75" thickBot="1">
      <c r="A2" s="328" t="s">
        <v>0</v>
      </c>
      <c r="B2" s="1807" t="s">
        <v>140</v>
      </c>
      <c r="C2" s="1776"/>
      <c r="D2" s="1777"/>
      <c r="E2" s="329"/>
      <c r="F2" s="329"/>
      <c r="G2" s="330" t="s">
        <v>462</v>
      </c>
      <c r="H2" s="112" t="s">
        <v>53</v>
      </c>
      <c r="J2" s="13" t="s">
        <v>73</v>
      </c>
      <c r="K2" s="1251"/>
    </row>
    <row r="3" spans="1:23" ht="15.75" thickBot="1">
      <c r="A3" s="331" t="s">
        <v>344</v>
      </c>
      <c r="B3" s="1808" t="s">
        <v>610</v>
      </c>
      <c r="C3" s="1776"/>
      <c r="D3" s="1777"/>
      <c r="E3" s="329"/>
      <c r="F3" s="329"/>
      <c r="G3" s="332" t="s">
        <v>10</v>
      </c>
      <c r="H3" s="112" t="s">
        <v>16</v>
      </c>
      <c r="J3" s="1251"/>
      <c r="K3" s="1251"/>
    </row>
    <row r="4" spans="1:23" ht="15.75" thickBot="1">
      <c r="A4" s="332" t="s">
        <v>3</v>
      </c>
      <c r="B4" s="1809" t="s">
        <v>140</v>
      </c>
      <c r="C4" s="1776"/>
      <c r="D4" s="1777"/>
      <c r="E4" s="333"/>
      <c r="F4" s="329"/>
      <c r="G4" s="334" t="s">
        <v>26</v>
      </c>
      <c r="H4" s="117">
        <v>10</v>
      </c>
      <c r="J4" s="13" t="s">
        <v>381</v>
      </c>
      <c r="K4" s="1251"/>
    </row>
    <row r="5" spans="1:23" ht="15.75" thickBot="1">
      <c r="A5" s="329"/>
      <c r="B5" s="329"/>
      <c r="C5" s="329"/>
      <c r="D5" s="329"/>
      <c r="E5" s="329"/>
      <c r="F5" s="329"/>
      <c r="G5" s="329"/>
      <c r="H5" s="329"/>
    </row>
    <row r="6" spans="1:23" ht="90.75" thickBot="1">
      <c r="A6" s="328" t="s">
        <v>465</v>
      </c>
      <c r="B6" s="1909" t="s">
        <v>1602</v>
      </c>
      <c r="C6" s="2548"/>
      <c r="D6" s="2549"/>
      <c r="E6" s="329"/>
      <c r="F6" s="329"/>
      <c r="G6" s="335" t="s">
        <v>466</v>
      </c>
      <c r="H6" s="178" t="s">
        <v>819</v>
      </c>
    </row>
    <row r="7" spans="1:23" ht="15.75" thickBot="1">
      <c r="A7" s="1134"/>
      <c r="B7" s="329"/>
      <c r="C7" s="329"/>
      <c r="D7" s="329"/>
      <c r="E7" s="329"/>
      <c r="F7" s="329"/>
      <c r="G7" s="337"/>
      <c r="H7" s="329"/>
    </row>
    <row r="8" spans="1:23" ht="60.75" thickBot="1">
      <c r="A8" s="338" t="s">
        <v>7</v>
      </c>
      <c r="B8" s="1823" t="s">
        <v>820</v>
      </c>
      <c r="C8" s="1776"/>
      <c r="D8" s="1777"/>
      <c r="E8" s="333"/>
      <c r="F8" s="339"/>
      <c r="G8" s="338" t="s">
        <v>469</v>
      </c>
      <c r="H8" s="123" t="s">
        <v>537</v>
      </c>
    </row>
    <row r="9" spans="1:23">
      <c r="A9" s="1134"/>
      <c r="B9" s="329"/>
      <c r="C9" s="329"/>
      <c r="D9" s="329"/>
      <c r="E9" s="329"/>
      <c r="F9" s="329"/>
      <c r="G9" s="337"/>
      <c r="H9" s="329"/>
    </row>
    <row r="10" spans="1:23">
      <c r="A10" s="1813" t="s">
        <v>471</v>
      </c>
      <c r="B10" s="1772"/>
      <c r="C10" s="1806" t="s">
        <v>821</v>
      </c>
      <c r="D10" s="1806"/>
      <c r="E10" s="1806"/>
      <c r="F10" s="1806"/>
      <c r="G10" s="1806"/>
      <c r="H10" s="1806"/>
    </row>
    <row r="11" spans="1:23">
      <c r="A11" s="343"/>
      <c r="B11" s="333"/>
      <c r="C11" s="333"/>
      <c r="D11" s="333"/>
      <c r="E11" s="333"/>
      <c r="F11" s="339"/>
      <c r="G11" s="342"/>
      <c r="H11" s="342"/>
    </row>
    <row r="12" spans="1:23">
      <c r="A12" s="343"/>
      <c r="B12" s="333"/>
      <c r="C12" s="333"/>
      <c r="D12" s="333"/>
      <c r="E12" s="1814" t="s">
        <v>473</v>
      </c>
      <c r="F12" s="1772"/>
      <c r="G12" s="1772"/>
      <c r="H12" s="1772"/>
    </row>
    <row r="13" spans="1:23">
      <c r="A13" s="329"/>
      <c r="B13" s="329"/>
      <c r="C13" s="329"/>
      <c r="D13" s="329"/>
      <c r="E13" s="1780"/>
      <c r="F13" s="1780"/>
      <c r="G13" s="1780"/>
      <c r="H13" s="1780"/>
    </row>
    <row r="14" spans="1:23" ht="15.75" thickBot="1">
      <c r="A14" s="1816" t="s">
        <v>5</v>
      </c>
      <c r="B14" s="1792"/>
      <c r="C14" s="344" t="s">
        <v>1</v>
      </c>
      <c r="D14" s="344" t="s">
        <v>260</v>
      </c>
      <c r="E14" s="1136" t="s">
        <v>474</v>
      </c>
      <c r="F14" s="1815" t="s">
        <v>6</v>
      </c>
      <c r="G14" s="1762"/>
      <c r="H14" s="1764"/>
    </row>
    <row r="15" spans="1:23">
      <c r="A15" s="1804" t="s">
        <v>17</v>
      </c>
      <c r="B15" s="1771"/>
      <c r="C15" s="346" t="s">
        <v>59</v>
      </c>
      <c r="D15" s="347" t="s">
        <v>251</v>
      </c>
      <c r="E15" s="543"/>
      <c r="F15" s="1828"/>
      <c r="G15" s="1771"/>
      <c r="H15" s="1792"/>
      <c r="I15" s="1221"/>
      <c r="J15" s="1222"/>
      <c r="K15" s="1222"/>
      <c r="L15" s="1223"/>
      <c r="M15" s="1229"/>
      <c r="N15" s="1222"/>
      <c r="O15" s="1222"/>
      <c r="P15" s="1222"/>
      <c r="Q15" s="1222"/>
      <c r="R15" s="1230"/>
      <c r="S15" s="1221"/>
      <c r="T15" s="1222"/>
      <c r="U15" s="1222"/>
      <c r="V15" s="1222"/>
      <c r="W15" s="1230"/>
    </row>
    <row r="16" spans="1:23">
      <c r="A16" s="1772"/>
      <c r="B16" s="1772"/>
      <c r="C16" s="349" t="s">
        <v>18</v>
      </c>
      <c r="D16" s="350" t="s">
        <v>168</v>
      </c>
      <c r="E16" s="544"/>
      <c r="F16" s="1798"/>
      <c r="G16" s="1798"/>
      <c r="H16" s="1799"/>
      <c r="I16" s="1224"/>
      <c r="J16" s="1219"/>
      <c r="K16" s="1219"/>
      <c r="L16" s="1225"/>
      <c r="M16" s="1224"/>
      <c r="N16" s="1219"/>
      <c r="O16" s="1219"/>
      <c r="P16" s="1219"/>
      <c r="Q16" s="1219"/>
      <c r="R16" s="1225"/>
      <c r="S16" s="1224"/>
      <c r="T16" s="1219"/>
      <c r="U16" s="1219"/>
      <c r="V16" s="1219"/>
      <c r="W16" s="1225"/>
    </row>
    <row r="17" spans="1:23" ht="15.75" thickBot="1">
      <c r="A17" s="1780"/>
      <c r="B17" s="1780"/>
      <c r="C17" s="352" t="s">
        <v>19</v>
      </c>
      <c r="D17" s="353" t="s">
        <v>233</v>
      </c>
      <c r="E17" s="433"/>
      <c r="F17" s="1780"/>
      <c r="G17" s="1780"/>
      <c r="H17" s="1793"/>
      <c r="I17" s="1226"/>
      <c r="J17" s="1218"/>
      <c r="K17" s="1218"/>
      <c r="L17" s="1227"/>
      <c r="M17" s="1226"/>
      <c r="N17" s="1218"/>
      <c r="O17" s="1218"/>
      <c r="P17" s="1218"/>
      <c r="Q17" s="1218"/>
      <c r="R17" s="1227"/>
      <c r="S17" s="1226"/>
      <c r="T17" s="1218"/>
      <c r="U17" s="1218"/>
      <c r="V17" s="1218"/>
      <c r="W17" s="1227"/>
    </row>
    <row r="18" spans="1:23" s="1161" customFormat="1">
      <c r="A18" s="1804" t="s">
        <v>20</v>
      </c>
      <c r="B18" s="1771"/>
      <c r="C18" s="355" t="s">
        <v>54</v>
      </c>
      <c r="D18" s="355" t="s">
        <v>261</v>
      </c>
      <c r="E18" s="433"/>
      <c r="F18" s="1828" t="s">
        <v>822</v>
      </c>
      <c r="G18" s="1771"/>
      <c r="H18" s="1792"/>
      <c r="I18" s="1228"/>
      <c r="J18" s="1219"/>
      <c r="K18" s="1219"/>
      <c r="L18" s="1225"/>
      <c r="M18" s="1224"/>
      <c r="N18" s="1219"/>
      <c r="O18" s="1219"/>
      <c r="P18" s="1219"/>
      <c r="Q18" s="1219"/>
      <c r="R18" s="1225"/>
      <c r="S18" s="1226"/>
      <c r="T18" s="1219"/>
      <c r="U18" s="1219"/>
      <c r="V18" s="1219"/>
      <c r="W18" s="1225"/>
    </row>
    <row r="19" spans="1:23">
      <c r="A19" s="1772"/>
      <c r="B19" s="1772"/>
      <c r="C19" s="355" t="s">
        <v>21</v>
      </c>
      <c r="D19" s="353" t="s">
        <v>234</v>
      </c>
      <c r="E19" s="433"/>
      <c r="F19" s="1798"/>
      <c r="G19" s="1798"/>
      <c r="H19" s="1799"/>
      <c r="I19" s="1228"/>
      <c r="J19" s="1219"/>
      <c r="K19" s="1219"/>
      <c r="L19" s="1225"/>
      <c r="M19" s="1224"/>
      <c r="N19" s="1219"/>
      <c r="O19" s="1219"/>
      <c r="P19" s="1219"/>
      <c r="Q19" s="1219"/>
      <c r="R19" s="1225"/>
      <c r="S19" s="1226"/>
      <c r="T19" s="1219"/>
      <c r="U19" s="1219"/>
      <c r="V19" s="1219"/>
      <c r="W19" s="1225"/>
    </row>
    <row r="20" spans="1:23" ht="15.75" thickBot="1">
      <c r="A20" s="1772"/>
      <c r="B20" s="1772"/>
      <c r="C20" s="352" t="s">
        <v>22</v>
      </c>
      <c r="D20" s="353" t="s">
        <v>235</v>
      </c>
      <c r="E20" s="433" t="s">
        <v>554</v>
      </c>
      <c r="F20" s="1780"/>
      <c r="G20" s="1780"/>
      <c r="H20" s="1793"/>
      <c r="I20" s="1228" t="s">
        <v>554</v>
      </c>
      <c r="J20" s="1219">
        <v>1</v>
      </c>
      <c r="K20" s="1219" t="s">
        <v>887</v>
      </c>
      <c r="L20" s="1225">
        <v>100</v>
      </c>
      <c r="M20" s="1224">
        <v>153000</v>
      </c>
      <c r="N20" s="1219"/>
      <c r="O20" s="1219">
        <v>0</v>
      </c>
      <c r="P20" s="1219"/>
      <c r="Q20" s="1219"/>
      <c r="R20" s="1225"/>
      <c r="S20" s="1226"/>
      <c r="T20" s="1219">
        <v>1</v>
      </c>
      <c r="U20" s="1219" t="s">
        <v>887</v>
      </c>
      <c r="V20" s="1219">
        <v>100</v>
      </c>
      <c r="W20" s="1225">
        <v>153000</v>
      </c>
    </row>
    <row r="21" spans="1:23" ht="60">
      <c r="A21" s="1804" t="s">
        <v>23</v>
      </c>
      <c r="B21" s="1771"/>
      <c r="C21" s="356" t="s">
        <v>69</v>
      </c>
      <c r="D21" s="353" t="s">
        <v>267</v>
      </c>
      <c r="E21" s="433"/>
      <c r="F21" s="2543" t="s">
        <v>823</v>
      </c>
      <c r="G21" s="2544"/>
      <c r="H21" s="2545"/>
      <c r="I21" s="1224"/>
      <c r="J21" s="1219"/>
      <c r="K21" s="1219"/>
      <c r="L21" s="1225"/>
      <c r="M21" s="1224"/>
      <c r="N21" s="1219"/>
      <c r="O21" s="1219"/>
      <c r="P21" s="1219"/>
      <c r="Q21" s="1219"/>
      <c r="R21" s="1225"/>
      <c r="S21" s="1224"/>
      <c r="T21" s="1219"/>
      <c r="U21" s="1219"/>
      <c r="V21" s="1219"/>
      <c r="W21" s="1225"/>
    </row>
    <row r="22" spans="1:23" ht="60.75" thickBot="1">
      <c r="A22" s="1780"/>
      <c r="B22" s="1780"/>
      <c r="C22" s="357" t="s">
        <v>24</v>
      </c>
      <c r="D22" s="358" t="s">
        <v>236</v>
      </c>
      <c r="E22" s="433" t="s">
        <v>554</v>
      </c>
      <c r="F22" s="2546"/>
      <c r="G22" s="2546"/>
      <c r="H22" s="2547"/>
      <c r="I22" s="1228" t="s">
        <v>554</v>
      </c>
      <c r="J22" s="1219">
        <v>1</v>
      </c>
      <c r="K22" s="1220" t="s">
        <v>991</v>
      </c>
      <c r="L22" s="1225">
        <v>100</v>
      </c>
      <c r="M22" s="1224">
        <v>68000</v>
      </c>
      <c r="N22" s="1219"/>
      <c r="O22" s="1219">
        <v>0</v>
      </c>
      <c r="P22" s="1219"/>
      <c r="Q22" s="1219"/>
      <c r="R22" s="1225"/>
      <c r="S22" s="1224"/>
      <c r="T22" s="1219">
        <v>0</v>
      </c>
      <c r="U22" s="1219"/>
      <c r="V22" s="1219"/>
      <c r="W22" s="1225"/>
    </row>
    <row r="23" spans="1:23" ht="15.75">
      <c r="A23" s="1801" t="s">
        <v>478</v>
      </c>
      <c r="B23" s="1792"/>
      <c r="C23" s="359" t="s">
        <v>360</v>
      </c>
      <c r="D23" s="358" t="s">
        <v>265</v>
      </c>
      <c r="E23" s="433"/>
      <c r="F23" s="1791" t="s">
        <v>477</v>
      </c>
      <c r="G23" s="1771"/>
      <c r="H23" s="1792"/>
      <c r="I23" s="1224"/>
      <c r="J23" s="1219"/>
      <c r="K23" s="1219"/>
      <c r="L23" s="1225"/>
      <c r="M23" s="1224"/>
      <c r="N23" s="1219"/>
      <c r="O23" s="1219"/>
      <c r="P23" s="1219"/>
      <c r="Q23" s="1219"/>
      <c r="R23" s="1225"/>
      <c r="S23" s="1224"/>
      <c r="T23" s="1219"/>
      <c r="U23" s="1219"/>
      <c r="V23" s="1219"/>
      <c r="W23" s="1225"/>
    </row>
    <row r="24" spans="1:23" ht="15.75">
      <c r="A24" s="1779"/>
      <c r="B24" s="1799"/>
      <c r="C24" s="360" t="s">
        <v>361</v>
      </c>
      <c r="D24" s="358" t="s">
        <v>362</v>
      </c>
      <c r="E24" s="433"/>
      <c r="F24" s="1798"/>
      <c r="G24" s="1798"/>
      <c r="H24" s="1799"/>
      <c r="I24" s="1224"/>
      <c r="J24" s="1219"/>
      <c r="K24" s="1219"/>
      <c r="L24" s="1225"/>
      <c r="M24" s="1224"/>
      <c r="N24" s="1219"/>
      <c r="O24" s="1219"/>
      <c r="P24" s="1219"/>
      <c r="Q24" s="1219"/>
      <c r="R24" s="1225"/>
      <c r="S24" s="1224"/>
      <c r="T24" s="1219"/>
      <c r="U24" s="1219"/>
      <c r="V24" s="1219"/>
      <c r="W24" s="1225"/>
    </row>
    <row r="25" spans="1:23" ht="16.5" thickBot="1">
      <c r="A25" s="1779"/>
      <c r="B25" s="1799"/>
      <c r="C25" s="361" t="s">
        <v>479</v>
      </c>
      <c r="D25" s="358" t="s">
        <v>480</v>
      </c>
      <c r="E25" s="433"/>
      <c r="F25" s="1780"/>
      <c r="G25" s="1780"/>
      <c r="H25" s="1793"/>
      <c r="I25" s="1224"/>
      <c r="J25" s="1219"/>
      <c r="K25" s="1219"/>
      <c r="L25" s="1225"/>
      <c r="M25" s="1224"/>
      <c r="N25" s="1219"/>
      <c r="O25" s="1219"/>
      <c r="P25" s="1219"/>
      <c r="Q25" s="1219"/>
      <c r="R25" s="1225"/>
      <c r="S25" s="1224"/>
      <c r="T25" s="1219"/>
      <c r="U25" s="1219"/>
      <c r="V25" s="1219"/>
      <c r="W25" s="1225"/>
    </row>
    <row r="26" spans="1:23" ht="15.75" thickBot="1">
      <c r="A26" s="1802" t="s">
        <v>25</v>
      </c>
      <c r="B26" s="1776"/>
      <c r="C26" s="1777"/>
      <c r="D26" s="362" t="s">
        <v>270</v>
      </c>
      <c r="E26" s="433"/>
      <c r="F26" s="1763" t="s">
        <v>481</v>
      </c>
      <c r="G26" s="1762"/>
      <c r="H26" s="1764"/>
      <c r="I26" s="1224"/>
      <c r="J26" s="1219"/>
      <c r="K26" s="1219"/>
      <c r="L26" s="1225"/>
      <c r="M26" s="1224"/>
      <c r="N26" s="1219"/>
      <c r="O26" s="1219"/>
      <c r="P26" s="1219"/>
      <c r="Q26" s="1219"/>
      <c r="R26" s="1225"/>
      <c r="S26" s="1224"/>
      <c r="T26" s="1219"/>
      <c r="U26" s="1219"/>
      <c r="V26" s="1219"/>
      <c r="W26" s="1225"/>
    </row>
    <row r="27" spans="1:23" ht="15.75">
      <c r="A27" s="1803" t="s">
        <v>153</v>
      </c>
      <c r="B27" s="1788"/>
      <c r="C27" s="363" t="s">
        <v>152</v>
      </c>
      <c r="D27" s="364" t="s">
        <v>268</v>
      </c>
      <c r="E27" s="433"/>
      <c r="F27" s="1791" t="s">
        <v>475</v>
      </c>
      <c r="G27" s="1771"/>
      <c r="H27" s="1792"/>
      <c r="I27" s="1224"/>
      <c r="J27" s="1219"/>
      <c r="K27" s="1219"/>
      <c r="L27" s="1225"/>
      <c r="M27" s="1224"/>
      <c r="N27" s="1219"/>
      <c r="O27" s="1219"/>
      <c r="P27" s="1219"/>
      <c r="Q27" s="1219"/>
      <c r="R27" s="1225"/>
      <c r="S27" s="1224"/>
      <c r="T27" s="1219"/>
      <c r="U27" s="1219"/>
      <c r="V27" s="1219"/>
      <c r="W27" s="1225"/>
    </row>
    <row r="28" spans="1:23" ht="15.75">
      <c r="A28" s="1779"/>
      <c r="B28" s="1788"/>
      <c r="C28" s="365" t="s">
        <v>154</v>
      </c>
      <c r="D28" s="364" t="s">
        <v>392</v>
      </c>
      <c r="E28" s="433"/>
      <c r="F28" s="1798"/>
      <c r="G28" s="1798"/>
      <c r="H28" s="1799"/>
      <c r="I28" s="1224"/>
      <c r="J28" s="1219"/>
      <c r="K28" s="1219"/>
      <c r="L28" s="1225"/>
      <c r="M28" s="1224"/>
      <c r="N28" s="1219"/>
      <c r="O28" s="1219"/>
      <c r="P28" s="1219"/>
      <c r="Q28" s="1219"/>
      <c r="R28" s="1225"/>
      <c r="S28" s="1224"/>
      <c r="T28" s="1219"/>
      <c r="U28" s="1219"/>
      <c r="V28" s="1219"/>
      <c r="W28" s="1225"/>
    </row>
    <row r="29" spans="1:23" ht="16.5" thickBot="1">
      <c r="A29" s="1767"/>
      <c r="B29" s="1768"/>
      <c r="C29" s="366" t="s">
        <v>400</v>
      </c>
      <c r="D29" s="364" t="s">
        <v>393</v>
      </c>
      <c r="E29" s="433"/>
      <c r="F29" s="1780"/>
      <c r="G29" s="1780"/>
      <c r="H29" s="1793"/>
      <c r="I29" s="1224"/>
      <c r="J29" s="1219"/>
      <c r="K29" s="1219"/>
      <c r="L29" s="1225"/>
      <c r="M29" s="1224"/>
      <c r="N29" s="1219"/>
      <c r="O29" s="1219"/>
      <c r="P29" s="1219"/>
      <c r="Q29" s="1219"/>
      <c r="R29" s="1225"/>
      <c r="S29" s="1224"/>
      <c r="T29" s="1219"/>
      <c r="U29" s="1219"/>
      <c r="V29" s="1219"/>
      <c r="W29" s="1225"/>
    </row>
    <row r="30" spans="1:23" ht="15.75">
      <c r="A30" s="1797" t="s">
        <v>153</v>
      </c>
      <c r="B30" s="1766"/>
      <c r="C30" s="367" t="s">
        <v>155</v>
      </c>
      <c r="D30" s="364" t="s">
        <v>266</v>
      </c>
      <c r="E30" s="433"/>
      <c r="F30" s="1791" t="s">
        <v>475</v>
      </c>
      <c r="G30" s="1771"/>
      <c r="H30" s="1792"/>
      <c r="I30" s="1224"/>
      <c r="J30" s="1219"/>
      <c r="K30" s="1219"/>
      <c r="L30" s="1225"/>
      <c r="M30" s="1224"/>
      <c r="N30" s="1219"/>
      <c r="O30" s="1219"/>
      <c r="P30" s="1219"/>
      <c r="Q30" s="1219"/>
      <c r="R30" s="1225"/>
      <c r="S30" s="1224"/>
      <c r="T30" s="1219"/>
      <c r="U30" s="1219"/>
      <c r="V30" s="1219"/>
      <c r="W30" s="1225"/>
    </row>
    <row r="31" spans="1:23" ht="15.75">
      <c r="A31" s="1779"/>
      <c r="B31" s="1788"/>
      <c r="C31" s="365" t="s">
        <v>156</v>
      </c>
      <c r="D31" s="364" t="s">
        <v>394</v>
      </c>
      <c r="E31" s="433"/>
      <c r="F31" s="1798"/>
      <c r="G31" s="1798"/>
      <c r="H31" s="1799"/>
      <c r="I31" s="1224"/>
      <c r="J31" s="1219"/>
      <c r="K31" s="1219"/>
      <c r="L31" s="1225"/>
      <c r="M31" s="1224"/>
      <c r="N31" s="1219"/>
      <c r="O31" s="1219"/>
      <c r="P31" s="1219"/>
      <c r="Q31" s="1219"/>
      <c r="R31" s="1225"/>
      <c r="S31" s="1224"/>
      <c r="T31" s="1219"/>
      <c r="U31" s="1219"/>
      <c r="V31" s="1219"/>
      <c r="W31" s="1225"/>
    </row>
    <row r="32" spans="1:23" ht="16.5" thickBot="1">
      <c r="A32" s="1767"/>
      <c r="B32" s="1768"/>
      <c r="C32" s="366" t="s">
        <v>399</v>
      </c>
      <c r="D32" s="364" t="s">
        <v>395</v>
      </c>
      <c r="E32" s="433"/>
      <c r="F32" s="1780"/>
      <c r="G32" s="1780"/>
      <c r="H32" s="1793"/>
      <c r="I32" s="1224"/>
      <c r="J32" s="1219"/>
      <c r="K32" s="1219"/>
      <c r="L32" s="1225"/>
      <c r="M32" s="1224"/>
      <c r="N32" s="1219"/>
      <c r="O32" s="1219"/>
      <c r="P32" s="1219"/>
      <c r="Q32" s="1219"/>
      <c r="R32" s="1225"/>
      <c r="S32" s="1224"/>
      <c r="T32" s="1219"/>
      <c r="U32" s="1219"/>
      <c r="V32" s="1219"/>
      <c r="W32" s="1225"/>
    </row>
    <row r="33" spans="1:23" ht="16.5" thickBot="1">
      <c r="A33" s="1797" t="s">
        <v>482</v>
      </c>
      <c r="B33" s="1766"/>
      <c r="C33" s="367" t="s">
        <v>365</v>
      </c>
      <c r="D33" s="364" t="s">
        <v>252</v>
      </c>
      <c r="E33" s="433"/>
      <c r="F33" s="1791" t="s">
        <v>483</v>
      </c>
      <c r="G33" s="1771"/>
      <c r="H33" s="1792"/>
      <c r="I33" s="1224"/>
      <c r="J33" s="1219"/>
      <c r="K33" s="1219"/>
      <c r="L33" s="1225"/>
      <c r="M33" s="1224"/>
      <c r="N33" s="1219"/>
      <c r="O33" s="1219"/>
      <c r="P33" s="1219"/>
      <c r="Q33" s="1219"/>
      <c r="R33" s="1225"/>
      <c r="S33" s="1224"/>
      <c r="T33" s="1219"/>
      <c r="U33" s="1219"/>
      <c r="V33" s="1219"/>
      <c r="W33" s="1225"/>
    </row>
    <row r="34" spans="1:23" ht="16.5" thickBot="1">
      <c r="A34" s="1797" t="s">
        <v>484</v>
      </c>
      <c r="B34" s="1766"/>
      <c r="C34" s="367" t="s">
        <v>485</v>
      </c>
      <c r="D34" s="364" t="s">
        <v>264</v>
      </c>
      <c r="E34" s="399" t="s">
        <v>277</v>
      </c>
      <c r="F34" s="1800"/>
      <c r="G34" s="1771"/>
      <c r="H34" s="1792"/>
      <c r="I34" s="1228" t="s">
        <v>554</v>
      </c>
      <c r="J34" s="1219">
        <v>1</v>
      </c>
      <c r="K34" s="1220" t="s">
        <v>887</v>
      </c>
      <c r="L34" s="1225">
        <v>10</v>
      </c>
      <c r="M34" s="1224">
        <v>26350</v>
      </c>
      <c r="N34" s="1219"/>
      <c r="O34" s="1219"/>
      <c r="P34" s="1219"/>
      <c r="Q34" s="1219"/>
      <c r="R34" s="1225"/>
      <c r="S34" s="1224"/>
      <c r="T34" s="1219"/>
      <c r="U34" s="1219"/>
      <c r="V34" s="1219"/>
      <c r="W34" s="1225"/>
    </row>
    <row r="35" spans="1:23" ht="15.75">
      <c r="A35" s="1795" t="s">
        <v>486</v>
      </c>
      <c r="B35" s="1766"/>
      <c r="C35" s="368" t="s">
        <v>43</v>
      </c>
      <c r="D35" s="369" t="s">
        <v>256</v>
      </c>
      <c r="E35" s="433"/>
      <c r="F35" s="1791" t="s">
        <v>487</v>
      </c>
      <c r="G35" s="1771"/>
      <c r="H35" s="1792"/>
      <c r="I35" s="1224"/>
      <c r="J35" s="1219"/>
      <c r="K35" s="1219"/>
      <c r="L35" s="1225"/>
      <c r="M35" s="1224"/>
      <c r="N35" s="1219"/>
      <c r="O35" s="1219"/>
      <c r="P35" s="1219"/>
      <c r="Q35" s="1219"/>
      <c r="R35" s="1225"/>
      <c r="S35" s="1224"/>
      <c r="T35" s="1219"/>
      <c r="U35" s="1219"/>
      <c r="V35" s="1219"/>
      <c r="W35" s="1225"/>
    </row>
    <row r="36" spans="1:23" ht="16.5" thickBot="1">
      <c r="A36" s="1767"/>
      <c r="B36" s="1768"/>
      <c r="C36" s="370" t="s">
        <v>60</v>
      </c>
      <c r="D36" s="369" t="s">
        <v>257</v>
      </c>
      <c r="E36" s="433"/>
      <c r="F36" s="1780"/>
      <c r="G36" s="1780"/>
      <c r="H36" s="1793"/>
      <c r="I36" s="1224"/>
      <c r="J36" s="1219"/>
      <c r="K36" s="1219"/>
      <c r="L36" s="1225"/>
      <c r="M36" s="1224"/>
      <c r="N36" s="1219"/>
      <c r="O36" s="1219"/>
      <c r="P36" s="1219"/>
      <c r="Q36" s="1219"/>
      <c r="R36" s="1225"/>
      <c r="S36" s="1224"/>
      <c r="T36" s="1219"/>
      <c r="U36" s="1219"/>
      <c r="V36" s="1219"/>
      <c r="W36" s="1225"/>
    </row>
    <row r="37" spans="1:23" ht="135">
      <c r="A37" s="1796" t="s">
        <v>33</v>
      </c>
      <c r="B37" s="1771"/>
      <c r="C37" s="371" t="s">
        <v>30</v>
      </c>
      <c r="D37" s="372" t="s">
        <v>170</v>
      </c>
      <c r="E37" s="433"/>
      <c r="F37" s="1819" t="s">
        <v>510</v>
      </c>
      <c r="G37" s="1771"/>
      <c r="H37" s="1792"/>
      <c r="I37" s="1224"/>
      <c r="J37" s="1219"/>
      <c r="K37" s="1219"/>
      <c r="L37" s="1225"/>
      <c r="M37" s="1224"/>
      <c r="N37" s="1219"/>
      <c r="O37" s="1219"/>
      <c r="P37" s="1219"/>
      <c r="Q37" s="1219"/>
      <c r="R37" s="1225"/>
      <c r="S37" s="1224"/>
      <c r="T37" s="1219"/>
      <c r="U37" s="1219"/>
      <c r="V37" s="1219"/>
      <c r="W37" s="1225"/>
    </row>
    <row r="38" spans="1:23" ht="135">
      <c r="A38" s="1779"/>
      <c r="B38" s="1772"/>
      <c r="C38" s="373" t="s">
        <v>31</v>
      </c>
      <c r="D38" s="372" t="s">
        <v>169</v>
      </c>
      <c r="E38" s="433" t="s">
        <v>554</v>
      </c>
      <c r="F38" s="2540" t="s">
        <v>824</v>
      </c>
      <c r="G38" s="1819"/>
      <c r="H38" s="2541"/>
      <c r="I38" s="1228" t="s">
        <v>554</v>
      </c>
      <c r="J38" s="1219">
        <v>1</v>
      </c>
      <c r="K38" s="1220" t="s">
        <v>991</v>
      </c>
      <c r="L38" s="1225">
        <v>100</v>
      </c>
      <c r="M38" s="1224">
        <v>88500</v>
      </c>
      <c r="N38" s="1219"/>
      <c r="O38" s="1219">
        <v>0</v>
      </c>
      <c r="P38" s="1220"/>
      <c r="Q38" s="1219"/>
      <c r="R38" s="1225"/>
      <c r="S38" s="1224"/>
      <c r="T38" s="1219">
        <v>0</v>
      </c>
      <c r="U38" s="1219"/>
      <c r="V38" s="1219"/>
      <c r="W38" s="1225"/>
    </row>
    <row r="39" spans="1:23" ht="135.75" thickBot="1">
      <c r="A39" s="1779"/>
      <c r="B39" s="1772"/>
      <c r="C39" s="374" t="s">
        <v>32</v>
      </c>
      <c r="D39" s="372" t="s">
        <v>250</v>
      </c>
      <c r="E39" s="433" t="s">
        <v>554</v>
      </c>
      <c r="F39" s="2542" t="s">
        <v>825</v>
      </c>
      <c r="G39" s="2406"/>
      <c r="H39" s="2407"/>
      <c r="I39" s="1228" t="s">
        <v>554</v>
      </c>
      <c r="J39" s="1219">
        <v>0</v>
      </c>
      <c r="K39" s="1220"/>
      <c r="L39" s="1225"/>
      <c r="M39" s="1224"/>
      <c r="N39" s="1219"/>
      <c r="O39" s="1219">
        <v>1</v>
      </c>
      <c r="P39" s="1220" t="s">
        <v>991</v>
      </c>
      <c r="Q39" s="1219">
        <v>100</v>
      </c>
      <c r="R39" s="1225">
        <v>116500</v>
      </c>
      <c r="S39" s="1224"/>
      <c r="T39" s="1219">
        <v>0</v>
      </c>
      <c r="U39" s="1219"/>
      <c r="V39" s="1219"/>
      <c r="W39" s="1225"/>
    </row>
    <row r="40" spans="1:23" ht="15.75">
      <c r="A40" s="1786" t="s">
        <v>491</v>
      </c>
      <c r="B40" s="1787"/>
      <c r="C40" s="375" t="s">
        <v>144</v>
      </c>
      <c r="D40" s="376" t="s">
        <v>253</v>
      </c>
      <c r="E40" s="433" t="s">
        <v>554</v>
      </c>
      <c r="F40" s="2543" t="s">
        <v>826</v>
      </c>
      <c r="G40" s="2544"/>
      <c r="H40" s="2545"/>
      <c r="I40" s="1228" t="s">
        <v>554</v>
      </c>
      <c r="J40" s="1219">
        <v>2</v>
      </c>
      <c r="K40" s="1219" t="s">
        <v>991</v>
      </c>
      <c r="L40" s="1225">
        <v>20</v>
      </c>
      <c r="M40" s="1224">
        <v>15000</v>
      </c>
      <c r="N40" s="1219"/>
      <c r="O40" s="1219">
        <v>1</v>
      </c>
      <c r="P40" s="1219" t="s">
        <v>991</v>
      </c>
      <c r="Q40" s="1219">
        <v>10</v>
      </c>
      <c r="R40" s="1225">
        <v>7500</v>
      </c>
      <c r="S40" s="1226"/>
      <c r="T40" s="1219">
        <v>1</v>
      </c>
      <c r="U40" s="1219" t="s">
        <v>991</v>
      </c>
      <c r="V40" s="1219">
        <v>10</v>
      </c>
      <c r="W40" s="1225">
        <v>7500</v>
      </c>
    </row>
    <row r="41" spans="1:23" ht="16.5" thickBot="1">
      <c r="A41" s="1772"/>
      <c r="B41" s="1788"/>
      <c r="C41" s="377" t="s">
        <v>145</v>
      </c>
      <c r="D41" s="376" t="s">
        <v>254</v>
      </c>
      <c r="E41" s="433" t="s">
        <v>554</v>
      </c>
      <c r="F41" s="2546"/>
      <c r="G41" s="2546"/>
      <c r="H41" s="2547"/>
      <c r="I41" s="1228" t="s">
        <v>554</v>
      </c>
      <c r="J41" s="1219">
        <v>1</v>
      </c>
      <c r="K41" s="1219" t="s">
        <v>991</v>
      </c>
      <c r="L41" s="1225">
        <v>10</v>
      </c>
      <c r="M41" s="1224">
        <v>10050</v>
      </c>
      <c r="N41" s="1219"/>
      <c r="O41" s="1219">
        <v>1</v>
      </c>
      <c r="P41" s="1219" t="s">
        <v>991</v>
      </c>
      <c r="Q41" s="1219">
        <v>10</v>
      </c>
      <c r="R41" s="1225">
        <v>10050</v>
      </c>
      <c r="S41" s="1226"/>
      <c r="T41" s="1219">
        <v>1</v>
      </c>
      <c r="U41" s="1219" t="s">
        <v>991</v>
      </c>
      <c r="V41" s="1219">
        <v>10</v>
      </c>
      <c r="W41" s="1225">
        <v>10050</v>
      </c>
    </row>
    <row r="42" spans="1:23" ht="205.5" thickBot="1">
      <c r="A42" s="1789"/>
      <c r="B42" s="1790"/>
      <c r="C42" s="378" t="s">
        <v>128</v>
      </c>
      <c r="D42" s="376" t="s">
        <v>262</v>
      </c>
      <c r="E42" s="433"/>
      <c r="F42" s="1794"/>
      <c r="G42" s="1762"/>
      <c r="H42" s="1764"/>
      <c r="I42" s="1224"/>
      <c r="J42" s="1219"/>
      <c r="K42" s="1219"/>
      <c r="L42" s="1225"/>
      <c r="M42" s="1224"/>
      <c r="N42" s="1219"/>
      <c r="O42" s="1219"/>
      <c r="P42" s="1219"/>
      <c r="Q42" s="1219"/>
      <c r="R42" s="1225"/>
      <c r="S42" s="1226"/>
      <c r="T42" s="1219"/>
      <c r="U42" s="1219"/>
      <c r="V42" s="1219"/>
      <c r="W42" s="1225"/>
    </row>
    <row r="43" spans="1:23" ht="15.75" thickBot="1">
      <c r="A43" s="1775" t="s">
        <v>493</v>
      </c>
      <c r="B43" s="1776"/>
      <c r="C43" s="1777"/>
      <c r="D43" s="379" t="s">
        <v>237</v>
      </c>
      <c r="E43" s="399"/>
      <c r="F43" s="1818" t="s">
        <v>827</v>
      </c>
      <c r="G43" s="1762"/>
      <c r="H43" s="1764"/>
      <c r="I43" s="1228" t="s">
        <v>554</v>
      </c>
      <c r="J43" s="1219">
        <v>1</v>
      </c>
      <c r="K43" s="1219" t="s">
        <v>991</v>
      </c>
      <c r="L43" s="1225">
        <v>10</v>
      </c>
      <c r="M43" s="1224">
        <v>32600</v>
      </c>
      <c r="N43" s="1219"/>
      <c r="O43" s="1219">
        <v>2</v>
      </c>
      <c r="P43" s="1219" t="s">
        <v>991</v>
      </c>
      <c r="Q43" s="1219">
        <v>20</v>
      </c>
      <c r="R43" s="1225">
        <v>65200</v>
      </c>
      <c r="S43" s="1226"/>
      <c r="T43" s="1219">
        <v>1</v>
      </c>
      <c r="U43" s="1219" t="s">
        <v>991</v>
      </c>
      <c r="V43" s="1219">
        <v>10</v>
      </c>
      <c r="W43" s="1225">
        <v>32600</v>
      </c>
    </row>
    <row r="44" spans="1:23" ht="15.75" thickBot="1">
      <c r="A44" s="1775" t="s">
        <v>133</v>
      </c>
      <c r="B44" s="1776"/>
      <c r="C44" s="1777"/>
      <c r="D44" s="379" t="s">
        <v>238</v>
      </c>
      <c r="E44" s="399"/>
      <c r="F44" s="1763" t="s">
        <v>495</v>
      </c>
      <c r="G44" s="1762"/>
      <c r="H44" s="1764"/>
      <c r="I44" s="1224"/>
      <c r="J44" s="1219"/>
      <c r="K44" s="1219"/>
      <c r="L44" s="1225"/>
      <c r="M44" s="1224"/>
      <c r="N44" s="1219"/>
      <c r="O44" s="1219"/>
      <c r="P44" s="1219"/>
      <c r="Q44" s="1219"/>
      <c r="R44" s="1225"/>
      <c r="S44" s="1224"/>
      <c r="T44" s="1219"/>
      <c r="U44" s="1219"/>
      <c r="V44" s="1219"/>
      <c r="W44" s="1225"/>
    </row>
    <row r="45" spans="1:23">
      <c r="A45" s="1778" t="s">
        <v>41</v>
      </c>
      <c r="B45" s="1772"/>
      <c r="C45" s="380" t="s">
        <v>50</v>
      </c>
      <c r="D45" s="381" t="s">
        <v>246</v>
      </c>
      <c r="E45" s="433"/>
      <c r="F45" s="1785" t="s">
        <v>828</v>
      </c>
      <c r="G45" s="1762"/>
      <c r="H45" s="1764"/>
      <c r="I45" s="1228"/>
      <c r="J45" s="1219"/>
      <c r="K45" s="1219"/>
      <c r="L45" s="1225"/>
      <c r="M45" s="1224"/>
      <c r="N45" s="1219"/>
      <c r="O45" s="1219"/>
      <c r="P45" s="1219"/>
      <c r="Q45" s="1219"/>
      <c r="R45" s="1225"/>
      <c r="S45" s="1224"/>
      <c r="T45" s="1219"/>
      <c r="U45" s="1219"/>
      <c r="V45" s="1219"/>
      <c r="W45" s="1225"/>
    </row>
    <row r="46" spans="1:23">
      <c r="A46" s="1779"/>
      <c r="B46" s="1772"/>
      <c r="C46" s="382" t="s">
        <v>51</v>
      </c>
      <c r="D46" s="381" t="s">
        <v>247</v>
      </c>
      <c r="E46" s="433" t="s">
        <v>554</v>
      </c>
      <c r="F46" s="1785" t="s">
        <v>829</v>
      </c>
      <c r="G46" s="1762"/>
      <c r="H46" s="1764"/>
      <c r="I46" s="1228" t="s">
        <v>554</v>
      </c>
      <c r="J46" s="1219">
        <v>0</v>
      </c>
      <c r="K46" s="1219"/>
      <c r="L46" s="1225"/>
      <c r="M46" s="1224"/>
      <c r="N46" s="1219"/>
      <c r="O46" s="1219">
        <v>0</v>
      </c>
      <c r="P46" s="1219"/>
      <c r="Q46" s="1219"/>
      <c r="R46" s="1225"/>
      <c r="S46" s="1224"/>
      <c r="T46" s="1219">
        <v>0</v>
      </c>
      <c r="U46" s="1219"/>
      <c r="V46" s="1219"/>
      <c r="W46" s="1225"/>
    </row>
    <row r="47" spans="1:23">
      <c r="A47" s="1779"/>
      <c r="B47" s="1772"/>
      <c r="C47" s="382" t="s">
        <v>39</v>
      </c>
      <c r="D47" s="381" t="s">
        <v>248</v>
      </c>
      <c r="E47" s="433" t="s">
        <v>554</v>
      </c>
      <c r="F47" s="1785" t="s">
        <v>830</v>
      </c>
      <c r="G47" s="1762"/>
      <c r="H47" s="1764"/>
      <c r="I47" s="1228" t="s">
        <v>554</v>
      </c>
      <c r="J47" s="1219">
        <v>0</v>
      </c>
      <c r="K47" s="1219"/>
      <c r="L47" s="1225"/>
      <c r="M47" s="1224"/>
      <c r="N47" s="1219"/>
      <c r="O47" s="1219">
        <v>0</v>
      </c>
      <c r="P47" s="1219"/>
      <c r="Q47" s="1219"/>
      <c r="R47" s="1225"/>
      <c r="S47" s="1224"/>
      <c r="T47" s="1219">
        <v>0</v>
      </c>
      <c r="U47" s="1219"/>
      <c r="V47" s="1219"/>
      <c r="W47" s="1225"/>
    </row>
    <row r="48" spans="1:23" ht="15.75" thickBot="1">
      <c r="A48" s="1767"/>
      <c r="B48" s="1780"/>
      <c r="C48" s="383" t="s">
        <v>40</v>
      </c>
      <c r="D48" s="381" t="s">
        <v>249</v>
      </c>
      <c r="E48" s="433" t="s">
        <v>554</v>
      </c>
      <c r="F48" s="1785" t="s">
        <v>831</v>
      </c>
      <c r="G48" s="1762"/>
      <c r="H48" s="1764"/>
      <c r="I48" s="1228" t="s">
        <v>554</v>
      </c>
      <c r="J48" s="1219">
        <v>1</v>
      </c>
      <c r="K48" s="1219" t="s">
        <v>991</v>
      </c>
      <c r="L48" s="1225">
        <v>10</v>
      </c>
      <c r="M48" s="1224">
        <v>12700</v>
      </c>
      <c r="N48" s="1219"/>
      <c r="O48" s="1219">
        <v>0</v>
      </c>
      <c r="P48" s="1219"/>
      <c r="Q48" s="1219"/>
      <c r="R48" s="1225"/>
      <c r="S48" s="1224"/>
      <c r="T48" s="1219">
        <v>1</v>
      </c>
      <c r="U48" s="1219" t="s">
        <v>991</v>
      </c>
      <c r="V48" s="1219">
        <v>10</v>
      </c>
      <c r="W48" s="1225">
        <v>12700</v>
      </c>
    </row>
    <row r="49" spans="1:23" ht="15.75">
      <c r="A49" s="1765" t="s">
        <v>130</v>
      </c>
      <c r="B49" s="1766"/>
      <c r="C49" s="375" t="s">
        <v>131</v>
      </c>
      <c r="D49" s="376" t="s">
        <v>255</v>
      </c>
      <c r="E49" s="433"/>
      <c r="F49" s="1769"/>
      <c r="G49" s="1762"/>
      <c r="H49" s="1764"/>
      <c r="I49" s="1224"/>
      <c r="J49" s="1219"/>
      <c r="K49" s="1219"/>
      <c r="L49" s="1225"/>
      <c r="M49" s="1224"/>
      <c r="N49" s="1219"/>
      <c r="O49" s="1219"/>
      <c r="P49" s="1219"/>
      <c r="Q49" s="1219"/>
      <c r="R49" s="1225"/>
      <c r="S49" s="1224"/>
      <c r="T49" s="1219"/>
      <c r="U49" s="1219"/>
      <c r="V49" s="1219"/>
      <c r="W49" s="1225"/>
    </row>
    <row r="50" spans="1:23" ht="205.5" thickBot="1">
      <c r="A50" s="1767"/>
      <c r="B50" s="1768"/>
      <c r="C50" s="384" t="s">
        <v>132</v>
      </c>
      <c r="D50" s="376" t="s">
        <v>263</v>
      </c>
      <c r="E50" s="433"/>
      <c r="F50" s="1769"/>
      <c r="G50" s="1762"/>
      <c r="H50" s="1764"/>
      <c r="I50" s="1224"/>
      <c r="J50" s="1219"/>
      <c r="K50" s="1219"/>
      <c r="L50" s="1225"/>
      <c r="M50" s="1224"/>
      <c r="N50" s="1219"/>
      <c r="O50" s="1219"/>
      <c r="P50" s="1219"/>
      <c r="Q50" s="1219"/>
      <c r="R50" s="1225"/>
      <c r="S50" s="1224"/>
      <c r="T50" s="1219"/>
      <c r="U50" s="1219"/>
      <c r="V50" s="1219"/>
      <c r="W50" s="1225"/>
    </row>
    <row r="51" spans="1:23" ht="45">
      <c r="A51" s="1770" t="s">
        <v>42</v>
      </c>
      <c r="B51" s="1771"/>
      <c r="C51" s="385" t="s">
        <v>38</v>
      </c>
      <c r="D51" s="386" t="s">
        <v>239</v>
      </c>
      <c r="E51" s="433"/>
      <c r="F51" s="1763" t="s">
        <v>499</v>
      </c>
      <c r="G51" s="1762"/>
      <c r="H51" s="1764"/>
      <c r="I51" s="1224"/>
      <c r="J51" s="1219"/>
      <c r="K51" s="1219"/>
      <c r="L51" s="1225"/>
      <c r="M51" s="1224"/>
      <c r="N51" s="1219"/>
      <c r="O51" s="1219"/>
      <c r="P51" s="1219"/>
      <c r="Q51" s="1219"/>
      <c r="R51" s="1225"/>
      <c r="S51" s="1224"/>
      <c r="T51" s="1219"/>
      <c r="U51" s="1219"/>
      <c r="V51" s="1219"/>
      <c r="W51" s="1225"/>
    </row>
    <row r="52" spans="1:23" ht="45">
      <c r="A52" s="1772"/>
      <c r="B52" s="1772"/>
      <c r="C52" s="387" t="s">
        <v>55</v>
      </c>
      <c r="D52" s="386" t="s">
        <v>240</v>
      </c>
      <c r="E52" s="433"/>
      <c r="F52" s="1773"/>
      <c r="G52" s="1762"/>
      <c r="H52" s="1764"/>
      <c r="I52" s="1224"/>
      <c r="J52" s="1219"/>
      <c r="K52" s="1219"/>
      <c r="L52" s="1225"/>
      <c r="M52" s="1224"/>
      <c r="N52" s="1219"/>
      <c r="O52" s="1219"/>
      <c r="P52" s="1219"/>
      <c r="Q52" s="1219"/>
      <c r="R52" s="1225"/>
      <c r="S52" s="1224"/>
      <c r="T52" s="1219"/>
      <c r="U52" s="1219"/>
      <c r="V52" s="1219"/>
      <c r="W52" s="1225"/>
    </row>
    <row r="53" spans="1:23" ht="16.5" thickBot="1">
      <c r="A53" s="1772"/>
      <c r="B53" s="1772"/>
      <c r="C53" s="377" t="s">
        <v>48</v>
      </c>
      <c r="D53" s="388" t="s">
        <v>241</v>
      </c>
      <c r="E53" s="433"/>
      <c r="F53" s="1774"/>
      <c r="G53" s="1762"/>
      <c r="H53" s="1764"/>
      <c r="I53" s="1224"/>
      <c r="J53" s="1219"/>
      <c r="K53" s="1219"/>
      <c r="L53" s="1225"/>
      <c r="M53" s="1224"/>
      <c r="N53" s="1219"/>
      <c r="O53" s="1219"/>
      <c r="P53" s="1219"/>
      <c r="Q53" s="1219"/>
      <c r="R53" s="1225"/>
      <c r="S53" s="1224"/>
      <c r="T53" s="1219"/>
      <c r="U53" s="1219"/>
      <c r="V53" s="1219"/>
      <c r="W53" s="1225"/>
    </row>
    <row r="54" spans="1:23" ht="79.5" thickBot="1">
      <c r="A54" s="1761" t="s">
        <v>500</v>
      </c>
      <c r="B54" s="1762"/>
      <c r="C54" s="389" t="s">
        <v>134</v>
      </c>
      <c r="D54" s="390" t="s">
        <v>269</v>
      </c>
      <c r="E54" s="545"/>
      <c r="F54" s="1763" t="s">
        <v>501</v>
      </c>
      <c r="G54" s="1762"/>
      <c r="H54" s="1764"/>
    </row>
    <row r="58" spans="1:23">
      <c r="A58" s="1829" t="s">
        <v>1270</v>
      </c>
      <c r="B58" s="1830"/>
      <c r="C58" s="1830"/>
      <c r="D58" s="1830"/>
      <c r="E58" s="1830"/>
      <c r="F58" s="1830"/>
    </row>
    <row r="59" spans="1:23" ht="105">
      <c r="A59" s="1496" t="s">
        <v>1271</v>
      </c>
      <c r="B59" s="1496" t="s">
        <v>1272</v>
      </c>
      <c r="C59" s="1496" t="s">
        <v>1273</v>
      </c>
      <c r="D59" s="1496" t="s">
        <v>1274</v>
      </c>
      <c r="E59" s="1496" t="s">
        <v>1275</v>
      </c>
      <c r="F59" s="1496" t="s">
        <v>1276</v>
      </c>
    </row>
    <row r="60" spans="1:23">
      <c r="A60" s="2555" t="s">
        <v>1381</v>
      </c>
      <c r="B60" s="2555" t="s">
        <v>1278</v>
      </c>
      <c r="C60" s="2556" t="s">
        <v>1307</v>
      </c>
      <c r="D60" s="2556" t="s">
        <v>954</v>
      </c>
      <c r="E60" s="1497" t="s">
        <v>1382</v>
      </c>
      <c r="F60" s="1498">
        <v>3</v>
      </c>
    </row>
    <row r="61" spans="1:23">
      <c r="A61" s="2555"/>
      <c r="B61" s="2555"/>
      <c r="C61" s="2556"/>
      <c r="D61" s="2556"/>
      <c r="E61" s="1497" t="s">
        <v>1285</v>
      </c>
      <c r="F61" s="1498">
        <v>0</v>
      </c>
    </row>
    <row r="62" spans="1:23">
      <c r="A62" s="2555" t="s">
        <v>1277</v>
      </c>
      <c r="B62" s="2555" t="s">
        <v>1278</v>
      </c>
      <c r="C62" s="2556" t="s">
        <v>1279</v>
      </c>
      <c r="D62" s="2556" t="s">
        <v>954</v>
      </c>
      <c r="E62" s="1497" t="s">
        <v>237</v>
      </c>
      <c r="F62" s="1498">
        <v>0</v>
      </c>
    </row>
    <row r="63" spans="1:23">
      <c r="A63" s="2555"/>
      <c r="B63" s="2555"/>
      <c r="C63" s="2556"/>
      <c r="D63" s="2556"/>
      <c r="E63" s="1497" t="s">
        <v>1280</v>
      </c>
      <c r="F63" s="1498">
        <v>2</v>
      </c>
    </row>
    <row r="64" spans="1:23">
      <c r="A64" s="2555"/>
      <c r="B64" s="2555"/>
      <c r="C64" s="2556"/>
      <c r="D64" s="2556"/>
      <c r="E64" s="1497" t="s">
        <v>1284</v>
      </c>
      <c r="F64" s="1498">
        <v>0</v>
      </c>
    </row>
    <row r="65" spans="1:6">
      <c r="A65" s="2555" t="s">
        <v>1383</v>
      </c>
      <c r="B65" s="2555" t="s">
        <v>1278</v>
      </c>
      <c r="C65" s="2556" t="s">
        <v>1384</v>
      </c>
      <c r="D65" s="2556" t="s">
        <v>954</v>
      </c>
      <c r="E65" s="1497" t="s">
        <v>1285</v>
      </c>
      <c r="F65" s="1498">
        <v>1</v>
      </c>
    </row>
    <row r="66" spans="1:6">
      <c r="A66" s="2555"/>
      <c r="B66" s="2555"/>
      <c r="C66" s="2556"/>
      <c r="D66" s="2556"/>
      <c r="E66" s="1499" t="s">
        <v>1284</v>
      </c>
      <c r="F66" s="1498">
        <v>1</v>
      </c>
    </row>
    <row r="67" spans="1:6">
      <c r="A67" s="2555"/>
      <c r="B67" s="2555"/>
      <c r="C67" s="2556"/>
      <c r="D67" s="2556"/>
      <c r="E67" s="1497" t="s">
        <v>1382</v>
      </c>
      <c r="F67" s="1498">
        <v>0</v>
      </c>
    </row>
    <row r="68" spans="1:6">
      <c r="A68" s="2558" t="s">
        <v>1386</v>
      </c>
      <c r="B68" s="2555" t="s">
        <v>1282</v>
      </c>
      <c r="C68" s="2556" t="s">
        <v>1283</v>
      </c>
      <c r="D68" s="2556" t="s">
        <v>954</v>
      </c>
      <c r="E68" s="1497" t="s">
        <v>237</v>
      </c>
      <c r="F68" s="1498">
        <v>0</v>
      </c>
    </row>
    <row r="69" spans="1:6">
      <c r="A69" s="2564"/>
      <c r="B69" s="2555"/>
      <c r="C69" s="2556"/>
      <c r="D69" s="2556"/>
      <c r="E69" s="1497" t="s">
        <v>1284</v>
      </c>
      <c r="F69" s="1498">
        <v>0</v>
      </c>
    </row>
    <row r="70" spans="1:6">
      <c r="A70" s="2559"/>
      <c r="B70" s="2555"/>
      <c r="C70" s="2556"/>
      <c r="D70" s="2556"/>
      <c r="E70" s="1497" t="s">
        <v>1388</v>
      </c>
      <c r="F70" s="1498">
        <v>0</v>
      </c>
    </row>
    <row r="71" spans="1:6">
      <c r="A71" s="2557" t="s">
        <v>1389</v>
      </c>
      <c r="B71" s="2555" t="s">
        <v>1287</v>
      </c>
      <c r="C71" s="2556" t="s">
        <v>1307</v>
      </c>
      <c r="D71" s="2556" t="s">
        <v>954</v>
      </c>
      <c r="E71" s="1497" t="s">
        <v>237</v>
      </c>
      <c r="F71" s="1498">
        <v>0</v>
      </c>
    </row>
    <row r="72" spans="1:6">
      <c r="A72" s="2557"/>
      <c r="B72" s="2555"/>
      <c r="C72" s="2556"/>
      <c r="D72" s="2556"/>
      <c r="E72" s="1497" t="s">
        <v>1284</v>
      </c>
      <c r="F72" s="1498">
        <v>0</v>
      </c>
    </row>
    <row r="73" spans="1:6">
      <c r="A73" s="2557"/>
      <c r="B73" s="2555"/>
      <c r="C73" s="2556"/>
      <c r="D73" s="2556"/>
      <c r="E73" s="1497" t="s">
        <v>1280</v>
      </c>
      <c r="F73" s="1498">
        <v>0</v>
      </c>
    </row>
    <row r="74" spans="1:6">
      <c r="A74" s="2557" t="s">
        <v>1391</v>
      </c>
      <c r="B74" s="2555" t="s">
        <v>1282</v>
      </c>
      <c r="C74" s="2556" t="s">
        <v>1283</v>
      </c>
      <c r="D74" s="2556" t="s">
        <v>954</v>
      </c>
      <c r="E74" s="1497" t="s">
        <v>1284</v>
      </c>
      <c r="F74" s="1498">
        <v>0</v>
      </c>
    </row>
    <row r="75" spans="1:6">
      <c r="A75" s="2557"/>
      <c r="B75" s="2555"/>
      <c r="C75" s="2556"/>
      <c r="D75" s="2556"/>
      <c r="E75" s="1497" t="s">
        <v>1285</v>
      </c>
      <c r="F75" s="1498">
        <v>1</v>
      </c>
    </row>
    <row r="76" spans="1:6">
      <c r="A76" s="2557"/>
      <c r="B76" s="2555"/>
      <c r="C76" s="2556"/>
      <c r="D76" s="2556"/>
      <c r="E76" s="1497" t="s">
        <v>1280</v>
      </c>
      <c r="F76" s="1498">
        <v>0</v>
      </c>
    </row>
    <row r="77" spans="1:6">
      <c r="A77" s="2558" t="s">
        <v>1392</v>
      </c>
      <c r="B77" s="2560" t="s">
        <v>1287</v>
      </c>
      <c r="C77" s="2562" t="s">
        <v>1283</v>
      </c>
      <c r="D77" s="2562" t="s">
        <v>954</v>
      </c>
      <c r="E77" s="1497" t="s">
        <v>1285</v>
      </c>
      <c r="F77" s="1498">
        <v>0</v>
      </c>
    </row>
    <row r="78" spans="1:6">
      <c r="A78" s="2559"/>
      <c r="B78" s="2561"/>
      <c r="C78" s="2563"/>
      <c r="D78" s="2563"/>
      <c r="E78" s="1497" t="s">
        <v>1284</v>
      </c>
      <c r="F78" s="1498">
        <v>1</v>
      </c>
    </row>
    <row r="79" spans="1:6">
      <c r="A79" s="2558" t="s">
        <v>1286</v>
      </c>
      <c r="B79" s="2560" t="s">
        <v>1287</v>
      </c>
      <c r="C79" s="2562" t="s">
        <v>1283</v>
      </c>
      <c r="D79" s="2562" t="s">
        <v>954</v>
      </c>
      <c r="E79" s="1497" t="s">
        <v>237</v>
      </c>
      <c r="F79" s="1498">
        <v>0</v>
      </c>
    </row>
    <row r="80" spans="1:6">
      <c r="A80" s="2564"/>
      <c r="B80" s="2566"/>
      <c r="C80" s="2567"/>
      <c r="D80" s="2567"/>
      <c r="E80" s="1497" t="s">
        <v>1285</v>
      </c>
      <c r="F80" s="1498">
        <v>0</v>
      </c>
    </row>
    <row r="81" spans="1:6">
      <c r="A81" s="2564"/>
      <c r="B81" s="2566"/>
      <c r="C81" s="2567"/>
      <c r="D81" s="2567"/>
      <c r="E81" s="1497" t="s">
        <v>1280</v>
      </c>
      <c r="F81" s="1498">
        <v>0</v>
      </c>
    </row>
    <row r="82" spans="1:6">
      <c r="A82" s="2559"/>
      <c r="B82" s="2561"/>
      <c r="C82" s="2563"/>
      <c r="D82" s="2563"/>
      <c r="E82" s="1500" t="s">
        <v>1514</v>
      </c>
      <c r="F82" s="1498">
        <v>1</v>
      </c>
    </row>
    <row r="83" spans="1:6">
      <c r="A83" s="2557" t="s">
        <v>1288</v>
      </c>
      <c r="B83" s="2555" t="s">
        <v>1287</v>
      </c>
      <c r="C83" s="2556" t="s">
        <v>1289</v>
      </c>
      <c r="D83" s="2556" t="s">
        <v>954</v>
      </c>
      <c r="E83" s="1497" t="s">
        <v>237</v>
      </c>
      <c r="F83" s="1498">
        <v>0</v>
      </c>
    </row>
    <row r="84" spans="1:6">
      <c r="A84" s="2557"/>
      <c r="B84" s="2555"/>
      <c r="C84" s="2556"/>
      <c r="D84" s="2556"/>
      <c r="E84" s="1497" t="s">
        <v>1284</v>
      </c>
      <c r="F84" s="1498">
        <v>0</v>
      </c>
    </row>
    <row r="85" spans="1:6">
      <c r="A85" s="2557"/>
      <c r="B85" s="2555"/>
      <c r="C85" s="2556"/>
      <c r="D85" s="2556"/>
      <c r="E85" s="1497" t="s">
        <v>1280</v>
      </c>
      <c r="F85" s="1498">
        <v>0</v>
      </c>
    </row>
    <row r="86" spans="1:6">
      <c r="A86" s="2565" t="s">
        <v>1393</v>
      </c>
      <c r="B86" s="2555" t="s">
        <v>1282</v>
      </c>
      <c r="C86" s="2556" t="s">
        <v>1283</v>
      </c>
      <c r="D86" s="2556" t="s">
        <v>954</v>
      </c>
      <c r="E86" s="1497" t="s">
        <v>237</v>
      </c>
      <c r="F86" s="1498">
        <v>0</v>
      </c>
    </row>
    <row r="87" spans="1:6">
      <c r="A87" s="2565"/>
      <c r="B87" s="2555"/>
      <c r="C87" s="2556"/>
      <c r="D87" s="2556"/>
      <c r="E87" s="1497" t="s">
        <v>1280</v>
      </c>
      <c r="F87" s="1498">
        <v>0</v>
      </c>
    </row>
    <row r="88" spans="1:6">
      <c r="A88" s="2565" t="s">
        <v>1290</v>
      </c>
      <c r="B88" s="2555" t="s">
        <v>1291</v>
      </c>
      <c r="C88" s="2556" t="s">
        <v>1292</v>
      </c>
      <c r="D88" s="2556" t="s">
        <v>954</v>
      </c>
      <c r="E88" s="1497" t="s">
        <v>1284</v>
      </c>
      <c r="F88" s="1498">
        <v>0</v>
      </c>
    </row>
    <row r="89" spans="1:6">
      <c r="A89" s="2565"/>
      <c r="B89" s="2555"/>
      <c r="C89" s="2556"/>
      <c r="D89" s="2556"/>
      <c r="E89" s="1497" t="s">
        <v>1285</v>
      </c>
      <c r="F89" s="1498">
        <v>0</v>
      </c>
    </row>
    <row r="90" spans="1:6">
      <c r="A90" s="2565"/>
      <c r="B90" s="2555"/>
      <c r="C90" s="2556"/>
      <c r="D90" s="2556"/>
      <c r="E90" s="1497" t="s">
        <v>1280</v>
      </c>
      <c r="F90" s="1498">
        <v>0</v>
      </c>
    </row>
    <row r="91" spans="1:6">
      <c r="A91" s="2568" t="s">
        <v>1394</v>
      </c>
      <c r="B91" s="2555" t="s">
        <v>1282</v>
      </c>
      <c r="C91" s="2556" t="s">
        <v>1395</v>
      </c>
      <c r="D91" s="2556" t="s">
        <v>954</v>
      </c>
      <c r="E91" s="1497" t="s">
        <v>1285</v>
      </c>
      <c r="F91" s="1498">
        <v>0</v>
      </c>
    </row>
    <row r="92" spans="1:6">
      <c r="A92" s="2568"/>
      <c r="B92" s="2555"/>
      <c r="C92" s="2556"/>
      <c r="D92" s="2556"/>
      <c r="E92" s="1497" t="s">
        <v>1284</v>
      </c>
      <c r="F92" s="1498">
        <v>0</v>
      </c>
    </row>
    <row r="93" spans="1:6">
      <c r="A93" s="2568"/>
      <c r="B93" s="2555"/>
      <c r="C93" s="2556"/>
      <c r="D93" s="2556"/>
      <c r="E93" s="1497" t="s">
        <v>1382</v>
      </c>
      <c r="F93" s="1498">
        <v>1</v>
      </c>
    </row>
    <row r="94" spans="1:6">
      <c r="A94" s="2568"/>
      <c r="B94" s="2555"/>
      <c r="C94" s="2556"/>
      <c r="D94" s="2556"/>
      <c r="E94" s="1497" t="s">
        <v>1280</v>
      </c>
      <c r="F94" s="1498">
        <v>1</v>
      </c>
    </row>
    <row r="95" spans="1:6">
      <c r="A95" s="2557" t="s">
        <v>1396</v>
      </c>
      <c r="B95" s="2555" t="s">
        <v>1282</v>
      </c>
      <c r="C95" s="2556" t="s">
        <v>1395</v>
      </c>
      <c r="D95" s="2556" t="s">
        <v>954</v>
      </c>
      <c r="E95" s="1497" t="s">
        <v>1285</v>
      </c>
      <c r="F95" s="1498">
        <v>0</v>
      </c>
    </row>
    <row r="96" spans="1:6">
      <c r="A96" s="2557"/>
      <c r="B96" s="2555"/>
      <c r="C96" s="2556"/>
      <c r="D96" s="2556"/>
      <c r="E96" s="1497" t="s">
        <v>1284</v>
      </c>
      <c r="F96" s="1498">
        <v>0</v>
      </c>
    </row>
    <row r="97" spans="1:6">
      <c r="A97" s="2557"/>
      <c r="B97" s="2555"/>
      <c r="C97" s="2556"/>
      <c r="D97" s="2556"/>
      <c r="E97" s="1497" t="s">
        <v>1382</v>
      </c>
      <c r="F97" s="1498">
        <v>1</v>
      </c>
    </row>
    <row r="98" spans="1:6">
      <c r="A98" s="2557"/>
      <c r="B98" s="2555"/>
      <c r="C98" s="2556"/>
      <c r="D98" s="2556"/>
      <c r="E98" s="1497" t="s">
        <v>1280</v>
      </c>
      <c r="F98" s="1498">
        <v>0</v>
      </c>
    </row>
    <row r="99" spans="1:6">
      <c r="A99" s="2557" t="s">
        <v>1397</v>
      </c>
      <c r="B99" s="2555" t="s">
        <v>1282</v>
      </c>
      <c r="C99" s="2556" t="s">
        <v>1307</v>
      </c>
      <c r="D99" s="2556" t="s">
        <v>954</v>
      </c>
      <c r="E99" s="1497" t="s">
        <v>1285</v>
      </c>
      <c r="F99" s="1498">
        <v>0</v>
      </c>
    </row>
    <row r="100" spans="1:6">
      <c r="A100" s="2557"/>
      <c r="B100" s="2555"/>
      <c r="C100" s="2556"/>
      <c r="D100" s="2556"/>
      <c r="E100" s="1497" t="s">
        <v>1284</v>
      </c>
      <c r="F100" s="1498">
        <v>0</v>
      </c>
    </row>
    <row r="101" spans="1:6">
      <c r="A101" s="2557"/>
      <c r="B101" s="2555"/>
      <c r="C101" s="2556"/>
      <c r="D101" s="2556"/>
      <c r="E101" s="1497" t="s">
        <v>1382</v>
      </c>
      <c r="F101" s="1498">
        <v>0</v>
      </c>
    </row>
    <row r="102" spans="1:6">
      <c r="A102" s="2557"/>
      <c r="B102" s="2555"/>
      <c r="C102" s="2556"/>
      <c r="D102" s="2556"/>
      <c r="E102" s="1497" t="s">
        <v>1280</v>
      </c>
      <c r="F102" s="1498">
        <v>0</v>
      </c>
    </row>
    <row r="103" spans="1:6">
      <c r="A103" s="2555" t="s">
        <v>1398</v>
      </c>
      <c r="B103" s="2555" t="s">
        <v>1287</v>
      </c>
      <c r="C103" s="2556" t="s">
        <v>1307</v>
      </c>
      <c r="D103" s="2556" t="s">
        <v>954</v>
      </c>
      <c r="E103" s="1497" t="s">
        <v>1285</v>
      </c>
      <c r="F103" s="1498">
        <v>0</v>
      </c>
    </row>
    <row r="104" spans="1:6">
      <c r="A104" s="2555"/>
      <c r="B104" s="2555"/>
      <c r="C104" s="2556"/>
      <c r="D104" s="2556"/>
      <c r="E104" s="1497" t="s">
        <v>1284</v>
      </c>
      <c r="F104" s="1498">
        <v>0</v>
      </c>
    </row>
    <row r="105" spans="1:6">
      <c r="A105" s="2555"/>
      <c r="B105" s="2555"/>
      <c r="C105" s="2556"/>
      <c r="D105" s="2556"/>
      <c r="E105" s="1497" t="s">
        <v>1382</v>
      </c>
      <c r="F105" s="1498">
        <v>2</v>
      </c>
    </row>
    <row r="106" spans="1:6">
      <c r="A106" s="2555"/>
      <c r="B106" s="2555"/>
      <c r="C106" s="2556"/>
      <c r="D106" s="2556"/>
      <c r="E106" s="1497" t="s">
        <v>1280</v>
      </c>
      <c r="F106" s="1498">
        <v>0</v>
      </c>
    </row>
    <row r="107" spans="1:6">
      <c r="A107" s="2555"/>
      <c r="B107" s="2555"/>
      <c r="C107" s="2556"/>
      <c r="D107" s="2556"/>
      <c r="E107" s="1497" t="s">
        <v>237</v>
      </c>
      <c r="F107" s="1498">
        <v>0</v>
      </c>
    </row>
  </sheetData>
  <mergeCells count="116">
    <mergeCell ref="A99:A102"/>
    <mergeCell ref="B99:B102"/>
    <mergeCell ref="C99:C102"/>
    <mergeCell ref="D99:D102"/>
    <mergeCell ref="A103:A107"/>
    <mergeCell ref="B103:B107"/>
    <mergeCell ref="C103:C107"/>
    <mergeCell ref="D103:D107"/>
    <mergeCell ref="A91:A94"/>
    <mergeCell ref="B91:B94"/>
    <mergeCell ref="C91:C94"/>
    <mergeCell ref="D91:D94"/>
    <mergeCell ref="A95:A98"/>
    <mergeCell ref="B95:B98"/>
    <mergeCell ref="C95:C98"/>
    <mergeCell ref="D95:D98"/>
    <mergeCell ref="A86:A87"/>
    <mergeCell ref="B86:B87"/>
    <mergeCell ref="C86:C87"/>
    <mergeCell ref="D86:D87"/>
    <mergeCell ref="A88:A90"/>
    <mergeCell ref="B88:B90"/>
    <mergeCell ref="C88:C90"/>
    <mergeCell ref="D88:D90"/>
    <mergeCell ref="A79:A82"/>
    <mergeCell ref="B79:B82"/>
    <mergeCell ref="C79:C82"/>
    <mergeCell ref="D79:D82"/>
    <mergeCell ref="A83:A85"/>
    <mergeCell ref="B83:B85"/>
    <mergeCell ref="C83:C85"/>
    <mergeCell ref="D83:D85"/>
    <mergeCell ref="A74:A76"/>
    <mergeCell ref="B74:B76"/>
    <mergeCell ref="C74:C76"/>
    <mergeCell ref="D74:D76"/>
    <mergeCell ref="A77:A78"/>
    <mergeCell ref="B77:B78"/>
    <mergeCell ref="C77:C78"/>
    <mergeCell ref="D77:D78"/>
    <mergeCell ref="A68:A70"/>
    <mergeCell ref="B68:B70"/>
    <mergeCell ref="C68:C70"/>
    <mergeCell ref="D68:D70"/>
    <mergeCell ref="A71:A73"/>
    <mergeCell ref="B71:B73"/>
    <mergeCell ref="C71:C73"/>
    <mergeCell ref="D71:D73"/>
    <mergeCell ref="A62:A64"/>
    <mergeCell ref="B62:B64"/>
    <mergeCell ref="C62:C64"/>
    <mergeCell ref="D62:D64"/>
    <mergeCell ref="A65:A67"/>
    <mergeCell ref="B65:B67"/>
    <mergeCell ref="C65:C67"/>
    <mergeCell ref="D65:D67"/>
    <mergeCell ref="A58:F58"/>
    <mergeCell ref="A60:A61"/>
    <mergeCell ref="B60:B61"/>
    <mergeCell ref="C60:C61"/>
    <mergeCell ref="D60:D61"/>
    <mergeCell ref="A18:B20"/>
    <mergeCell ref="F18:H20"/>
    <mergeCell ref="B2:D2"/>
    <mergeCell ref="B3:D3"/>
    <mergeCell ref="B4:D4"/>
    <mergeCell ref="B6:D6"/>
    <mergeCell ref="B8:D8"/>
    <mergeCell ref="A10:B10"/>
    <mergeCell ref="C10:H10"/>
    <mergeCell ref="E12:H13"/>
    <mergeCell ref="A14:B14"/>
    <mergeCell ref="F14:H14"/>
    <mergeCell ref="A15:B17"/>
    <mergeCell ref="F15:H17"/>
    <mergeCell ref="A21:B22"/>
    <mergeCell ref="F21:H22"/>
    <mergeCell ref="A23:B25"/>
    <mergeCell ref="F23:H25"/>
    <mergeCell ref="A26:C26"/>
    <mergeCell ref="F26:H26"/>
    <mergeCell ref="A27:B29"/>
    <mergeCell ref="F27:H29"/>
    <mergeCell ref="A30:B32"/>
    <mergeCell ref="F30:H32"/>
    <mergeCell ref="A33:B33"/>
    <mergeCell ref="F33:H33"/>
    <mergeCell ref="A34:B34"/>
    <mergeCell ref="F34:H34"/>
    <mergeCell ref="A35:B36"/>
    <mergeCell ref="F35:H36"/>
    <mergeCell ref="A37:B39"/>
    <mergeCell ref="F37:H37"/>
    <mergeCell ref="F38:H38"/>
    <mergeCell ref="F39:H39"/>
    <mergeCell ref="A40:B42"/>
    <mergeCell ref="F40:H41"/>
    <mergeCell ref="F42:H42"/>
    <mergeCell ref="A43:C43"/>
    <mergeCell ref="F43:H43"/>
    <mergeCell ref="A44:C44"/>
    <mergeCell ref="F44:H44"/>
    <mergeCell ref="A45:B48"/>
    <mergeCell ref="F45:H45"/>
    <mergeCell ref="F46:H46"/>
    <mergeCell ref="F47:H47"/>
    <mergeCell ref="F48:H48"/>
    <mergeCell ref="A51:B53"/>
    <mergeCell ref="F51:H51"/>
    <mergeCell ref="F52:H52"/>
    <mergeCell ref="F53:H53"/>
    <mergeCell ref="A54:B54"/>
    <mergeCell ref="F54:H54"/>
    <mergeCell ref="A49:B50"/>
    <mergeCell ref="F49:H49"/>
    <mergeCell ref="F50:H50"/>
  </mergeCells>
  <dataValidations count="3">
    <dataValidation type="list" allowBlank="1" showErrorMessage="1" sqref="H3">
      <formula1>$N$4:$N$5</formula1>
    </dataValidation>
    <dataValidation type="list" allowBlank="1" showErrorMessage="1" sqref="H2">
      <formula1>$N$2:$N$3</formula1>
    </dataValidation>
    <dataValidation type="list" allowBlank="1" showErrorMessage="1" sqref="H8">
      <formula1>"Enjeu EAU AESN,Enjeu EAU AEAP,Enjeu ZH et prairies AEAP,Enjeu Erosion AEAP,Enjeu Biodiversité MASA"</formula1>
    </dataValidation>
  </dataValidations>
  <hyperlinks>
    <hyperlink ref="J2" location="SOMMAIRE!A1" display="Retour sommaire"/>
    <hyperlink ref="J4" location="SYNTHESE!A1" display="Retour synthèse"/>
  </hyperlink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7E4FF"/>
  </sheetPr>
  <dimension ref="A1:W72"/>
  <sheetViews>
    <sheetView topLeftCell="A34" zoomScaleNormal="100" workbookViewId="0">
      <selection activeCell="C10" sqref="C10:H10"/>
    </sheetView>
  </sheetViews>
  <sheetFormatPr baseColWidth="10" defaultRowHeight="15"/>
  <cols>
    <col min="1" max="1" width="20.42578125" style="8" bestFit="1" customWidth="1"/>
    <col min="2" max="2" width="15.7109375" style="8" customWidth="1"/>
    <col min="3" max="3" width="40" style="8" customWidth="1"/>
    <col min="4" max="5" width="7.5703125" style="8" customWidth="1"/>
    <col min="6" max="6" width="16.28515625" style="8" bestFit="1" customWidth="1"/>
    <col min="7" max="7" width="27" style="8" customWidth="1"/>
    <col min="8" max="8" width="15.140625" style="2" bestFit="1" customWidth="1"/>
    <col min="9" max="9" width="5.7109375" customWidth="1"/>
    <col min="10" max="10" width="18.42578125" bestFit="1" customWidth="1"/>
  </cols>
  <sheetData>
    <row r="1" spans="1:23" ht="15.75" thickBot="1">
      <c r="A1" s="327"/>
      <c r="B1" s="327"/>
      <c r="C1" s="327"/>
      <c r="D1" s="327"/>
      <c r="E1" s="327"/>
      <c r="F1" s="327"/>
      <c r="G1" s="327"/>
      <c r="H1" s="327"/>
      <c r="J1" s="13" t="s">
        <v>381</v>
      </c>
    </row>
    <row r="2" spans="1:23" ht="15.75" customHeight="1" thickBot="1">
      <c r="A2" s="328" t="s">
        <v>0</v>
      </c>
      <c r="B2" s="1807" t="s">
        <v>413</v>
      </c>
      <c r="C2" s="1776"/>
      <c r="D2" s="1777"/>
      <c r="E2" s="329"/>
      <c r="F2" s="329"/>
      <c r="G2" s="330" t="s">
        <v>462</v>
      </c>
      <c r="H2" s="112" t="s">
        <v>14</v>
      </c>
    </row>
    <row r="3" spans="1:23" ht="15.75" thickBot="1">
      <c r="A3" s="331" t="s">
        <v>344</v>
      </c>
      <c r="B3" s="1808" t="s">
        <v>79</v>
      </c>
      <c r="C3" s="1776"/>
      <c r="D3" s="1777"/>
      <c r="E3" s="329"/>
      <c r="F3" s="329"/>
      <c r="G3" s="332" t="s">
        <v>10</v>
      </c>
      <c r="H3" s="112" t="s">
        <v>16</v>
      </c>
    </row>
    <row r="4" spans="1:23" ht="30" customHeight="1" thickBot="1">
      <c r="A4" s="332" t="s">
        <v>3</v>
      </c>
      <c r="B4" s="1809" t="s">
        <v>585</v>
      </c>
      <c r="C4" s="1776"/>
      <c r="D4" s="1777"/>
      <c r="E4" s="333"/>
      <c r="F4" s="329"/>
      <c r="G4" s="334" t="s">
        <v>26</v>
      </c>
      <c r="H4" s="117">
        <v>10</v>
      </c>
      <c r="J4" s="32" t="s">
        <v>73</v>
      </c>
    </row>
    <row r="5" spans="1:23" ht="15.75" thickBot="1">
      <c r="A5" s="329"/>
      <c r="B5" s="329"/>
      <c r="C5" s="329"/>
      <c r="D5" s="329"/>
      <c r="E5" s="329"/>
      <c r="F5" s="329"/>
      <c r="G5" s="329"/>
      <c r="H5" s="329"/>
    </row>
    <row r="6" spans="1:23" ht="75.75" thickBot="1">
      <c r="A6" s="328" t="s">
        <v>465</v>
      </c>
      <c r="B6" s="1810" t="s">
        <v>1563</v>
      </c>
      <c r="C6" s="1811"/>
      <c r="D6" s="1812"/>
      <c r="E6" s="329"/>
      <c r="F6" s="329"/>
      <c r="G6" s="335" t="s">
        <v>466</v>
      </c>
      <c r="H6" s="336" t="s">
        <v>586</v>
      </c>
    </row>
    <row r="7" spans="1:23" ht="30.75" customHeight="1" thickBot="1">
      <c r="A7" s="327"/>
      <c r="B7" s="329"/>
      <c r="C7" s="329"/>
      <c r="D7" s="329"/>
      <c r="E7" s="329"/>
      <c r="F7" s="329"/>
      <c r="G7" s="337"/>
      <c r="H7" s="329"/>
      <c r="J7" s="1326"/>
    </row>
    <row r="8" spans="1:23" ht="30.75" thickBot="1">
      <c r="A8" s="338" t="s">
        <v>7</v>
      </c>
      <c r="B8" s="1809" t="s">
        <v>587</v>
      </c>
      <c r="C8" s="1776"/>
      <c r="D8" s="1777"/>
      <c r="E8" s="333"/>
      <c r="F8" s="339"/>
      <c r="G8" s="338" t="s">
        <v>469</v>
      </c>
      <c r="H8" s="123" t="s">
        <v>537</v>
      </c>
    </row>
    <row r="9" spans="1:23">
      <c r="A9" s="327"/>
      <c r="B9" s="329"/>
      <c r="C9" s="329"/>
      <c r="D9" s="329"/>
      <c r="E9" s="329"/>
      <c r="F9" s="329"/>
      <c r="G9" s="337"/>
      <c r="H9" s="329"/>
    </row>
    <row r="10" spans="1:23" ht="80.25" customHeight="1">
      <c r="A10" s="1813" t="s">
        <v>471</v>
      </c>
      <c r="B10" s="1772"/>
      <c r="C10" s="1805" t="s">
        <v>588</v>
      </c>
      <c r="D10" s="1806"/>
      <c r="E10" s="1806"/>
      <c r="F10" s="1806"/>
      <c r="G10" s="1806"/>
      <c r="H10" s="1806"/>
      <c r="J10" s="19"/>
      <c r="K10" s="19"/>
    </row>
    <row r="11" spans="1:23" ht="15" customHeight="1">
      <c r="A11" s="343"/>
      <c r="B11" s="333"/>
      <c r="C11" s="333"/>
      <c r="D11" s="333"/>
      <c r="E11" s="333"/>
      <c r="F11" s="339"/>
      <c r="G11" s="342"/>
      <c r="H11" s="342"/>
    </row>
    <row r="12" spans="1:23" ht="15" customHeight="1">
      <c r="A12" s="343"/>
      <c r="B12" s="333"/>
      <c r="C12" s="333"/>
      <c r="D12" s="333"/>
      <c r="E12" s="1814" t="s">
        <v>473</v>
      </c>
      <c r="F12" s="1772"/>
      <c r="G12" s="1772"/>
      <c r="H12" s="1772"/>
    </row>
    <row r="13" spans="1:23" ht="15" customHeight="1">
      <c r="A13" s="329"/>
      <c r="B13" s="329"/>
      <c r="C13" s="329"/>
      <c r="D13" s="329"/>
      <c r="E13" s="1780"/>
      <c r="F13" s="1780"/>
      <c r="G13" s="1780"/>
      <c r="H13" s="1780"/>
      <c r="I13" s="1817">
        <v>2025</v>
      </c>
      <c r="J13" s="1762"/>
      <c r="K13" s="1762"/>
      <c r="L13" s="1762"/>
      <c r="M13" s="1764"/>
      <c r="N13" s="1817">
        <v>2026</v>
      </c>
      <c r="O13" s="1762"/>
      <c r="P13" s="1762"/>
      <c r="Q13" s="1762"/>
      <c r="R13" s="1764"/>
      <c r="S13" s="1817">
        <v>2027</v>
      </c>
      <c r="T13" s="1762"/>
      <c r="U13" s="1762"/>
      <c r="V13" s="1762"/>
      <c r="W13" s="1764"/>
    </row>
    <row r="14" spans="1:23" ht="30" customHeight="1" thickBot="1">
      <c r="A14" s="1816" t="s">
        <v>5</v>
      </c>
      <c r="B14" s="1792"/>
      <c r="C14" s="344" t="s">
        <v>1</v>
      </c>
      <c r="D14" s="344" t="s">
        <v>260</v>
      </c>
      <c r="E14" s="345" t="s">
        <v>474</v>
      </c>
      <c r="F14" s="1815" t="s">
        <v>6</v>
      </c>
      <c r="G14" s="1762"/>
      <c r="H14" s="1764"/>
      <c r="I14" s="643" t="s">
        <v>474</v>
      </c>
      <c r="J14" s="644" t="s">
        <v>944</v>
      </c>
      <c r="K14" s="645" t="s">
        <v>945</v>
      </c>
      <c r="L14" s="644" t="s">
        <v>946</v>
      </c>
      <c r="M14" s="646" t="s">
        <v>947</v>
      </c>
      <c r="N14" s="643" t="s">
        <v>474</v>
      </c>
      <c r="O14" s="644" t="s">
        <v>944</v>
      </c>
      <c r="P14" s="645" t="s">
        <v>945</v>
      </c>
      <c r="Q14" s="644" t="s">
        <v>946</v>
      </c>
      <c r="R14" s="646" t="s">
        <v>947</v>
      </c>
      <c r="S14" s="643" t="s">
        <v>474</v>
      </c>
      <c r="T14" s="644" t="s">
        <v>944</v>
      </c>
      <c r="U14" s="645" t="s">
        <v>945</v>
      </c>
      <c r="V14" s="644" t="s">
        <v>946</v>
      </c>
      <c r="W14" s="646" t="s">
        <v>947</v>
      </c>
    </row>
    <row r="15" spans="1:23" ht="41.25" customHeight="1">
      <c r="A15" s="1804" t="s">
        <v>17</v>
      </c>
      <c r="B15" s="1771"/>
      <c r="C15" s="346" t="s">
        <v>59</v>
      </c>
      <c r="D15" s="347" t="s">
        <v>251</v>
      </c>
      <c r="E15" s="348"/>
      <c r="F15" s="1791" t="s">
        <v>475</v>
      </c>
      <c r="G15" s="1771"/>
      <c r="H15" s="1792"/>
      <c r="I15" s="650"/>
      <c r="J15" s="648"/>
      <c r="K15" s="648"/>
      <c r="L15" s="648"/>
      <c r="M15" s="649"/>
      <c r="N15" s="650"/>
      <c r="O15" s="648"/>
      <c r="P15" s="648"/>
      <c r="Q15" s="648"/>
      <c r="R15" s="649"/>
      <c r="S15" s="650"/>
      <c r="T15" s="648"/>
      <c r="U15" s="648"/>
      <c r="V15" s="648"/>
      <c r="W15" s="651"/>
    </row>
    <row r="16" spans="1:23" ht="31.5" customHeight="1">
      <c r="A16" s="1772"/>
      <c r="B16" s="1772"/>
      <c r="C16" s="349" t="s">
        <v>18</v>
      </c>
      <c r="D16" s="350" t="s">
        <v>168</v>
      </c>
      <c r="E16" s="351"/>
      <c r="F16" s="1798"/>
      <c r="G16" s="1798"/>
      <c r="H16" s="1799"/>
      <c r="I16" s="653"/>
      <c r="J16" s="632"/>
      <c r="K16" s="632"/>
      <c r="L16" s="632"/>
      <c r="M16" s="632"/>
      <c r="N16" s="653"/>
      <c r="O16" s="632"/>
      <c r="P16" s="632"/>
      <c r="Q16" s="632"/>
      <c r="R16" s="632"/>
      <c r="S16" s="653"/>
      <c r="T16" s="632"/>
      <c r="U16" s="632"/>
      <c r="V16" s="632"/>
      <c r="W16" s="654"/>
    </row>
    <row r="17" spans="1:23" ht="15" customHeight="1" thickBot="1">
      <c r="A17" s="1780"/>
      <c r="B17" s="1780"/>
      <c r="C17" s="352" t="s">
        <v>19</v>
      </c>
      <c r="D17" s="353" t="s">
        <v>233</v>
      </c>
      <c r="E17" s="354"/>
      <c r="F17" s="1780"/>
      <c r="G17" s="1780"/>
      <c r="H17" s="1793"/>
      <c r="I17" s="656"/>
      <c r="J17" s="632"/>
      <c r="K17" s="632"/>
      <c r="L17" s="632"/>
      <c r="M17" s="632"/>
      <c r="N17" s="656"/>
      <c r="O17" s="632"/>
      <c r="P17" s="632"/>
      <c r="Q17" s="632"/>
      <c r="R17" s="632"/>
      <c r="S17" s="656"/>
      <c r="T17" s="632"/>
      <c r="U17" s="632"/>
      <c r="V17" s="632"/>
      <c r="W17" s="654"/>
    </row>
    <row r="18" spans="1:23" ht="15" customHeight="1">
      <c r="A18" s="1804" t="s">
        <v>20</v>
      </c>
      <c r="B18" s="1771"/>
      <c r="C18" s="346" t="s">
        <v>54</v>
      </c>
      <c r="D18" s="353" t="s">
        <v>261</v>
      </c>
      <c r="E18" s="354"/>
      <c r="F18" s="1791" t="s">
        <v>589</v>
      </c>
      <c r="G18" s="1771"/>
      <c r="H18" s="1792"/>
      <c r="I18" s="656"/>
      <c r="J18" s="632"/>
      <c r="K18" s="632"/>
      <c r="L18" s="632"/>
      <c r="M18" s="632"/>
      <c r="N18" s="656"/>
      <c r="O18" s="632"/>
      <c r="P18" s="632"/>
      <c r="Q18" s="632"/>
      <c r="R18" s="632"/>
      <c r="S18" s="656"/>
      <c r="T18" s="632"/>
      <c r="U18" s="632"/>
      <c r="V18" s="632"/>
      <c r="W18" s="654"/>
    </row>
    <row r="19" spans="1:23">
      <c r="A19" s="1772"/>
      <c r="B19" s="1772"/>
      <c r="C19" s="355" t="s">
        <v>21</v>
      </c>
      <c r="D19" s="353" t="s">
        <v>234</v>
      </c>
      <c r="E19" s="138" t="s">
        <v>554</v>
      </c>
      <c r="F19" s="1798"/>
      <c r="G19" s="1798"/>
      <c r="H19" s="1799"/>
      <c r="I19" s="656" t="s">
        <v>554</v>
      </c>
      <c r="J19" s="632"/>
      <c r="K19" s="632"/>
      <c r="L19" s="632"/>
      <c r="M19" s="632"/>
      <c r="N19" s="656"/>
      <c r="O19" s="632"/>
      <c r="P19" s="632"/>
      <c r="Q19" s="632"/>
      <c r="R19" s="632"/>
      <c r="S19" s="656"/>
      <c r="T19" s="632"/>
      <c r="U19" s="632"/>
      <c r="V19" s="632"/>
      <c r="W19" s="654"/>
    </row>
    <row r="20" spans="1:23" ht="30" customHeight="1" thickBot="1">
      <c r="A20" s="1772"/>
      <c r="B20" s="1772"/>
      <c r="C20" s="352" t="s">
        <v>22</v>
      </c>
      <c r="D20" s="353" t="s">
        <v>235</v>
      </c>
      <c r="E20" s="138" t="s">
        <v>554</v>
      </c>
      <c r="F20" s="1780"/>
      <c r="G20" s="1780"/>
      <c r="H20" s="1793"/>
      <c r="I20" s="656" t="s">
        <v>554</v>
      </c>
      <c r="J20" s="632">
        <v>1</v>
      </c>
      <c r="K20" s="632">
        <v>1</v>
      </c>
      <c r="L20" s="632"/>
      <c r="M20" s="632"/>
      <c r="N20" s="656"/>
      <c r="O20" s="632"/>
      <c r="P20" s="632"/>
      <c r="Q20" s="632"/>
      <c r="R20" s="632"/>
      <c r="S20" s="656"/>
      <c r="T20" s="632"/>
      <c r="U20" s="632"/>
      <c r="V20" s="632"/>
      <c r="W20" s="654"/>
    </row>
    <row r="21" spans="1:23" ht="30">
      <c r="A21" s="1804" t="s">
        <v>23</v>
      </c>
      <c r="B21" s="1771"/>
      <c r="C21" s="356" t="s">
        <v>69</v>
      </c>
      <c r="D21" s="353" t="s">
        <v>267</v>
      </c>
      <c r="E21" s="354"/>
      <c r="F21" s="1791" t="s">
        <v>590</v>
      </c>
      <c r="G21" s="1771"/>
      <c r="H21" s="1792"/>
      <c r="I21" s="656"/>
      <c r="J21" s="632"/>
      <c r="K21" s="632"/>
      <c r="L21" s="632"/>
      <c r="M21" s="632"/>
      <c r="N21" s="656"/>
      <c r="O21" s="632"/>
      <c r="P21" s="632"/>
      <c r="Q21" s="632"/>
      <c r="R21" s="632"/>
      <c r="S21" s="656"/>
      <c r="T21" s="632"/>
      <c r="U21" s="632"/>
      <c r="V21" s="632"/>
      <c r="W21" s="654"/>
    </row>
    <row r="22" spans="1:23" ht="30.75" thickBot="1">
      <c r="A22" s="1780"/>
      <c r="B22" s="1780"/>
      <c r="C22" s="357" t="s">
        <v>24</v>
      </c>
      <c r="D22" s="358" t="s">
        <v>236</v>
      </c>
      <c r="E22" s="138" t="s">
        <v>554</v>
      </c>
      <c r="F22" s="1780"/>
      <c r="G22" s="1780"/>
      <c r="H22" s="1793"/>
      <c r="I22" s="656" t="s">
        <v>554</v>
      </c>
      <c r="J22" s="632"/>
      <c r="K22" s="632"/>
      <c r="L22" s="632"/>
      <c r="M22" s="632"/>
      <c r="N22" s="656"/>
      <c r="O22" s="632"/>
      <c r="P22" s="632"/>
      <c r="Q22" s="632"/>
      <c r="R22" s="632"/>
      <c r="S22" s="656"/>
      <c r="T22" s="632"/>
      <c r="U22" s="632"/>
      <c r="V22" s="632"/>
      <c r="W22" s="654"/>
    </row>
    <row r="23" spans="1:23" ht="15.75">
      <c r="A23" s="1801" t="s">
        <v>478</v>
      </c>
      <c r="B23" s="1792"/>
      <c r="C23" s="359" t="s">
        <v>360</v>
      </c>
      <c r="D23" s="358" t="s">
        <v>265</v>
      </c>
      <c r="E23" s="354"/>
      <c r="F23" s="1791" t="s">
        <v>477</v>
      </c>
      <c r="G23" s="1771"/>
      <c r="H23" s="1792"/>
      <c r="I23" s="656"/>
      <c r="J23" s="632"/>
      <c r="K23" s="632"/>
      <c r="L23" s="632"/>
      <c r="M23" s="632"/>
      <c r="N23" s="656"/>
      <c r="O23" s="632"/>
      <c r="P23" s="632"/>
      <c r="Q23" s="632"/>
      <c r="R23" s="632"/>
      <c r="S23" s="656"/>
      <c r="T23" s="632"/>
      <c r="U23" s="632"/>
      <c r="V23" s="632"/>
      <c r="W23" s="654"/>
    </row>
    <row r="24" spans="1:23" ht="15.75">
      <c r="A24" s="1779"/>
      <c r="B24" s="1799"/>
      <c r="C24" s="360" t="s">
        <v>361</v>
      </c>
      <c r="D24" s="358" t="s">
        <v>362</v>
      </c>
      <c r="E24" s="354"/>
      <c r="F24" s="1798"/>
      <c r="G24" s="1798"/>
      <c r="H24" s="1799"/>
      <c r="I24" s="656"/>
      <c r="J24" s="632"/>
      <c r="K24" s="632"/>
      <c r="L24" s="632"/>
      <c r="M24" s="632"/>
      <c r="N24" s="656"/>
      <c r="O24" s="632"/>
      <c r="P24" s="632"/>
      <c r="Q24" s="632"/>
      <c r="R24" s="632"/>
      <c r="S24" s="656"/>
      <c r="T24" s="632"/>
      <c r="U24" s="632"/>
      <c r="V24" s="632"/>
      <c r="W24" s="654"/>
    </row>
    <row r="25" spans="1:23" ht="16.5" thickBot="1">
      <c r="A25" s="1779"/>
      <c r="B25" s="1799"/>
      <c r="C25" s="361" t="s">
        <v>479</v>
      </c>
      <c r="D25" s="358" t="s">
        <v>480</v>
      </c>
      <c r="E25" s="354"/>
      <c r="F25" s="1780"/>
      <c r="G25" s="1780"/>
      <c r="H25" s="1793"/>
      <c r="I25" s="656"/>
      <c r="J25" s="632"/>
      <c r="K25" s="632"/>
      <c r="L25" s="632"/>
      <c r="M25" s="632"/>
      <c r="N25" s="656"/>
      <c r="O25" s="632"/>
      <c r="P25" s="632"/>
      <c r="Q25" s="632"/>
      <c r="R25" s="632"/>
      <c r="S25" s="656"/>
      <c r="T25" s="632"/>
      <c r="U25" s="632"/>
      <c r="V25" s="632"/>
      <c r="W25" s="654"/>
    </row>
    <row r="26" spans="1:23" ht="58.5" customHeight="1" thickBot="1">
      <c r="A26" s="1802" t="s">
        <v>25</v>
      </c>
      <c r="B26" s="1776"/>
      <c r="C26" s="1777"/>
      <c r="D26" s="362" t="s">
        <v>270</v>
      </c>
      <c r="E26" s="138" t="s">
        <v>554</v>
      </c>
      <c r="F26" s="1763" t="s">
        <v>590</v>
      </c>
      <c r="G26" s="1762"/>
      <c r="H26" s="1764"/>
      <c r="I26" s="656" t="s">
        <v>554</v>
      </c>
      <c r="J26" s="632"/>
      <c r="K26" s="632"/>
      <c r="L26" s="632"/>
      <c r="M26" s="632"/>
      <c r="N26" s="656"/>
      <c r="O26" s="632"/>
      <c r="P26" s="632"/>
      <c r="Q26" s="632"/>
      <c r="R26" s="632"/>
      <c r="S26" s="656"/>
      <c r="T26" s="632"/>
      <c r="U26" s="632"/>
      <c r="V26" s="632"/>
      <c r="W26" s="654"/>
    </row>
    <row r="27" spans="1:23" ht="15.75">
      <c r="A27" s="1803" t="s">
        <v>153</v>
      </c>
      <c r="B27" s="1788"/>
      <c r="C27" s="363" t="s">
        <v>152</v>
      </c>
      <c r="D27" s="364" t="s">
        <v>268</v>
      </c>
      <c r="E27" s="354"/>
      <c r="F27" s="1791" t="s">
        <v>475</v>
      </c>
      <c r="G27" s="1771"/>
      <c r="H27" s="1792"/>
      <c r="I27" s="656"/>
      <c r="J27" s="632"/>
      <c r="K27" s="632"/>
      <c r="L27" s="632"/>
      <c r="M27" s="632"/>
      <c r="N27" s="656"/>
      <c r="O27" s="632"/>
      <c r="P27" s="632"/>
      <c r="Q27" s="632"/>
      <c r="R27" s="632"/>
      <c r="S27" s="656"/>
      <c r="T27" s="632"/>
      <c r="U27" s="632"/>
      <c r="V27" s="632"/>
      <c r="W27" s="654"/>
    </row>
    <row r="28" spans="1:23" ht="15.75">
      <c r="A28" s="1779"/>
      <c r="B28" s="1788"/>
      <c r="C28" s="365" t="s">
        <v>154</v>
      </c>
      <c r="D28" s="364" t="s">
        <v>392</v>
      </c>
      <c r="E28" s="354"/>
      <c r="F28" s="1798"/>
      <c r="G28" s="1798"/>
      <c r="H28" s="1799"/>
      <c r="I28" s="656"/>
      <c r="J28" s="632"/>
      <c r="K28" s="632"/>
      <c r="L28" s="632"/>
      <c r="M28" s="632"/>
      <c r="N28" s="656"/>
      <c r="O28" s="632"/>
      <c r="P28" s="632"/>
      <c r="Q28" s="632"/>
      <c r="R28" s="632"/>
      <c r="S28" s="656"/>
      <c r="T28" s="632"/>
      <c r="U28" s="632"/>
      <c r="V28" s="632"/>
      <c r="W28" s="654"/>
    </row>
    <row r="29" spans="1:23" ht="16.5" thickBot="1">
      <c r="A29" s="1767"/>
      <c r="B29" s="1768"/>
      <c r="C29" s="366" t="s">
        <v>400</v>
      </c>
      <c r="D29" s="364" t="s">
        <v>393</v>
      </c>
      <c r="E29" s="354"/>
      <c r="F29" s="1780"/>
      <c r="G29" s="1780"/>
      <c r="H29" s="1793"/>
      <c r="I29" s="656"/>
      <c r="J29" s="632"/>
      <c r="K29" s="632"/>
      <c r="L29" s="632"/>
      <c r="M29" s="632"/>
      <c r="N29" s="656"/>
      <c r="O29" s="632"/>
      <c r="P29" s="632"/>
      <c r="Q29" s="632"/>
      <c r="R29" s="632"/>
      <c r="S29" s="656"/>
      <c r="T29" s="632"/>
      <c r="U29" s="632"/>
      <c r="V29" s="632"/>
      <c r="W29" s="654"/>
    </row>
    <row r="30" spans="1:23" ht="15.75">
      <c r="A30" s="1797" t="s">
        <v>153</v>
      </c>
      <c r="B30" s="1766"/>
      <c r="C30" s="367" t="s">
        <v>155</v>
      </c>
      <c r="D30" s="364" t="s">
        <v>266</v>
      </c>
      <c r="E30" s="354"/>
      <c r="F30" s="1791" t="s">
        <v>475</v>
      </c>
      <c r="G30" s="1771"/>
      <c r="H30" s="1792"/>
      <c r="I30" s="656"/>
      <c r="J30" s="632"/>
      <c r="K30" s="632"/>
      <c r="L30" s="632"/>
      <c r="M30" s="632"/>
      <c r="N30" s="656"/>
      <c r="O30" s="632"/>
      <c r="P30" s="632"/>
      <c r="Q30" s="632"/>
      <c r="R30" s="632"/>
      <c r="S30" s="656"/>
      <c r="T30" s="632"/>
      <c r="U30" s="632"/>
      <c r="V30" s="632"/>
      <c r="W30" s="654"/>
    </row>
    <row r="31" spans="1:23" ht="15.75">
      <c r="A31" s="1779"/>
      <c r="B31" s="1788"/>
      <c r="C31" s="365" t="s">
        <v>156</v>
      </c>
      <c r="D31" s="364" t="s">
        <v>394</v>
      </c>
      <c r="E31" s="354"/>
      <c r="F31" s="1798"/>
      <c r="G31" s="1798"/>
      <c r="H31" s="1799"/>
      <c r="I31" s="656"/>
      <c r="J31" s="632"/>
      <c r="K31" s="632"/>
      <c r="L31" s="632"/>
      <c r="M31" s="632"/>
      <c r="N31" s="656"/>
      <c r="O31" s="632"/>
      <c r="P31" s="632"/>
      <c r="Q31" s="632"/>
      <c r="R31" s="632"/>
      <c r="S31" s="656"/>
      <c r="T31" s="632"/>
      <c r="U31" s="632"/>
      <c r="V31" s="632"/>
      <c r="W31" s="654"/>
    </row>
    <row r="32" spans="1:23" ht="16.5" thickBot="1">
      <c r="A32" s="1767"/>
      <c r="B32" s="1768"/>
      <c r="C32" s="366" t="s">
        <v>399</v>
      </c>
      <c r="D32" s="364" t="s">
        <v>395</v>
      </c>
      <c r="E32" s="354"/>
      <c r="F32" s="1780"/>
      <c r="G32" s="1780"/>
      <c r="H32" s="1793"/>
      <c r="I32" s="656"/>
      <c r="J32" s="632"/>
      <c r="K32" s="632"/>
      <c r="L32" s="632"/>
      <c r="M32" s="632"/>
      <c r="N32" s="656"/>
      <c r="O32" s="632"/>
      <c r="P32" s="632"/>
      <c r="Q32" s="632"/>
      <c r="R32" s="632"/>
      <c r="S32" s="656"/>
      <c r="T32" s="632"/>
      <c r="U32" s="632"/>
      <c r="V32" s="632"/>
      <c r="W32" s="654"/>
    </row>
    <row r="33" spans="1:23" ht="16.5" thickBot="1">
      <c r="A33" s="1797" t="s">
        <v>482</v>
      </c>
      <c r="B33" s="1766"/>
      <c r="C33" s="367" t="s">
        <v>365</v>
      </c>
      <c r="D33" s="364" t="s">
        <v>252</v>
      </c>
      <c r="E33" s="354"/>
      <c r="F33" s="1791" t="s">
        <v>483</v>
      </c>
      <c r="G33" s="1771"/>
      <c r="H33" s="1792"/>
      <c r="I33" s="656"/>
      <c r="J33" s="632"/>
      <c r="K33" s="632"/>
      <c r="L33" s="632"/>
      <c r="M33" s="632"/>
      <c r="N33" s="656"/>
      <c r="O33" s="632"/>
      <c r="P33" s="632"/>
      <c r="Q33" s="632"/>
      <c r="R33" s="632"/>
      <c r="S33" s="656"/>
      <c r="T33" s="632"/>
      <c r="U33" s="632"/>
      <c r="V33" s="632"/>
      <c r="W33" s="654"/>
    </row>
    <row r="34" spans="1:23" ht="16.5" thickBot="1">
      <c r="A34" s="1797" t="s">
        <v>484</v>
      </c>
      <c r="B34" s="1766"/>
      <c r="C34" s="367" t="s">
        <v>485</v>
      </c>
      <c r="D34" s="364" t="s">
        <v>264</v>
      </c>
      <c r="E34" s="138"/>
      <c r="F34" s="1800"/>
      <c r="G34" s="1771"/>
      <c r="H34" s="1792"/>
      <c r="I34" s="656"/>
      <c r="J34" s="632"/>
      <c r="K34" s="632"/>
      <c r="L34" s="632"/>
      <c r="M34" s="632"/>
      <c r="N34" s="656"/>
      <c r="O34" s="632"/>
      <c r="P34" s="632"/>
      <c r="Q34" s="632"/>
      <c r="R34" s="632"/>
      <c r="S34" s="656"/>
      <c r="T34" s="632"/>
      <c r="U34" s="632"/>
      <c r="V34" s="632"/>
      <c r="W34" s="654"/>
    </row>
    <row r="35" spans="1:23" ht="15.75">
      <c r="A35" s="1795" t="s">
        <v>486</v>
      </c>
      <c r="B35" s="1766"/>
      <c r="C35" s="368" t="s">
        <v>43</v>
      </c>
      <c r="D35" s="369" t="s">
        <v>256</v>
      </c>
      <c r="E35" s="354"/>
      <c r="F35" s="1791" t="s">
        <v>487</v>
      </c>
      <c r="G35" s="1771"/>
      <c r="H35" s="1792"/>
      <c r="I35" s="656"/>
      <c r="J35" s="632"/>
      <c r="K35" s="632"/>
      <c r="L35" s="632"/>
      <c r="M35" s="632"/>
      <c r="N35" s="656"/>
      <c r="O35" s="632"/>
      <c r="P35" s="632"/>
      <c r="Q35" s="632"/>
      <c r="R35" s="632"/>
      <c r="S35" s="656"/>
      <c r="T35" s="632"/>
      <c r="U35" s="632"/>
      <c r="V35" s="632"/>
      <c r="W35" s="654"/>
    </row>
    <row r="36" spans="1:23" ht="16.5" thickBot="1">
      <c r="A36" s="1767"/>
      <c r="B36" s="1768"/>
      <c r="C36" s="370" t="s">
        <v>60</v>
      </c>
      <c r="D36" s="369" t="s">
        <v>257</v>
      </c>
      <c r="E36" s="354"/>
      <c r="F36" s="1780"/>
      <c r="G36" s="1780"/>
      <c r="H36" s="1793"/>
      <c r="I36" s="656"/>
      <c r="J36" s="632"/>
      <c r="K36" s="632"/>
      <c r="L36" s="632"/>
      <c r="M36" s="632"/>
      <c r="N36" s="656"/>
      <c r="O36" s="632"/>
      <c r="P36" s="632"/>
      <c r="Q36" s="632"/>
      <c r="R36" s="632"/>
      <c r="S36" s="656"/>
      <c r="T36" s="632"/>
      <c r="U36" s="632"/>
      <c r="V36" s="632"/>
      <c r="W36" s="654"/>
    </row>
    <row r="37" spans="1:23" ht="39" customHeight="1">
      <c r="A37" s="1796" t="s">
        <v>33</v>
      </c>
      <c r="B37" s="1771"/>
      <c r="C37" s="371" t="s">
        <v>30</v>
      </c>
      <c r="D37" s="372" t="s">
        <v>170</v>
      </c>
      <c r="E37" s="138" t="s">
        <v>554</v>
      </c>
      <c r="F37" s="1791" t="s">
        <v>591</v>
      </c>
      <c r="G37" s="1771"/>
      <c r="H37" s="1792"/>
      <c r="I37" s="656" t="s">
        <v>554</v>
      </c>
      <c r="J37" s="632"/>
      <c r="K37" s="632"/>
      <c r="L37" s="632"/>
      <c r="M37" s="632"/>
      <c r="N37" s="656"/>
      <c r="O37" s="632"/>
      <c r="P37" s="632"/>
      <c r="Q37" s="632"/>
      <c r="R37" s="632"/>
      <c r="S37" s="656"/>
      <c r="T37" s="632"/>
      <c r="U37" s="632"/>
      <c r="V37" s="632"/>
      <c r="W37" s="654"/>
    </row>
    <row r="38" spans="1:23" ht="30">
      <c r="A38" s="1779"/>
      <c r="B38" s="1772"/>
      <c r="C38" s="373" t="s">
        <v>31</v>
      </c>
      <c r="D38" s="372" t="s">
        <v>169</v>
      </c>
      <c r="E38" s="138" t="s">
        <v>554</v>
      </c>
      <c r="F38" s="1791" t="s">
        <v>592</v>
      </c>
      <c r="G38" s="1771"/>
      <c r="H38" s="1792"/>
      <c r="I38" s="656" t="s">
        <v>554</v>
      </c>
      <c r="J38" s="632"/>
      <c r="K38" s="632"/>
      <c r="L38" s="632"/>
      <c r="M38" s="632"/>
      <c r="N38" s="656"/>
      <c r="O38" s="632"/>
      <c r="P38" s="632"/>
      <c r="Q38" s="632"/>
      <c r="R38" s="632"/>
      <c r="S38" s="656"/>
      <c r="T38" s="632"/>
      <c r="U38" s="632"/>
      <c r="V38" s="632"/>
      <c r="W38" s="654"/>
    </row>
    <row r="39" spans="1:23" ht="30.75" thickBot="1">
      <c r="A39" s="1779"/>
      <c r="B39" s="1772"/>
      <c r="C39" s="374" t="s">
        <v>32</v>
      </c>
      <c r="D39" s="372" t="s">
        <v>250</v>
      </c>
      <c r="E39" s="138"/>
      <c r="F39" s="1780"/>
      <c r="G39" s="1780"/>
      <c r="H39" s="1793"/>
      <c r="I39" s="656"/>
      <c r="J39" s="632"/>
      <c r="K39" s="632"/>
      <c r="L39" s="632"/>
      <c r="M39" s="632"/>
      <c r="N39" s="656"/>
      <c r="O39" s="632"/>
      <c r="P39" s="632"/>
      <c r="Q39" s="632"/>
      <c r="R39" s="632"/>
      <c r="S39" s="656"/>
      <c r="T39" s="632"/>
      <c r="U39" s="632"/>
      <c r="V39" s="632"/>
      <c r="W39" s="654"/>
    </row>
    <row r="40" spans="1:23" ht="15.75">
      <c r="A40" s="1786" t="s">
        <v>491</v>
      </c>
      <c r="B40" s="1787"/>
      <c r="C40" s="375" t="s">
        <v>144</v>
      </c>
      <c r="D40" s="376" t="s">
        <v>253</v>
      </c>
      <c r="E40" s="354"/>
      <c r="F40" s="1791" t="s">
        <v>492</v>
      </c>
      <c r="G40" s="1771"/>
      <c r="H40" s="1792"/>
      <c r="I40" s="656"/>
      <c r="J40" s="632"/>
      <c r="K40" s="632"/>
      <c r="L40" s="632"/>
      <c r="M40" s="632"/>
      <c r="N40" s="656"/>
      <c r="O40" s="632"/>
      <c r="P40" s="632"/>
      <c r="Q40" s="632"/>
      <c r="R40" s="632"/>
      <c r="S40" s="656"/>
      <c r="T40" s="632"/>
      <c r="U40" s="632"/>
      <c r="V40" s="632"/>
      <c r="W40" s="654"/>
    </row>
    <row r="41" spans="1:23" ht="16.5" thickBot="1">
      <c r="A41" s="1772"/>
      <c r="B41" s="1788"/>
      <c r="C41" s="377" t="s">
        <v>145</v>
      </c>
      <c r="D41" s="376" t="s">
        <v>254</v>
      </c>
      <c r="E41" s="354"/>
      <c r="F41" s="1780"/>
      <c r="G41" s="1780"/>
      <c r="H41" s="1793"/>
      <c r="I41" s="656"/>
      <c r="J41" s="632"/>
      <c r="K41" s="632"/>
      <c r="L41" s="632"/>
      <c r="M41" s="632"/>
      <c r="N41" s="656"/>
      <c r="O41" s="632"/>
      <c r="P41" s="632"/>
      <c r="Q41" s="632"/>
      <c r="R41" s="632"/>
      <c r="S41" s="656"/>
      <c r="T41" s="632"/>
      <c r="U41" s="632"/>
      <c r="V41" s="632"/>
      <c r="W41" s="654"/>
    </row>
    <row r="42" spans="1:23" ht="48" thickBot="1">
      <c r="A42" s="1789"/>
      <c r="B42" s="1790"/>
      <c r="C42" s="378" t="s">
        <v>128</v>
      </c>
      <c r="D42" s="376" t="s">
        <v>262</v>
      </c>
      <c r="E42" s="354"/>
      <c r="F42" s="1794"/>
      <c r="G42" s="1762"/>
      <c r="H42" s="1764"/>
      <c r="I42" s="656"/>
      <c r="J42" s="632"/>
      <c r="K42" s="632"/>
      <c r="L42" s="632"/>
      <c r="M42" s="632"/>
      <c r="N42" s="656"/>
      <c r="O42" s="632"/>
      <c r="P42" s="632"/>
      <c r="Q42" s="632"/>
      <c r="R42" s="632"/>
      <c r="S42" s="656"/>
      <c r="T42" s="632"/>
      <c r="U42" s="632"/>
      <c r="V42" s="632"/>
      <c r="W42" s="654"/>
    </row>
    <row r="43" spans="1:23" ht="15.75" thickBot="1">
      <c r="A43" s="1775" t="s">
        <v>493</v>
      </c>
      <c r="B43" s="1776"/>
      <c r="C43" s="1777"/>
      <c r="D43" s="379" t="s">
        <v>237</v>
      </c>
      <c r="E43" s="354"/>
      <c r="F43" s="1763" t="s">
        <v>559</v>
      </c>
      <c r="G43" s="1762"/>
      <c r="H43" s="1764"/>
      <c r="I43" s="656"/>
      <c r="J43" s="632"/>
      <c r="K43" s="632"/>
      <c r="L43" s="632"/>
      <c r="M43" s="632"/>
      <c r="N43" s="656"/>
      <c r="O43" s="632"/>
      <c r="P43" s="632"/>
      <c r="Q43" s="632"/>
      <c r="R43" s="632"/>
      <c r="S43" s="656"/>
      <c r="T43" s="632"/>
      <c r="U43" s="632"/>
      <c r="V43" s="632"/>
      <c r="W43" s="654"/>
    </row>
    <row r="44" spans="1:23" ht="27" customHeight="1" thickBot="1">
      <c r="A44" s="1775" t="s">
        <v>133</v>
      </c>
      <c r="B44" s="1776"/>
      <c r="C44" s="1777"/>
      <c r="D44" s="379" t="s">
        <v>238</v>
      </c>
      <c r="E44" s="138" t="s">
        <v>554</v>
      </c>
      <c r="F44" s="1763" t="s">
        <v>593</v>
      </c>
      <c r="G44" s="1762"/>
      <c r="H44" s="1764"/>
      <c r="I44" s="656" t="s">
        <v>554</v>
      </c>
      <c r="J44" s="632">
        <v>1</v>
      </c>
      <c r="K44" s="632"/>
      <c r="L44" s="632"/>
      <c r="M44" s="632"/>
      <c r="N44" s="656"/>
      <c r="O44" s="632"/>
      <c r="P44" s="632"/>
      <c r="Q44" s="632"/>
      <c r="R44" s="632"/>
      <c r="S44" s="656"/>
      <c r="T44" s="632"/>
      <c r="U44" s="632"/>
      <c r="V44" s="632"/>
      <c r="W44" s="654"/>
    </row>
    <row r="45" spans="1:23">
      <c r="A45" s="1778" t="s">
        <v>41</v>
      </c>
      <c r="B45" s="1772"/>
      <c r="C45" s="380" t="s">
        <v>50</v>
      </c>
      <c r="D45" s="381" t="s">
        <v>246</v>
      </c>
      <c r="E45" s="354"/>
      <c r="F45" s="1781" t="s">
        <v>560</v>
      </c>
      <c r="G45" s="1762"/>
      <c r="H45" s="1764"/>
      <c r="I45" s="656"/>
      <c r="J45" s="632"/>
      <c r="K45" s="632"/>
      <c r="L45" s="632"/>
      <c r="M45" s="632"/>
      <c r="N45" s="656"/>
      <c r="O45" s="632"/>
      <c r="P45" s="632"/>
      <c r="Q45" s="632"/>
      <c r="R45" s="632"/>
      <c r="S45" s="656"/>
      <c r="T45" s="632"/>
      <c r="U45" s="632"/>
      <c r="V45" s="632"/>
      <c r="W45" s="654"/>
    </row>
    <row r="46" spans="1:23" ht="15.75" thickBot="1">
      <c r="A46" s="1779"/>
      <c r="B46" s="1772"/>
      <c r="C46" s="382" t="s">
        <v>51</v>
      </c>
      <c r="D46" s="381" t="s">
        <v>247</v>
      </c>
      <c r="E46" s="354"/>
      <c r="F46" s="1781" t="s">
        <v>594</v>
      </c>
      <c r="G46" s="1762"/>
      <c r="H46" s="1764"/>
      <c r="I46" s="656"/>
      <c r="J46" s="632"/>
      <c r="K46" s="632"/>
      <c r="L46" s="632"/>
      <c r="M46" s="632"/>
      <c r="N46" s="656"/>
      <c r="O46" s="632"/>
      <c r="P46" s="632"/>
      <c r="Q46" s="632"/>
      <c r="R46" s="632"/>
      <c r="S46" s="656"/>
      <c r="T46" s="632"/>
      <c r="U46" s="632"/>
      <c r="V46" s="632"/>
      <c r="W46" s="654"/>
    </row>
    <row r="47" spans="1:23" ht="76.5" customHeight="1" thickBot="1">
      <c r="A47" s="1779"/>
      <c r="B47" s="1772"/>
      <c r="C47" s="382" t="s">
        <v>39</v>
      </c>
      <c r="D47" s="381" t="s">
        <v>248</v>
      </c>
      <c r="E47" s="354" t="s">
        <v>554</v>
      </c>
      <c r="F47" s="1782" t="s">
        <v>1662</v>
      </c>
      <c r="G47" s="1783"/>
      <c r="H47" s="1784"/>
      <c r="I47" s="656" t="s">
        <v>554</v>
      </c>
      <c r="J47" s="632">
        <v>3</v>
      </c>
      <c r="K47" s="632"/>
      <c r="L47" s="632"/>
      <c r="M47" s="632"/>
      <c r="N47" s="656"/>
      <c r="O47" s="632"/>
      <c r="P47" s="632"/>
      <c r="Q47" s="632"/>
      <c r="R47" s="632"/>
      <c r="S47" s="656"/>
      <c r="T47" s="632"/>
      <c r="U47" s="632"/>
      <c r="V47" s="632"/>
      <c r="W47" s="654"/>
    </row>
    <row r="48" spans="1:23" ht="67.5" customHeight="1" thickBot="1">
      <c r="A48" s="1767"/>
      <c r="B48" s="1780"/>
      <c r="C48" s="383" t="s">
        <v>40</v>
      </c>
      <c r="D48" s="381" t="s">
        <v>249</v>
      </c>
      <c r="E48" s="354" t="s">
        <v>554</v>
      </c>
      <c r="F48" s="1785" t="s">
        <v>1152</v>
      </c>
      <c r="G48" s="1762"/>
      <c r="H48" s="1764"/>
      <c r="I48" s="656" t="s">
        <v>554</v>
      </c>
      <c r="J48" s="632">
        <v>3</v>
      </c>
      <c r="K48" s="632"/>
      <c r="L48" s="632"/>
      <c r="M48" s="632"/>
      <c r="N48" s="656"/>
      <c r="O48" s="632"/>
      <c r="P48" s="632"/>
      <c r="Q48" s="632"/>
      <c r="R48" s="632"/>
      <c r="S48" s="656"/>
      <c r="T48" s="632"/>
      <c r="U48" s="632"/>
      <c r="V48" s="632"/>
      <c r="W48" s="654"/>
    </row>
    <row r="49" spans="1:23" ht="15.75">
      <c r="A49" s="1765" t="s">
        <v>130</v>
      </c>
      <c r="B49" s="1766"/>
      <c r="C49" s="375" t="s">
        <v>131</v>
      </c>
      <c r="D49" s="376" t="s">
        <v>255</v>
      </c>
      <c r="E49" s="354"/>
      <c r="F49" s="1769"/>
      <c r="G49" s="1762"/>
      <c r="H49" s="1764"/>
      <c r="I49" s="656"/>
      <c r="J49" s="632"/>
      <c r="K49" s="632"/>
      <c r="L49" s="632"/>
      <c r="M49" s="632"/>
      <c r="N49" s="656"/>
      <c r="O49" s="632"/>
      <c r="P49" s="632"/>
      <c r="Q49" s="632"/>
      <c r="R49" s="632"/>
      <c r="S49" s="656"/>
      <c r="T49" s="632"/>
      <c r="U49" s="632"/>
      <c r="V49" s="632"/>
      <c r="W49" s="654"/>
    </row>
    <row r="50" spans="1:23" ht="48" thickBot="1">
      <c r="A50" s="1767"/>
      <c r="B50" s="1768"/>
      <c r="C50" s="384" t="s">
        <v>132</v>
      </c>
      <c r="D50" s="376" t="s">
        <v>263</v>
      </c>
      <c r="E50" s="354"/>
      <c r="F50" s="1769"/>
      <c r="G50" s="1762"/>
      <c r="H50" s="1764"/>
      <c r="I50" s="656"/>
      <c r="J50" s="632"/>
      <c r="K50" s="632"/>
      <c r="L50" s="632"/>
      <c r="M50" s="632"/>
      <c r="N50" s="656"/>
      <c r="O50" s="632"/>
      <c r="P50" s="632"/>
      <c r="Q50" s="632"/>
      <c r="R50" s="632"/>
      <c r="S50" s="656"/>
      <c r="T50" s="632"/>
      <c r="U50" s="632"/>
      <c r="V50" s="632"/>
      <c r="W50" s="654"/>
    </row>
    <row r="51" spans="1:23">
      <c r="A51" s="1770" t="s">
        <v>42</v>
      </c>
      <c r="B51" s="1771"/>
      <c r="C51" s="385" t="s">
        <v>38</v>
      </c>
      <c r="D51" s="386" t="s">
        <v>239</v>
      </c>
      <c r="E51" s="138" t="s">
        <v>554</v>
      </c>
      <c r="F51" s="1763" t="s">
        <v>499</v>
      </c>
      <c r="G51" s="1762"/>
      <c r="H51" s="1764"/>
      <c r="I51" s="656" t="s">
        <v>554</v>
      </c>
      <c r="J51" s="632"/>
      <c r="K51" s="632"/>
      <c r="L51" s="632"/>
      <c r="M51" s="632"/>
      <c r="N51" s="656"/>
      <c r="O51" s="632"/>
      <c r="P51" s="632"/>
      <c r="Q51" s="632"/>
      <c r="R51" s="632"/>
      <c r="S51" s="656"/>
      <c r="T51" s="632"/>
      <c r="U51" s="632"/>
      <c r="V51" s="632"/>
      <c r="W51" s="654"/>
    </row>
    <row r="52" spans="1:23">
      <c r="A52" s="1772"/>
      <c r="B52" s="1772"/>
      <c r="C52" s="387" t="s">
        <v>55</v>
      </c>
      <c r="D52" s="386" t="s">
        <v>240</v>
      </c>
      <c r="E52" s="138"/>
      <c r="F52" s="1773"/>
      <c r="G52" s="1762"/>
      <c r="H52" s="1764"/>
      <c r="I52" s="656"/>
      <c r="J52" s="632"/>
      <c r="K52" s="632"/>
      <c r="L52" s="632"/>
      <c r="M52" s="632"/>
      <c r="N52" s="656"/>
      <c r="O52" s="632"/>
      <c r="P52" s="632"/>
      <c r="Q52" s="632"/>
      <c r="R52" s="632"/>
      <c r="S52" s="656"/>
      <c r="T52" s="632"/>
      <c r="U52" s="632"/>
      <c r="V52" s="632"/>
      <c r="W52" s="654"/>
    </row>
    <row r="53" spans="1:23" ht="16.5" thickBot="1">
      <c r="A53" s="1772"/>
      <c r="B53" s="1772"/>
      <c r="C53" s="377" t="s">
        <v>48</v>
      </c>
      <c r="D53" s="388" t="s">
        <v>241</v>
      </c>
      <c r="E53" s="354"/>
      <c r="F53" s="1774"/>
      <c r="G53" s="1762"/>
      <c r="H53" s="1764"/>
      <c r="I53" s="656"/>
      <c r="J53" s="632"/>
      <c r="K53" s="632"/>
      <c r="L53" s="632"/>
      <c r="M53" s="632"/>
      <c r="N53" s="656"/>
      <c r="O53" s="632"/>
      <c r="P53" s="632"/>
      <c r="Q53" s="632"/>
      <c r="R53" s="632"/>
      <c r="S53" s="656"/>
      <c r="T53" s="632"/>
      <c r="U53" s="632"/>
      <c r="V53" s="632"/>
      <c r="W53" s="654"/>
    </row>
    <row r="54" spans="1:23" ht="32.25" thickBot="1">
      <c r="A54" s="1761" t="s">
        <v>500</v>
      </c>
      <c r="B54" s="1762"/>
      <c r="C54" s="389" t="s">
        <v>134</v>
      </c>
      <c r="D54" s="390" t="s">
        <v>269</v>
      </c>
      <c r="E54" s="391"/>
      <c r="F54" s="1763" t="s">
        <v>501</v>
      </c>
      <c r="G54" s="1762"/>
      <c r="H54" s="1764"/>
      <c r="I54" s="659"/>
      <c r="J54" s="658"/>
      <c r="K54" s="658"/>
      <c r="L54" s="658"/>
      <c r="M54" s="658"/>
      <c r="N54" s="659"/>
      <c r="O54" s="658"/>
      <c r="P54" s="658"/>
      <c r="Q54" s="658"/>
      <c r="R54" s="658"/>
      <c r="S54" s="659"/>
      <c r="T54" s="658"/>
      <c r="U54" s="658"/>
      <c r="V54" s="658"/>
      <c r="W54" s="660"/>
    </row>
    <row r="58" spans="1:23" ht="60">
      <c r="A58" s="661" t="s">
        <v>948</v>
      </c>
      <c r="B58" s="661" t="s">
        <v>949</v>
      </c>
      <c r="C58" s="661" t="s">
        <v>950</v>
      </c>
      <c r="D58" s="661" t="s">
        <v>951</v>
      </c>
      <c r="E58" s="661" t="s">
        <v>952</v>
      </c>
    </row>
    <row r="59" spans="1:23">
      <c r="A59" s="689" t="s">
        <v>953</v>
      </c>
      <c r="B59" s="632" t="s">
        <v>887</v>
      </c>
      <c r="C59" s="632">
        <v>1</v>
      </c>
      <c r="D59" s="632">
        <v>1.5</v>
      </c>
      <c r="E59" s="633"/>
    </row>
    <row r="60" spans="1:23">
      <c r="A60" s="689" t="s">
        <v>956</v>
      </c>
      <c r="B60" s="632" t="s">
        <v>887</v>
      </c>
      <c r="C60" s="632">
        <v>1</v>
      </c>
      <c r="D60" s="632">
        <v>0.5</v>
      </c>
      <c r="E60" s="633"/>
    </row>
    <row r="61" spans="1:23">
      <c r="A61" s="689" t="s">
        <v>957</v>
      </c>
      <c r="B61" s="632" t="s">
        <v>991</v>
      </c>
      <c r="C61" s="632"/>
      <c r="D61" s="632"/>
      <c r="E61" s="633"/>
    </row>
    <row r="62" spans="1:23">
      <c r="A62" s="689" t="s">
        <v>959</v>
      </c>
      <c r="B62" s="632" t="s">
        <v>887</v>
      </c>
      <c r="C62" s="632">
        <v>2</v>
      </c>
      <c r="D62" s="632">
        <v>2</v>
      </c>
      <c r="E62" s="633"/>
    </row>
    <row r="63" spans="1:23">
      <c r="A63" s="689" t="s">
        <v>961</v>
      </c>
      <c r="B63" s="632" t="s">
        <v>887</v>
      </c>
      <c r="C63" s="632">
        <v>8</v>
      </c>
      <c r="D63" s="632">
        <v>5</v>
      </c>
      <c r="E63" s="633"/>
    </row>
    <row r="64" spans="1:23">
      <c r="A64" s="689" t="s">
        <v>963</v>
      </c>
      <c r="B64" s="632" t="s">
        <v>887</v>
      </c>
      <c r="C64" s="632">
        <v>6</v>
      </c>
      <c r="D64" s="632">
        <v>3</v>
      </c>
      <c r="E64" s="633"/>
    </row>
    <row r="65" spans="1:5">
      <c r="A65" s="689" t="s">
        <v>965</v>
      </c>
      <c r="B65" s="632" t="s">
        <v>887</v>
      </c>
      <c r="C65" s="632"/>
      <c r="D65" s="632"/>
      <c r="E65" s="633"/>
    </row>
    <row r="66" spans="1:5">
      <c r="A66" s="689" t="s">
        <v>967</v>
      </c>
      <c r="B66" s="632" t="s">
        <v>887</v>
      </c>
      <c r="C66" s="632"/>
      <c r="D66" s="632"/>
      <c r="E66" s="633"/>
    </row>
    <row r="67" spans="1:5">
      <c r="A67" s="689" t="s">
        <v>969</v>
      </c>
      <c r="B67" s="632" t="s">
        <v>887</v>
      </c>
      <c r="C67" s="632"/>
      <c r="D67" s="632"/>
      <c r="E67" s="633"/>
    </row>
    <row r="68" spans="1:5">
      <c r="A68" s="689" t="s">
        <v>971</v>
      </c>
      <c r="B68" s="632" t="s">
        <v>887</v>
      </c>
      <c r="C68" s="632"/>
      <c r="D68" s="632"/>
      <c r="E68" s="633"/>
    </row>
    <row r="69" spans="1:5">
      <c r="A69" s="689" t="s">
        <v>986</v>
      </c>
      <c r="B69" s="632"/>
      <c r="C69" s="632"/>
      <c r="D69" s="632"/>
      <c r="E69" s="633"/>
    </row>
    <row r="72" spans="1:5">
      <c r="A72" s="1608"/>
      <c r="B72" s="1608"/>
      <c r="C72" s="1608"/>
    </row>
  </sheetData>
  <mergeCells count="57">
    <mergeCell ref="I13:M13"/>
    <mergeCell ref="N13:R13"/>
    <mergeCell ref="S13:W13"/>
    <mergeCell ref="A18:B20"/>
    <mergeCell ref="F18:H20"/>
    <mergeCell ref="A21:B22"/>
    <mergeCell ref="F21:H22"/>
    <mergeCell ref="C10:H10"/>
    <mergeCell ref="B2:D2"/>
    <mergeCell ref="B3:D3"/>
    <mergeCell ref="B4:D4"/>
    <mergeCell ref="A15:B17"/>
    <mergeCell ref="F15:H17"/>
    <mergeCell ref="B6:D6"/>
    <mergeCell ref="B8:D8"/>
    <mergeCell ref="A10:B10"/>
    <mergeCell ref="E12:H13"/>
    <mergeCell ref="F14:H14"/>
    <mergeCell ref="A14:B14"/>
    <mergeCell ref="A23:B25"/>
    <mergeCell ref="F23:H25"/>
    <mergeCell ref="A26:C26"/>
    <mergeCell ref="F26:H26"/>
    <mergeCell ref="A27:B29"/>
    <mergeCell ref="F27:H29"/>
    <mergeCell ref="A30:B32"/>
    <mergeCell ref="F30:H32"/>
    <mergeCell ref="A33:B33"/>
    <mergeCell ref="F33:H33"/>
    <mergeCell ref="A34:B34"/>
    <mergeCell ref="F34:H34"/>
    <mergeCell ref="A35:B36"/>
    <mergeCell ref="F35:H36"/>
    <mergeCell ref="A37:B39"/>
    <mergeCell ref="F37:H37"/>
    <mergeCell ref="F38:H39"/>
    <mergeCell ref="A40:B42"/>
    <mergeCell ref="F40:H41"/>
    <mergeCell ref="F42:H42"/>
    <mergeCell ref="A43:C43"/>
    <mergeCell ref="F43:H43"/>
    <mergeCell ref="A44:C44"/>
    <mergeCell ref="F44:H44"/>
    <mergeCell ref="A45:B48"/>
    <mergeCell ref="F45:H45"/>
    <mergeCell ref="F46:H46"/>
    <mergeCell ref="F47:H47"/>
    <mergeCell ref="F48:H48"/>
    <mergeCell ref="A54:B54"/>
    <mergeCell ref="F54:H54"/>
    <mergeCell ref="A49:B50"/>
    <mergeCell ref="F49:H49"/>
    <mergeCell ref="F50:H50"/>
    <mergeCell ref="A51:B53"/>
    <mergeCell ref="F51:H51"/>
    <mergeCell ref="F52:H52"/>
    <mergeCell ref="F53:H53"/>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#REF!</formula1>
    </dataValidation>
    <dataValidation type="list" allowBlank="1" showErrorMessage="1" sqref="H3">
      <formula1>$N$1:$N$2</formula1>
    </dataValidation>
  </dataValidations>
  <hyperlinks>
    <hyperlink ref="J4" location="SOMMAIRE!A1" display="Retour sommaire"/>
    <hyperlink ref="J1" location="SYNTHESE!A1" display="Retour synthèse"/>
  </hyperlinks>
  <pageMargins left="0.7" right="0.7" top="0.75" bottom="0.75" header="0.3" footer="0.3"/>
  <pageSetup paperSize="9" orientation="portrait"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AB86"/>
  <sheetViews>
    <sheetView topLeftCell="A37" zoomScale="120" zoomScaleNormal="120" workbookViewId="0"/>
  </sheetViews>
  <sheetFormatPr baseColWidth="10" defaultRowHeight="15"/>
  <cols>
    <col min="1" max="1" width="20.42578125" style="8" bestFit="1" customWidth="1"/>
    <col min="2" max="2" width="15.7109375" style="8" customWidth="1"/>
    <col min="3" max="3" width="40" style="8" customWidth="1"/>
    <col min="4" max="4" width="8" style="8" customWidth="1"/>
    <col min="5" max="5" width="7.5703125" style="8" customWidth="1"/>
    <col min="6" max="6" width="16.28515625" style="8" bestFit="1" customWidth="1"/>
    <col min="7" max="7" width="24.28515625" style="8" customWidth="1"/>
    <col min="8" max="8" width="22" bestFit="1" customWidth="1"/>
    <col min="9" max="9" width="5.7109375" customWidth="1"/>
    <col min="10" max="10" width="16.42578125" bestFit="1" customWidth="1"/>
  </cols>
  <sheetData>
    <row r="1" spans="1:28" ht="15.75" thickBot="1">
      <c r="A1"/>
      <c r="B1"/>
      <c r="C1"/>
      <c r="D1"/>
      <c r="E1" s="68"/>
      <c r="F1"/>
      <c r="G1"/>
    </row>
    <row r="2" spans="1:28" ht="15.75" thickBot="1">
      <c r="A2" s="109" t="s">
        <v>0</v>
      </c>
      <c r="B2" s="2029" t="s">
        <v>852</v>
      </c>
      <c r="C2" s="2144"/>
      <c r="D2" s="2145"/>
      <c r="E2" s="554"/>
      <c r="F2" s="110"/>
      <c r="G2" s="111" t="s">
        <v>462</v>
      </c>
      <c r="H2" s="112" t="s">
        <v>53</v>
      </c>
      <c r="J2" s="32" t="s">
        <v>73</v>
      </c>
    </row>
    <row r="3" spans="1:28" ht="15.75" customHeight="1" thickBot="1">
      <c r="A3" s="113" t="s">
        <v>344</v>
      </c>
      <c r="B3" s="2029" t="s">
        <v>784</v>
      </c>
      <c r="C3" s="2175"/>
      <c r="D3" s="2176"/>
      <c r="E3" s="554"/>
      <c r="F3" s="110"/>
      <c r="G3" s="114" t="s">
        <v>10</v>
      </c>
      <c r="H3" s="112" t="s">
        <v>16</v>
      </c>
      <c r="J3" s="13"/>
    </row>
    <row r="4" spans="1:28" ht="15.75" thickBot="1">
      <c r="A4" s="114" t="s">
        <v>3</v>
      </c>
      <c r="B4" s="1823" t="s">
        <v>345</v>
      </c>
      <c r="C4" s="2144"/>
      <c r="D4" s="2145"/>
      <c r="E4" s="555"/>
      <c r="F4" s="110"/>
      <c r="G4" s="116" t="s">
        <v>26</v>
      </c>
      <c r="H4" s="112">
        <v>9</v>
      </c>
      <c r="J4" s="13" t="s">
        <v>381</v>
      </c>
    </row>
    <row r="5" spans="1:28" ht="15.75" customHeight="1" thickBot="1">
      <c r="A5" s="110"/>
      <c r="B5" s="110"/>
      <c r="C5" s="110"/>
      <c r="D5" s="110"/>
      <c r="E5" s="554"/>
      <c r="F5" s="110"/>
      <c r="G5" s="110"/>
      <c r="H5" s="110"/>
    </row>
    <row r="6" spans="1:28" ht="39" customHeight="1" thickBot="1">
      <c r="A6" s="109" t="s">
        <v>465</v>
      </c>
      <c r="B6" s="1810" t="s">
        <v>1603</v>
      </c>
      <c r="C6" s="2103"/>
      <c r="D6" s="2104"/>
      <c r="E6" s="554"/>
      <c r="F6" s="110"/>
      <c r="G6" s="118" t="s">
        <v>466</v>
      </c>
      <c r="H6" s="556" t="s">
        <v>853</v>
      </c>
    </row>
    <row r="7" spans="1:28" ht="15.75" thickBot="1">
      <c r="A7"/>
      <c r="B7" s="110"/>
      <c r="C7" s="110"/>
      <c r="D7" s="110"/>
      <c r="E7" s="554"/>
      <c r="F7" s="110"/>
      <c r="G7" s="120"/>
      <c r="H7" s="110"/>
    </row>
    <row r="8" spans="1:28" ht="30.75" customHeight="1" thickBot="1">
      <c r="A8" s="121" t="s">
        <v>7</v>
      </c>
      <c r="B8" s="1823" t="s">
        <v>854</v>
      </c>
      <c r="C8" s="2144"/>
      <c r="D8" s="2145"/>
      <c r="E8" s="555"/>
      <c r="F8" s="122"/>
      <c r="G8" s="121" t="s">
        <v>469</v>
      </c>
      <c r="H8" s="123" t="s">
        <v>508</v>
      </c>
    </row>
    <row r="9" spans="1:28" ht="15.75" thickBot="1">
      <c r="A9"/>
      <c r="B9" s="110"/>
      <c r="C9" s="110"/>
      <c r="D9" s="110"/>
      <c r="E9" s="554"/>
      <c r="F9" s="110"/>
      <c r="G9" s="120"/>
      <c r="H9" s="110"/>
    </row>
    <row r="10" spans="1:28" ht="164.25" customHeight="1" thickBot="1">
      <c r="A10" s="2570" t="s">
        <v>471</v>
      </c>
      <c r="B10" s="2516"/>
      <c r="C10" s="2569" t="s">
        <v>855</v>
      </c>
      <c r="D10" s="1805"/>
      <c r="E10" s="1805"/>
      <c r="F10" s="1805"/>
      <c r="G10" s="1805"/>
      <c r="H10" s="1805"/>
      <c r="J10" s="1259"/>
    </row>
    <row r="11" spans="1:28">
      <c r="A11" s="126"/>
      <c r="B11" s="115"/>
      <c r="C11" s="115"/>
      <c r="D11" s="115"/>
      <c r="E11" s="555"/>
      <c r="F11" s="122"/>
      <c r="G11" s="125"/>
      <c r="H11" s="125"/>
      <c r="J11" s="61"/>
    </row>
    <row r="12" spans="1:28" ht="15" customHeight="1">
      <c r="A12" s="126"/>
      <c r="B12" s="115"/>
      <c r="C12" s="115"/>
      <c r="D12" s="115"/>
      <c r="E12" s="2181" t="s">
        <v>473</v>
      </c>
      <c r="F12" s="2148"/>
      <c r="G12" s="2148"/>
      <c r="H12" s="2148"/>
      <c r="J12" s="61"/>
    </row>
    <row r="13" spans="1:28" ht="15" customHeight="1">
      <c r="A13" s="110"/>
      <c r="B13" s="110"/>
      <c r="C13" s="110"/>
      <c r="D13" s="110"/>
      <c r="E13" s="2141"/>
      <c r="F13" s="2141"/>
      <c r="G13" s="2141"/>
      <c r="H13" s="2141"/>
      <c r="I13" s="2191">
        <v>2025</v>
      </c>
      <c r="J13" s="2193"/>
      <c r="K13" s="2193"/>
      <c r="L13" s="2193"/>
      <c r="M13" s="2194"/>
      <c r="N13" s="2191">
        <v>2026</v>
      </c>
      <c r="O13" s="2193"/>
      <c r="P13" s="2193"/>
      <c r="Q13" s="2193"/>
      <c r="R13" s="2194"/>
      <c r="S13" s="2191">
        <v>2027</v>
      </c>
      <c r="T13" s="2193"/>
      <c r="U13" s="2193"/>
      <c r="V13" s="2193"/>
      <c r="W13" s="2194"/>
      <c r="X13" s="2191" t="s">
        <v>1139</v>
      </c>
      <c r="Y13" s="2193"/>
      <c r="Z13" s="2193"/>
      <c r="AA13" s="2193"/>
      <c r="AB13" s="2194"/>
    </row>
    <row r="14" spans="1:28" ht="45.75" thickBot="1">
      <c r="A14" s="2184" t="s">
        <v>5</v>
      </c>
      <c r="B14" s="2137"/>
      <c r="C14" s="128" t="s">
        <v>1</v>
      </c>
      <c r="D14" s="128" t="s">
        <v>260</v>
      </c>
      <c r="E14" s="557" t="s">
        <v>474</v>
      </c>
      <c r="F14" s="2182" t="s">
        <v>6</v>
      </c>
      <c r="G14" s="2097"/>
      <c r="H14" s="2098"/>
      <c r="I14" s="967" t="s">
        <v>474</v>
      </c>
      <c r="J14" s="968" t="s">
        <v>944</v>
      </c>
      <c r="K14" s="969" t="s">
        <v>945</v>
      </c>
      <c r="L14" s="968" t="s">
        <v>946</v>
      </c>
      <c r="M14" s="970" t="s">
        <v>947</v>
      </c>
      <c r="N14" s="967" t="s">
        <v>474</v>
      </c>
      <c r="O14" s="968" t="s">
        <v>944</v>
      </c>
      <c r="P14" s="969" t="s">
        <v>945</v>
      </c>
      <c r="Q14" s="968" t="s">
        <v>946</v>
      </c>
      <c r="R14" s="970" t="s">
        <v>947</v>
      </c>
      <c r="S14" s="967" t="s">
        <v>474</v>
      </c>
      <c r="T14" s="968" t="s">
        <v>944</v>
      </c>
      <c r="U14" s="969" t="s">
        <v>945</v>
      </c>
      <c r="V14" s="968" t="s">
        <v>946</v>
      </c>
      <c r="W14" s="970" t="s">
        <v>947</v>
      </c>
      <c r="X14" s="967" t="s">
        <v>474</v>
      </c>
      <c r="Y14" s="968" t="s">
        <v>944</v>
      </c>
      <c r="Z14" s="969" t="s">
        <v>945</v>
      </c>
      <c r="AA14" s="968" t="s">
        <v>946</v>
      </c>
      <c r="AB14" s="970" t="s">
        <v>947</v>
      </c>
    </row>
    <row r="15" spans="1:28" ht="15" customHeight="1">
      <c r="A15" s="2183" t="s">
        <v>17</v>
      </c>
      <c r="B15" s="2140"/>
      <c r="C15" s="130" t="s">
        <v>59</v>
      </c>
      <c r="D15" s="131" t="s">
        <v>251</v>
      </c>
      <c r="E15" s="546"/>
      <c r="F15" s="1828" t="s">
        <v>475</v>
      </c>
      <c r="G15" s="2140"/>
      <c r="H15" s="2137"/>
      <c r="I15" s="977"/>
      <c r="J15" s="971"/>
      <c r="K15" s="971"/>
      <c r="L15" s="971"/>
      <c r="M15" s="972"/>
      <c r="N15" s="977"/>
      <c r="O15" s="971"/>
      <c r="P15" s="971"/>
      <c r="Q15" s="971"/>
      <c r="R15" s="972"/>
      <c r="S15" s="977"/>
      <c r="T15" s="971"/>
      <c r="U15" s="971"/>
      <c r="V15" s="971"/>
      <c r="W15" s="973"/>
      <c r="X15" s="977"/>
      <c r="Y15" s="971"/>
      <c r="Z15" s="971"/>
      <c r="AA15" s="971"/>
      <c r="AB15" s="973"/>
    </row>
    <row r="16" spans="1:28">
      <c r="A16" s="2148"/>
      <c r="B16" s="2148"/>
      <c r="C16" s="133" t="s">
        <v>18</v>
      </c>
      <c r="D16" s="134" t="s">
        <v>168</v>
      </c>
      <c r="E16" s="558"/>
      <c r="F16" s="1845"/>
      <c r="G16" s="1845"/>
      <c r="H16" s="2139"/>
      <c r="I16" s="978"/>
      <c r="J16" s="974"/>
      <c r="K16" s="974"/>
      <c r="L16" s="974"/>
      <c r="M16" s="974"/>
      <c r="N16" s="978"/>
      <c r="O16" s="974"/>
      <c r="P16" s="974"/>
      <c r="Q16" s="974"/>
      <c r="R16" s="974"/>
      <c r="S16" s="978"/>
      <c r="T16" s="974"/>
      <c r="U16" s="974"/>
      <c r="V16" s="974"/>
      <c r="W16" s="975"/>
      <c r="X16" s="978"/>
      <c r="Y16" s="974"/>
      <c r="Z16" s="974"/>
      <c r="AA16" s="974"/>
      <c r="AB16" s="975"/>
    </row>
    <row r="17" spans="1:28" ht="30" customHeight="1" thickBot="1">
      <c r="A17" s="2141"/>
      <c r="B17" s="2141"/>
      <c r="C17" s="136" t="s">
        <v>19</v>
      </c>
      <c r="D17" s="137" t="s">
        <v>233</v>
      </c>
      <c r="E17" s="418"/>
      <c r="F17" s="2141"/>
      <c r="G17" s="2141"/>
      <c r="H17" s="2142"/>
      <c r="I17" s="979"/>
      <c r="J17" s="974"/>
      <c r="K17" s="974"/>
      <c r="L17" s="974"/>
      <c r="M17" s="974"/>
      <c r="N17" s="979"/>
      <c r="O17" s="974"/>
      <c r="P17" s="974"/>
      <c r="Q17" s="974"/>
      <c r="R17" s="974"/>
      <c r="S17" s="979"/>
      <c r="T17" s="974"/>
      <c r="U17" s="974"/>
      <c r="V17" s="974"/>
      <c r="W17" s="975"/>
      <c r="X17" s="979"/>
      <c r="Y17" s="974"/>
      <c r="Z17" s="974"/>
      <c r="AA17" s="974"/>
      <c r="AB17" s="975"/>
    </row>
    <row r="18" spans="1:28" ht="28.5" customHeight="1">
      <c r="A18" s="2183" t="s">
        <v>20</v>
      </c>
      <c r="B18" s="2140"/>
      <c r="C18" s="130" t="s">
        <v>54</v>
      </c>
      <c r="D18" s="137" t="s">
        <v>261</v>
      </c>
      <c r="E18" s="418" t="s">
        <v>277</v>
      </c>
      <c r="F18" s="1828" t="s">
        <v>856</v>
      </c>
      <c r="G18" s="2140"/>
      <c r="H18" s="2137"/>
      <c r="I18" s="979" t="s">
        <v>277</v>
      </c>
      <c r="J18" s="974">
        <v>1</v>
      </c>
      <c r="K18" s="974"/>
      <c r="L18" s="974">
        <v>150</v>
      </c>
      <c r="M18" s="981">
        <v>20550</v>
      </c>
      <c r="N18" s="979" t="s">
        <v>277</v>
      </c>
      <c r="O18" s="974">
        <v>1</v>
      </c>
      <c r="P18" s="974"/>
      <c r="Q18" s="974">
        <v>150</v>
      </c>
      <c r="R18" s="981">
        <v>20550</v>
      </c>
      <c r="S18" s="979" t="s">
        <v>277</v>
      </c>
      <c r="T18" s="974">
        <v>1</v>
      </c>
      <c r="U18" s="974"/>
      <c r="V18" s="974">
        <v>150</v>
      </c>
      <c r="W18" s="981">
        <v>20550</v>
      </c>
      <c r="X18" s="979" t="s">
        <v>277</v>
      </c>
      <c r="Y18" s="974">
        <v>3</v>
      </c>
      <c r="Z18" s="974"/>
      <c r="AA18" s="974">
        <v>450</v>
      </c>
      <c r="AB18" s="981">
        <v>184950</v>
      </c>
    </row>
    <row r="19" spans="1:28" ht="33" customHeight="1">
      <c r="A19" s="2148"/>
      <c r="B19" s="2148"/>
      <c r="C19" s="139" t="s">
        <v>21</v>
      </c>
      <c r="D19" s="137" t="s">
        <v>234</v>
      </c>
      <c r="E19" s="418" t="s">
        <v>277</v>
      </c>
      <c r="F19" s="1845"/>
      <c r="G19" s="1845"/>
      <c r="H19" s="2139"/>
      <c r="I19" s="979" t="s">
        <v>277</v>
      </c>
      <c r="J19" s="974"/>
      <c r="K19" s="974"/>
      <c r="L19" s="974"/>
      <c r="M19" s="974"/>
      <c r="N19" s="979" t="s">
        <v>277</v>
      </c>
      <c r="O19" s="974">
        <v>1</v>
      </c>
      <c r="P19" s="974"/>
      <c r="Q19" s="974">
        <v>150</v>
      </c>
      <c r="R19" s="981">
        <v>30150</v>
      </c>
      <c r="S19" s="979" t="s">
        <v>277</v>
      </c>
      <c r="T19" s="974"/>
      <c r="U19" s="974"/>
      <c r="V19" s="974"/>
      <c r="W19" s="974"/>
      <c r="X19" s="979" t="s">
        <v>277</v>
      </c>
      <c r="Y19" s="974">
        <v>1</v>
      </c>
      <c r="Z19" s="974"/>
      <c r="AA19" s="974">
        <v>150</v>
      </c>
      <c r="AB19" s="981">
        <v>30150</v>
      </c>
    </row>
    <row r="20" spans="1:28" ht="49.5" customHeight="1" thickBot="1">
      <c r="A20" s="2148"/>
      <c r="B20" s="2148"/>
      <c r="C20" s="136" t="s">
        <v>22</v>
      </c>
      <c r="D20" s="137" t="s">
        <v>235</v>
      </c>
      <c r="E20" s="418" t="s">
        <v>277</v>
      </c>
      <c r="F20" s="2141"/>
      <c r="G20" s="2141"/>
      <c r="H20" s="2142"/>
      <c r="I20" s="979" t="s">
        <v>277</v>
      </c>
      <c r="J20" s="974"/>
      <c r="K20" s="974"/>
      <c r="L20" s="974"/>
      <c r="M20" s="974"/>
      <c r="N20" s="979" t="s">
        <v>277</v>
      </c>
      <c r="O20" s="974"/>
      <c r="P20" s="974"/>
      <c r="Q20" s="974"/>
      <c r="R20" s="974"/>
      <c r="S20" s="979" t="s">
        <v>277</v>
      </c>
      <c r="T20" s="974">
        <v>1</v>
      </c>
      <c r="U20" s="974">
        <v>1</v>
      </c>
      <c r="V20" s="974">
        <v>150</v>
      </c>
      <c r="W20" s="981">
        <v>91800</v>
      </c>
      <c r="X20" s="979" t="s">
        <v>277</v>
      </c>
      <c r="Y20" s="974">
        <v>1</v>
      </c>
      <c r="Z20" s="974">
        <v>1</v>
      </c>
      <c r="AA20" s="974">
        <v>150</v>
      </c>
      <c r="AB20" s="981">
        <v>91800</v>
      </c>
    </row>
    <row r="21" spans="1:28" ht="30" customHeight="1">
      <c r="A21" s="2183" t="s">
        <v>23</v>
      </c>
      <c r="B21" s="2140"/>
      <c r="C21" s="140" t="s">
        <v>69</v>
      </c>
      <c r="D21" s="137" t="s">
        <v>267</v>
      </c>
      <c r="E21" s="418"/>
      <c r="F21" s="1828" t="s">
        <v>857</v>
      </c>
      <c r="G21" s="2140"/>
      <c r="H21" s="2137"/>
      <c r="I21" s="979"/>
      <c r="J21" s="974"/>
      <c r="K21" s="974"/>
      <c r="L21" s="974"/>
      <c r="M21" s="974"/>
      <c r="N21" s="979"/>
      <c r="O21" s="974"/>
      <c r="P21" s="974"/>
      <c r="Q21" s="974"/>
      <c r="R21" s="974"/>
      <c r="S21" s="979"/>
      <c r="T21" s="974"/>
      <c r="U21" s="974"/>
      <c r="V21" s="974"/>
      <c r="W21" s="974"/>
      <c r="X21" s="979"/>
      <c r="Y21" s="974">
        <v>0</v>
      </c>
      <c r="Z21" s="974">
        <v>0</v>
      </c>
      <c r="AA21" s="974">
        <v>0</v>
      </c>
      <c r="AB21" s="974"/>
    </row>
    <row r="22" spans="1:28" ht="30" customHeight="1" thickBot="1">
      <c r="A22" s="2141"/>
      <c r="B22" s="2141"/>
      <c r="C22" s="141" t="s">
        <v>24</v>
      </c>
      <c r="D22" s="142" t="s">
        <v>236</v>
      </c>
      <c r="E22" s="418" t="s">
        <v>277</v>
      </c>
      <c r="F22" s="2141"/>
      <c r="G22" s="2141"/>
      <c r="H22" s="2142"/>
      <c r="I22" s="979" t="s">
        <v>277</v>
      </c>
      <c r="J22" s="974">
        <v>2</v>
      </c>
      <c r="K22" s="974"/>
      <c r="L22" s="974">
        <v>300</v>
      </c>
      <c r="M22" s="981">
        <v>81600</v>
      </c>
      <c r="N22" s="979" t="s">
        <v>277</v>
      </c>
      <c r="O22" s="974">
        <v>2</v>
      </c>
      <c r="P22" s="974"/>
      <c r="Q22" s="974">
        <v>300</v>
      </c>
      <c r="R22" s="981">
        <v>81600</v>
      </c>
      <c r="S22" s="979" t="s">
        <v>277</v>
      </c>
      <c r="T22" s="974">
        <v>2</v>
      </c>
      <c r="U22" s="974"/>
      <c r="V22" s="974">
        <v>300</v>
      </c>
      <c r="W22" s="981">
        <v>81600</v>
      </c>
      <c r="X22" s="979" t="s">
        <v>277</v>
      </c>
      <c r="Y22" s="974">
        <v>6</v>
      </c>
      <c r="Z22" s="974"/>
      <c r="AA22" s="974">
        <v>900</v>
      </c>
      <c r="AB22" s="981">
        <v>734400</v>
      </c>
    </row>
    <row r="23" spans="1:28" ht="15.75" customHeight="1">
      <c r="A23" s="2136" t="s">
        <v>478</v>
      </c>
      <c r="B23" s="2137"/>
      <c r="C23" s="143" t="s">
        <v>360</v>
      </c>
      <c r="D23" s="142" t="s">
        <v>265</v>
      </c>
      <c r="E23" s="418"/>
      <c r="F23" s="1828" t="s">
        <v>477</v>
      </c>
      <c r="G23" s="2140"/>
      <c r="H23" s="2137"/>
      <c r="I23" s="979"/>
      <c r="J23" s="974"/>
      <c r="K23" s="974"/>
      <c r="L23" s="974"/>
      <c r="M23" s="974"/>
      <c r="N23" s="979"/>
      <c r="O23" s="974"/>
      <c r="P23" s="974"/>
      <c r="Q23" s="974"/>
      <c r="R23" s="974"/>
      <c r="S23" s="979"/>
      <c r="T23" s="974"/>
      <c r="U23" s="974"/>
      <c r="V23" s="974"/>
      <c r="W23" s="974"/>
      <c r="X23" s="979"/>
      <c r="Y23" s="974">
        <v>0</v>
      </c>
      <c r="Z23" s="974"/>
      <c r="AA23" s="974">
        <v>0</v>
      </c>
      <c r="AB23" s="974"/>
    </row>
    <row r="24" spans="1:28" ht="15.75">
      <c r="A24" s="2138"/>
      <c r="B24" s="2139"/>
      <c r="C24" s="144" t="s">
        <v>361</v>
      </c>
      <c r="D24" s="142" t="s">
        <v>362</v>
      </c>
      <c r="E24" s="418"/>
      <c r="F24" s="1845"/>
      <c r="G24" s="1845"/>
      <c r="H24" s="2139"/>
      <c r="I24" s="979"/>
      <c r="J24" s="974"/>
      <c r="K24" s="974"/>
      <c r="L24" s="974"/>
      <c r="M24" s="974"/>
      <c r="N24" s="979"/>
      <c r="O24" s="974"/>
      <c r="P24" s="974"/>
      <c r="Q24" s="974"/>
      <c r="R24" s="974"/>
      <c r="S24" s="979"/>
      <c r="T24" s="974"/>
      <c r="U24" s="974"/>
      <c r="V24" s="974"/>
      <c r="W24" s="974"/>
      <c r="X24" s="979"/>
      <c r="Y24" s="974">
        <v>0</v>
      </c>
      <c r="Z24" s="974"/>
      <c r="AA24" s="974">
        <v>0</v>
      </c>
      <c r="AB24" s="974"/>
    </row>
    <row r="25" spans="1:28" ht="16.5" thickBot="1">
      <c r="A25" s="2138"/>
      <c r="B25" s="2139"/>
      <c r="C25" s="145" t="s">
        <v>479</v>
      </c>
      <c r="D25" s="142" t="s">
        <v>480</v>
      </c>
      <c r="E25" s="418"/>
      <c r="F25" s="2141"/>
      <c r="G25" s="2141"/>
      <c r="H25" s="2142"/>
      <c r="I25" s="979"/>
      <c r="J25" s="974"/>
      <c r="K25" s="974"/>
      <c r="L25" s="974"/>
      <c r="M25" s="974"/>
      <c r="N25" s="979"/>
      <c r="O25" s="974"/>
      <c r="P25" s="974"/>
      <c r="Q25" s="974"/>
      <c r="R25" s="974"/>
      <c r="S25" s="979"/>
      <c r="T25" s="974"/>
      <c r="U25" s="974"/>
      <c r="V25" s="974"/>
      <c r="W25" s="974"/>
      <c r="X25" s="979"/>
      <c r="Y25" s="974">
        <v>0</v>
      </c>
      <c r="Z25" s="974"/>
      <c r="AA25" s="974">
        <v>0</v>
      </c>
      <c r="AB25" s="974"/>
    </row>
    <row r="26" spans="1:28" ht="15.75" thickBot="1">
      <c r="A26" s="2143" t="s">
        <v>25</v>
      </c>
      <c r="B26" s="2144"/>
      <c r="C26" s="2145"/>
      <c r="D26" s="146" t="s">
        <v>270</v>
      </c>
      <c r="E26" s="418" t="s">
        <v>277</v>
      </c>
      <c r="F26" s="1818" t="s">
        <v>857</v>
      </c>
      <c r="G26" s="2097"/>
      <c r="H26" s="2098"/>
      <c r="I26" s="979" t="s">
        <v>277</v>
      </c>
      <c r="J26" s="974"/>
      <c r="K26" s="974"/>
      <c r="L26" s="974"/>
      <c r="M26" s="974"/>
      <c r="N26" s="979" t="s">
        <v>277</v>
      </c>
      <c r="O26" s="974"/>
      <c r="P26" s="974"/>
      <c r="Q26" s="974"/>
      <c r="R26" s="974"/>
      <c r="S26" s="979" t="s">
        <v>277</v>
      </c>
      <c r="T26" s="974">
        <v>1</v>
      </c>
      <c r="U26" s="974"/>
      <c r="V26" s="974">
        <v>150</v>
      </c>
      <c r="W26" s="981">
        <v>31800</v>
      </c>
      <c r="X26" s="979" t="s">
        <v>277</v>
      </c>
      <c r="Y26" s="974">
        <v>1</v>
      </c>
      <c r="Z26" s="974"/>
      <c r="AA26" s="974">
        <v>150</v>
      </c>
      <c r="AB26" s="981">
        <v>31800</v>
      </c>
    </row>
    <row r="27" spans="1:28" ht="15.75">
      <c r="A27" s="2157" t="s">
        <v>153</v>
      </c>
      <c r="B27" s="2158"/>
      <c r="C27" s="147" t="s">
        <v>152</v>
      </c>
      <c r="D27" s="148" t="s">
        <v>268</v>
      </c>
      <c r="E27" s="418"/>
      <c r="F27" s="1828" t="s">
        <v>475</v>
      </c>
      <c r="G27" s="2140"/>
      <c r="H27" s="2137"/>
      <c r="I27" s="979"/>
      <c r="J27" s="974"/>
      <c r="K27" s="974"/>
      <c r="L27" s="974"/>
      <c r="M27" s="974"/>
      <c r="N27" s="979"/>
      <c r="O27" s="974"/>
      <c r="P27" s="974"/>
      <c r="Q27" s="974"/>
      <c r="R27" s="974"/>
      <c r="S27" s="979"/>
      <c r="T27" s="974"/>
      <c r="U27" s="974"/>
      <c r="V27" s="974"/>
      <c r="W27" s="974"/>
      <c r="X27" s="979"/>
      <c r="Y27" s="974">
        <v>0</v>
      </c>
      <c r="Z27" s="974"/>
      <c r="AA27" s="974">
        <v>0</v>
      </c>
      <c r="AB27" s="974"/>
    </row>
    <row r="28" spans="1:28" ht="15.75">
      <c r="A28" s="2138"/>
      <c r="B28" s="2158"/>
      <c r="C28" s="149" t="s">
        <v>154</v>
      </c>
      <c r="D28" s="148" t="s">
        <v>392</v>
      </c>
      <c r="E28" s="418"/>
      <c r="F28" s="1845"/>
      <c r="G28" s="1845"/>
      <c r="H28" s="2139"/>
      <c r="I28" s="979"/>
      <c r="J28" s="974"/>
      <c r="K28" s="974"/>
      <c r="L28" s="974"/>
      <c r="M28" s="974"/>
      <c r="N28" s="979"/>
      <c r="O28" s="974"/>
      <c r="P28" s="974"/>
      <c r="Q28" s="974"/>
      <c r="R28" s="974"/>
      <c r="S28" s="979"/>
      <c r="T28" s="974"/>
      <c r="U28" s="974"/>
      <c r="V28" s="974"/>
      <c r="W28" s="974"/>
      <c r="X28" s="979"/>
      <c r="Y28" s="974">
        <v>0</v>
      </c>
      <c r="Z28" s="974"/>
      <c r="AA28" s="974">
        <v>0</v>
      </c>
      <c r="AB28" s="974"/>
    </row>
    <row r="29" spans="1:28" ht="16.5" thickBot="1">
      <c r="A29" s="2149"/>
      <c r="B29" s="2152"/>
      <c r="C29" s="150" t="s">
        <v>400</v>
      </c>
      <c r="D29" s="148" t="s">
        <v>393</v>
      </c>
      <c r="E29" s="418"/>
      <c r="F29" s="2141"/>
      <c r="G29" s="2141"/>
      <c r="H29" s="2142"/>
      <c r="I29" s="979"/>
      <c r="J29" s="974"/>
      <c r="K29" s="974"/>
      <c r="L29" s="974"/>
      <c r="M29" s="974"/>
      <c r="N29" s="979"/>
      <c r="O29" s="974"/>
      <c r="P29" s="974"/>
      <c r="Q29" s="974"/>
      <c r="R29" s="974"/>
      <c r="S29" s="979"/>
      <c r="T29" s="974"/>
      <c r="U29" s="974"/>
      <c r="V29" s="974"/>
      <c r="W29" s="974"/>
      <c r="X29" s="979"/>
      <c r="Y29" s="974">
        <v>0</v>
      </c>
      <c r="Z29" s="974"/>
      <c r="AA29" s="974">
        <v>0</v>
      </c>
      <c r="AB29" s="974"/>
    </row>
    <row r="30" spans="1:28" ht="15.75">
      <c r="A30" s="2159" t="s">
        <v>153</v>
      </c>
      <c r="B30" s="2151"/>
      <c r="C30" s="151" t="s">
        <v>155</v>
      </c>
      <c r="D30" s="148" t="s">
        <v>266</v>
      </c>
      <c r="E30" s="418"/>
      <c r="F30" s="1828" t="s">
        <v>475</v>
      </c>
      <c r="G30" s="2140"/>
      <c r="H30" s="2137"/>
      <c r="I30" s="979"/>
      <c r="J30" s="974"/>
      <c r="K30" s="974"/>
      <c r="L30" s="974"/>
      <c r="M30" s="974"/>
      <c r="N30" s="979"/>
      <c r="O30" s="974"/>
      <c r="P30" s="974"/>
      <c r="Q30" s="974"/>
      <c r="R30" s="974"/>
      <c r="S30" s="979"/>
      <c r="T30" s="974"/>
      <c r="U30" s="974"/>
      <c r="V30" s="974"/>
      <c r="W30" s="974"/>
      <c r="X30" s="979"/>
      <c r="Y30" s="974">
        <v>0</v>
      </c>
      <c r="Z30" s="974"/>
      <c r="AA30" s="974">
        <v>0</v>
      </c>
      <c r="AB30" s="974"/>
    </row>
    <row r="31" spans="1:28" ht="15.75">
      <c r="A31" s="2138"/>
      <c r="B31" s="2158"/>
      <c r="C31" s="149" t="s">
        <v>156</v>
      </c>
      <c r="D31" s="148" t="s">
        <v>394</v>
      </c>
      <c r="E31" s="418"/>
      <c r="F31" s="1845"/>
      <c r="G31" s="1845"/>
      <c r="H31" s="2139"/>
      <c r="I31" s="979"/>
      <c r="J31" s="974"/>
      <c r="K31" s="974"/>
      <c r="L31" s="974"/>
      <c r="M31" s="974"/>
      <c r="N31" s="979"/>
      <c r="O31" s="974"/>
      <c r="P31" s="974"/>
      <c r="Q31" s="974"/>
      <c r="R31" s="974"/>
      <c r="S31" s="979"/>
      <c r="T31" s="974"/>
      <c r="U31" s="974"/>
      <c r="V31" s="974"/>
      <c r="W31" s="974"/>
      <c r="X31" s="979"/>
      <c r="Y31" s="974">
        <v>0</v>
      </c>
      <c r="Z31" s="974"/>
      <c r="AA31" s="974">
        <v>0</v>
      </c>
      <c r="AB31" s="974"/>
    </row>
    <row r="32" spans="1:28" ht="16.5" thickBot="1">
      <c r="A32" s="2149"/>
      <c r="B32" s="2152"/>
      <c r="C32" s="150" t="s">
        <v>399</v>
      </c>
      <c r="D32" s="148" t="s">
        <v>395</v>
      </c>
      <c r="E32" s="418"/>
      <c r="F32" s="2141"/>
      <c r="G32" s="2141"/>
      <c r="H32" s="2142"/>
      <c r="I32" s="979"/>
      <c r="J32" s="974"/>
      <c r="K32" s="974"/>
      <c r="L32" s="974"/>
      <c r="M32" s="974"/>
      <c r="N32" s="979"/>
      <c r="O32" s="974"/>
      <c r="P32" s="974"/>
      <c r="Q32" s="974"/>
      <c r="R32" s="974"/>
      <c r="S32" s="979"/>
      <c r="T32" s="974"/>
      <c r="U32" s="974"/>
      <c r="V32" s="974"/>
      <c r="W32" s="974"/>
      <c r="X32" s="979"/>
      <c r="Y32" s="974">
        <v>0</v>
      </c>
      <c r="Z32" s="974"/>
      <c r="AA32" s="974">
        <v>0</v>
      </c>
      <c r="AB32" s="974"/>
    </row>
    <row r="33" spans="1:28" ht="16.5" thickBot="1">
      <c r="A33" s="2159" t="s">
        <v>482</v>
      </c>
      <c r="B33" s="2151"/>
      <c r="C33" s="151" t="s">
        <v>365</v>
      </c>
      <c r="D33" s="148" t="s">
        <v>252</v>
      </c>
      <c r="E33" s="418"/>
      <c r="F33" s="1828" t="s">
        <v>483</v>
      </c>
      <c r="G33" s="2140"/>
      <c r="H33" s="2137"/>
      <c r="I33" s="979"/>
      <c r="J33" s="974"/>
      <c r="K33" s="974"/>
      <c r="L33" s="974"/>
      <c r="M33" s="974"/>
      <c r="N33" s="979"/>
      <c r="O33" s="974"/>
      <c r="P33" s="974"/>
      <c r="Q33" s="974"/>
      <c r="R33" s="974"/>
      <c r="S33" s="979"/>
      <c r="T33" s="974"/>
      <c r="U33" s="974"/>
      <c r="V33" s="974"/>
      <c r="W33" s="974"/>
      <c r="X33" s="979"/>
      <c r="Y33" s="974">
        <v>0</v>
      </c>
      <c r="Z33" s="974"/>
      <c r="AA33" s="974">
        <v>0</v>
      </c>
      <c r="AB33" s="974"/>
    </row>
    <row r="34" spans="1:28" ht="16.5" thickBot="1">
      <c r="A34" s="2159" t="s">
        <v>484</v>
      </c>
      <c r="B34" s="2151"/>
      <c r="C34" s="151" t="s">
        <v>485</v>
      </c>
      <c r="D34" s="148" t="s">
        <v>264</v>
      </c>
      <c r="E34" s="418"/>
      <c r="F34" s="2160"/>
      <c r="G34" s="2140"/>
      <c r="H34" s="2137"/>
      <c r="I34" s="979"/>
      <c r="J34" s="974"/>
      <c r="K34" s="974"/>
      <c r="L34" s="974"/>
      <c r="M34" s="974"/>
      <c r="N34" s="979"/>
      <c r="O34" s="974"/>
      <c r="P34" s="974"/>
      <c r="Q34" s="974"/>
      <c r="R34" s="974"/>
      <c r="S34" s="979"/>
      <c r="T34" s="974"/>
      <c r="U34" s="974"/>
      <c r="V34" s="974"/>
      <c r="W34" s="974"/>
      <c r="X34" s="979"/>
      <c r="Y34" s="974">
        <v>0</v>
      </c>
      <c r="Z34" s="974"/>
      <c r="AA34" s="974">
        <v>0</v>
      </c>
      <c r="AB34" s="974"/>
    </row>
    <row r="35" spans="1:28" ht="15.75">
      <c r="A35" s="2161" t="s">
        <v>486</v>
      </c>
      <c r="B35" s="2151"/>
      <c r="C35" s="152" t="s">
        <v>43</v>
      </c>
      <c r="D35" s="153" t="s">
        <v>256</v>
      </c>
      <c r="E35" s="418"/>
      <c r="F35" s="1828" t="s">
        <v>487</v>
      </c>
      <c r="G35" s="2140"/>
      <c r="H35" s="2137"/>
      <c r="I35" s="979"/>
      <c r="J35" s="974"/>
      <c r="K35" s="974"/>
      <c r="L35" s="974"/>
      <c r="M35" s="974"/>
      <c r="N35" s="979"/>
      <c r="O35" s="974"/>
      <c r="P35" s="974"/>
      <c r="Q35" s="974"/>
      <c r="R35" s="974"/>
      <c r="S35" s="979"/>
      <c r="T35" s="974"/>
      <c r="U35" s="974"/>
      <c r="V35" s="974"/>
      <c r="W35" s="974"/>
      <c r="X35" s="979"/>
      <c r="Y35" s="974">
        <v>0</v>
      </c>
      <c r="Z35" s="974"/>
      <c r="AA35" s="974">
        <v>0</v>
      </c>
      <c r="AB35" s="974"/>
    </row>
    <row r="36" spans="1:28" ht="16.5" thickBot="1">
      <c r="A36" s="2149"/>
      <c r="B36" s="2152"/>
      <c r="C36" s="154" t="s">
        <v>60</v>
      </c>
      <c r="D36" s="153" t="s">
        <v>257</v>
      </c>
      <c r="E36" s="418"/>
      <c r="F36" s="2141"/>
      <c r="G36" s="2141"/>
      <c r="H36" s="2142"/>
      <c r="I36" s="979"/>
      <c r="J36" s="974"/>
      <c r="K36" s="974"/>
      <c r="L36" s="974"/>
      <c r="M36" s="974"/>
      <c r="N36" s="979"/>
      <c r="O36" s="974"/>
      <c r="P36" s="974"/>
      <c r="Q36" s="974"/>
      <c r="R36" s="974"/>
      <c r="S36" s="979"/>
      <c r="T36" s="974"/>
      <c r="U36" s="974"/>
      <c r="V36" s="974"/>
      <c r="W36" s="974"/>
      <c r="X36" s="979"/>
      <c r="Y36" s="974">
        <v>0</v>
      </c>
      <c r="Z36" s="974"/>
      <c r="AA36" s="974">
        <v>0</v>
      </c>
      <c r="AB36" s="974"/>
    </row>
    <row r="37" spans="1:28" ht="30">
      <c r="A37" s="2165" t="s">
        <v>33</v>
      </c>
      <c r="B37" s="2140"/>
      <c r="C37" s="155" t="s">
        <v>30</v>
      </c>
      <c r="D37" s="156" t="s">
        <v>170</v>
      </c>
      <c r="E37" s="418" t="s">
        <v>277</v>
      </c>
      <c r="F37" s="1820" t="s">
        <v>858</v>
      </c>
      <c r="G37" s="2140"/>
      <c r="H37" s="2137"/>
      <c r="I37" s="979" t="s">
        <v>277</v>
      </c>
      <c r="J37" s="974">
        <v>1</v>
      </c>
      <c r="K37" s="974"/>
      <c r="L37" s="974">
        <v>150</v>
      </c>
      <c r="M37" s="981">
        <v>18150</v>
      </c>
      <c r="N37" s="979" t="s">
        <v>277</v>
      </c>
      <c r="O37" s="974">
        <v>1</v>
      </c>
      <c r="P37" s="974"/>
      <c r="Q37" s="974">
        <v>150</v>
      </c>
      <c r="R37" s="981">
        <v>18150</v>
      </c>
      <c r="S37" s="979" t="s">
        <v>277</v>
      </c>
      <c r="T37" s="974">
        <v>1</v>
      </c>
      <c r="U37" s="974"/>
      <c r="V37" s="974">
        <v>150</v>
      </c>
      <c r="W37" s="981">
        <v>18150</v>
      </c>
      <c r="X37" s="979" t="s">
        <v>277</v>
      </c>
      <c r="Y37" s="974">
        <v>3</v>
      </c>
      <c r="Z37" s="974"/>
      <c r="AA37" s="974">
        <v>450</v>
      </c>
      <c r="AB37" s="981">
        <v>163350</v>
      </c>
    </row>
    <row r="38" spans="1:28" ht="30">
      <c r="A38" s="2138"/>
      <c r="B38" s="2148"/>
      <c r="C38" s="157" t="s">
        <v>31</v>
      </c>
      <c r="D38" s="156" t="s">
        <v>169</v>
      </c>
      <c r="E38" s="418" t="s">
        <v>277</v>
      </c>
      <c r="F38" s="2166" t="s">
        <v>859</v>
      </c>
      <c r="G38" s="1820"/>
      <c r="H38" s="2310"/>
      <c r="I38" s="979" t="s">
        <v>277</v>
      </c>
      <c r="J38" s="974">
        <v>1</v>
      </c>
      <c r="K38" s="974"/>
      <c r="L38" s="974">
        <v>150</v>
      </c>
      <c r="M38" s="981">
        <v>26550</v>
      </c>
      <c r="N38" s="979" t="s">
        <v>277</v>
      </c>
      <c r="O38" s="974"/>
      <c r="P38" s="974"/>
      <c r="Q38" s="974"/>
      <c r="R38" s="981"/>
      <c r="S38" s="979" t="s">
        <v>277</v>
      </c>
      <c r="T38" s="974"/>
      <c r="U38" s="974"/>
      <c r="V38" s="974"/>
      <c r="W38" s="981"/>
      <c r="X38" s="979" t="s">
        <v>277</v>
      </c>
      <c r="Y38" s="974">
        <v>1</v>
      </c>
      <c r="Z38" s="974"/>
      <c r="AA38" s="974">
        <v>150</v>
      </c>
      <c r="AB38" s="981">
        <v>26550</v>
      </c>
    </row>
    <row r="39" spans="1:28" ht="30.75" thickBot="1">
      <c r="A39" s="2138"/>
      <c r="B39" s="2148"/>
      <c r="C39" s="158" t="s">
        <v>32</v>
      </c>
      <c r="D39" s="156" t="s">
        <v>250</v>
      </c>
      <c r="E39" s="418" t="s">
        <v>277</v>
      </c>
      <c r="F39" s="2166" t="s">
        <v>860</v>
      </c>
      <c r="G39" s="1820"/>
      <c r="H39" s="2310"/>
      <c r="I39" s="979" t="s">
        <v>277</v>
      </c>
      <c r="J39" s="974"/>
      <c r="K39" s="974"/>
      <c r="L39" s="974"/>
      <c r="M39" s="974"/>
      <c r="N39" s="979" t="s">
        <v>277</v>
      </c>
      <c r="O39" s="974"/>
      <c r="P39" s="974"/>
      <c r="Q39" s="974"/>
      <c r="R39" s="974"/>
      <c r="S39" s="979" t="s">
        <v>277</v>
      </c>
      <c r="T39" s="974">
        <v>1</v>
      </c>
      <c r="U39" s="974"/>
      <c r="V39" s="974">
        <v>150</v>
      </c>
      <c r="W39" s="981">
        <v>34950</v>
      </c>
      <c r="X39" s="979" t="s">
        <v>277</v>
      </c>
      <c r="Y39" s="974">
        <v>1</v>
      </c>
      <c r="Z39" s="974"/>
      <c r="AA39" s="974">
        <v>150</v>
      </c>
      <c r="AB39" s="981">
        <v>34950</v>
      </c>
    </row>
    <row r="40" spans="1:28" ht="15.75">
      <c r="A40" s="2169" t="s">
        <v>491</v>
      </c>
      <c r="B40" s="2170"/>
      <c r="C40" s="159" t="s">
        <v>144</v>
      </c>
      <c r="D40" s="160" t="s">
        <v>253</v>
      </c>
      <c r="E40" s="418"/>
      <c r="F40" s="1828" t="s">
        <v>492</v>
      </c>
      <c r="G40" s="2140"/>
      <c r="H40" s="2137"/>
      <c r="I40" s="979"/>
      <c r="J40" s="974"/>
      <c r="K40" s="974"/>
      <c r="L40" s="974"/>
      <c r="M40" s="974"/>
      <c r="N40" s="979"/>
      <c r="O40" s="974"/>
      <c r="P40" s="974"/>
      <c r="Q40" s="974"/>
      <c r="R40" s="974"/>
      <c r="S40" s="979"/>
      <c r="T40" s="974"/>
      <c r="U40" s="974"/>
      <c r="V40" s="974"/>
      <c r="W40" s="974"/>
      <c r="X40" s="979"/>
      <c r="Y40" s="974">
        <v>0</v>
      </c>
      <c r="Z40" s="974"/>
      <c r="AA40" s="974">
        <v>0</v>
      </c>
      <c r="AB40" s="974"/>
    </row>
    <row r="41" spans="1:28" ht="16.5" thickBot="1">
      <c r="A41" s="2148"/>
      <c r="B41" s="2158"/>
      <c r="C41" s="161" t="s">
        <v>145</v>
      </c>
      <c r="D41" s="160" t="s">
        <v>254</v>
      </c>
      <c r="E41" s="418"/>
      <c r="F41" s="2141"/>
      <c r="G41" s="2141"/>
      <c r="H41" s="2142"/>
      <c r="I41" s="979"/>
      <c r="J41" s="974"/>
      <c r="K41" s="974"/>
      <c r="L41" s="974"/>
      <c r="M41" s="974"/>
      <c r="N41" s="979"/>
      <c r="O41" s="974"/>
      <c r="P41" s="974"/>
      <c r="Q41" s="974"/>
      <c r="R41" s="974"/>
      <c r="S41" s="979"/>
      <c r="T41" s="974"/>
      <c r="U41" s="974"/>
      <c r="V41" s="974"/>
      <c r="W41" s="974"/>
      <c r="X41" s="979"/>
      <c r="Y41" s="974">
        <v>0</v>
      </c>
      <c r="Z41" s="974"/>
      <c r="AA41" s="974">
        <v>0</v>
      </c>
      <c r="AB41" s="974"/>
    </row>
    <row r="42" spans="1:28" ht="48" thickBot="1">
      <c r="A42" s="2171"/>
      <c r="B42" s="2172"/>
      <c r="C42" s="162" t="s">
        <v>128</v>
      </c>
      <c r="D42" s="160" t="s">
        <v>262</v>
      </c>
      <c r="E42" s="418"/>
      <c r="F42" s="2173"/>
      <c r="G42" s="2097"/>
      <c r="H42" s="2098"/>
      <c r="I42" s="979"/>
      <c r="J42" s="974"/>
      <c r="K42" s="974"/>
      <c r="L42" s="974"/>
      <c r="M42" s="974"/>
      <c r="N42" s="979"/>
      <c r="O42" s="974"/>
      <c r="P42" s="974"/>
      <c r="Q42" s="974"/>
      <c r="R42" s="974"/>
      <c r="S42" s="979"/>
      <c r="T42" s="974"/>
      <c r="U42" s="974"/>
      <c r="V42" s="974"/>
      <c r="W42" s="974"/>
      <c r="X42" s="979"/>
      <c r="Y42" s="974">
        <v>0</v>
      </c>
      <c r="Z42" s="974"/>
      <c r="AA42" s="974">
        <v>0</v>
      </c>
      <c r="AB42" s="974"/>
    </row>
    <row r="43" spans="1:28" ht="15.75" thickBot="1">
      <c r="A43" s="2146" t="s">
        <v>493</v>
      </c>
      <c r="B43" s="2144"/>
      <c r="C43" s="2145"/>
      <c r="D43" s="163" t="s">
        <v>237</v>
      </c>
      <c r="E43" s="418" t="s">
        <v>277</v>
      </c>
      <c r="F43" s="1818" t="s">
        <v>861</v>
      </c>
      <c r="G43" s="2097"/>
      <c r="H43" s="2098"/>
      <c r="I43" s="980" t="s">
        <v>277</v>
      </c>
      <c r="J43" s="976">
        <v>2</v>
      </c>
      <c r="K43" s="976"/>
      <c r="L43" s="976">
        <v>10</v>
      </c>
      <c r="M43" s="982">
        <v>13040</v>
      </c>
      <c r="N43" s="980" t="s">
        <v>277</v>
      </c>
      <c r="O43" s="976">
        <v>2</v>
      </c>
      <c r="P43" s="976"/>
      <c r="Q43" s="976">
        <v>10</v>
      </c>
      <c r="R43" s="982">
        <v>13040</v>
      </c>
      <c r="S43" s="980" t="s">
        <v>277</v>
      </c>
      <c r="T43" s="976">
        <v>2</v>
      </c>
      <c r="U43" s="976"/>
      <c r="V43" s="976">
        <v>10</v>
      </c>
      <c r="W43" s="982">
        <v>13040</v>
      </c>
      <c r="X43" s="980" t="s">
        <v>277</v>
      </c>
      <c r="Y43" s="976">
        <v>6</v>
      </c>
      <c r="Z43" s="976"/>
      <c r="AA43" s="976">
        <v>30</v>
      </c>
      <c r="AB43" s="982">
        <v>117360</v>
      </c>
    </row>
    <row r="44" spans="1:28" ht="15.75" thickBot="1">
      <c r="I44" s="983"/>
      <c r="J44" s="984">
        <v>7</v>
      </c>
      <c r="K44" s="984">
        <v>0</v>
      </c>
      <c r="L44" s="984">
        <v>760</v>
      </c>
      <c r="M44" s="985">
        <v>159890</v>
      </c>
      <c r="N44" s="986"/>
      <c r="O44" s="984">
        <v>7</v>
      </c>
      <c r="P44" s="984">
        <v>0</v>
      </c>
      <c r="Q44" s="984">
        <v>760</v>
      </c>
      <c r="R44" s="985">
        <v>163490</v>
      </c>
      <c r="S44" s="986"/>
      <c r="T44" s="984">
        <v>9</v>
      </c>
      <c r="U44" s="984">
        <v>1</v>
      </c>
      <c r="V44" s="984">
        <v>1060</v>
      </c>
      <c r="W44" s="985">
        <v>291890</v>
      </c>
      <c r="X44" s="986"/>
      <c r="Y44" s="984">
        <v>23</v>
      </c>
      <c r="Z44" s="984">
        <v>1</v>
      </c>
      <c r="AA44" s="984">
        <v>2580</v>
      </c>
      <c r="AB44" s="985">
        <v>1415310</v>
      </c>
    </row>
    <row r="47" spans="1:28">
      <c r="A47" s="2198" t="s">
        <v>1270</v>
      </c>
      <c r="B47" s="2199"/>
      <c r="C47" s="2199"/>
      <c r="D47" s="2199"/>
      <c r="E47" s="2199"/>
      <c r="F47" s="2199"/>
    </row>
    <row r="48" spans="1:28" ht="90">
      <c r="A48" s="1515" t="s">
        <v>1271</v>
      </c>
      <c r="B48" s="1515" t="s">
        <v>1272</v>
      </c>
      <c r="C48" s="1515" t="s">
        <v>1273</v>
      </c>
      <c r="D48" s="1515" t="s">
        <v>1274</v>
      </c>
      <c r="E48" s="1515" t="s">
        <v>1275</v>
      </c>
      <c r="F48" s="1515" t="s">
        <v>1536</v>
      </c>
    </row>
    <row r="49" spans="1:6">
      <c r="A49" s="2571" t="s">
        <v>1372</v>
      </c>
      <c r="B49" s="2555" t="s">
        <v>1278</v>
      </c>
      <c r="C49" s="2556" t="s">
        <v>1279</v>
      </c>
      <c r="D49" s="2556" t="s">
        <v>954</v>
      </c>
      <c r="E49" s="1516" t="s">
        <v>237</v>
      </c>
      <c r="F49" s="1516">
        <v>1</v>
      </c>
    </row>
    <row r="50" spans="1:6">
      <c r="A50" s="2555"/>
      <c r="B50" s="2555"/>
      <c r="C50" s="2556"/>
      <c r="D50" s="2556"/>
      <c r="E50" s="1516" t="s">
        <v>1280</v>
      </c>
      <c r="F50" s="1516">
        <v>1</v>
      </c>
    </row>
    <row r="51" spans="1:6">
      <c r="A51" s="2555"/>
      <c r="B51" s="2555"/>
      <c r="C51" s="2556"/>
      <c r="D51" s="2556"/>
      <c r="E51" s="1516" t="s">
        <v>1284</v>
      </c>
      <c r="F51" s="1516"/>
    </row>
    <row r="52" spans="1:6" ht="75">
      <c r="A52" s="1519" t="s">
        <v>1537</v>
      </c>
      <c r="B52" s="1517" t="s">
        <v>1278</v>
      </c>
      <c r="C52" s="1516" t="s">
        <v>1384</v>
      </c>
      <c r="D52" s="1516" t="s">
        <v>954</v>
      </c>
      <c r="E52" s="1518" t="s">
        <v>1284</v>
      </c>
      <c r="F52" s="1516">
        <v>1</v>
      </c>
    </row>
    <row r="53" spans="1:6">
      <c r="A53" s="2558" t="s">
        <v>1330</v>
      </c>
      <c r="B53" s="2555" t="s">
        <v>1282</v>
      </c>
      <c r="C53" s="2556" t="s">
        <v>1283</v>
      </c>
      <c r="D53" s="2556" t="s">
        <v>954</v>
      </c>
      <c r="E53" s="1516" t="s">
        <v>237</v>
      </c>
      <c r="F53" s="1516"/>
    </row>
    <row r="54" spans="1:6">
      <c r="A54" s="2564"/>
      <c r="B54" s="2555"/>
      <c r="C54" s="2556"/>
      <c r="D54" s="2556"/>
      <c r="E54" s="1516" t="s">
        <v>1284</v>
      </c>
      <c r="F54" s="1516"/>
    </row>
    <row r="55" spans="1:6">
      <c r="A55" s="2559"/>
      <c r="B55" s="2555"/>
      <c r="C55" s="2556"/>
      <c r="D55" s="2556"/>
      <c r="E55" s="1516" t="s">
        <v>1388</v>
      </c>
      <c r="F55" s="1516"/>
    </row>
    <row r="56" spans="1:6">
      <c r="A56" s="2557" t="s">
        <v>1538</v>
      </c>
      <c r="B56" s="2555" t="s">
        <v>1287</v>
      </c>
      <c r="C56" s="2556" t="s">
        <v>1307</v>
      </c>
      <c r="D56" s="2556" t="s">
        <v>954</v>
      </c>
      <c r="E56" s="1516" t="s">
        <v>237</v>
      </c>
      <c r="F56" s="1516"/>
    </row>
    <row r="57" spans="1:6">
      <c r="A57" s="2557"/>
      <c r="B57" s="2555"/>
      <c r="C57" s="2556"/>
      <c r="D57" s="2556"/>
      <c r="E57" s="1516" t="s">
        <v>1284</v>
      </c>
      <c r="F57" s="1516"/>
    </row>
    <row r="58" spans="1:6">
      <c r="A58" s="2557"/>
      <c r="B58" s="2555"/>
      <c r="C58" s="2556"/>
      <c r="D58" s="2556"/>
      <c r="E58" s="1516" t="s">
        <v>1280</v>
      </c>
      <c r="F58" s="1516"/>
    </row>
    <row r="59" spans="1:6">
      <c r="A59" s="2557" t="s">
        <v>1360</v>
      </c>
      <c r="B59" s="2555" t="s">
        <v>1282</v>
      </c>
      <c r="C59" s="2556" t="s">
        <v>1283</v>
      </c>
      <c r="D59" s="2556" t="s">
        <v>954</v>
      </c>
      <c r="E59" s="1516" t="s">
        <v>1284</v>
      </c>
      <c r="F59" s="1516">
        <v>1</v>
      </c>
    </row>
    <row r="60" spans="1:6">
      <c r="A60" s="2557"/>
      <c r="B60" s="2555"/>
      <c r="C60" s="2556"/>
      <c r="D60" s="2556"/>
      <c r="E60" s="1516" t="s">
        <v>1280</v>
      </c>
      <c r="F60" s="1516"/>
    </row>
    <row r="61" spans="1:6">
      <c r="A61" s="2557" t="s">
        <v>1539</v>
      </c>
      <c r="B61" s="2555" t="s">
        <v>1287</v>
      </c>
      <c r="C61" s="2556" t="s">
        <v>1283</v>
      </c>
      <c r="D61" s="2556" t="s">
        <v>954</v>
      </c>
      <c r="E61" s="1516" t="s">
        <v>1390</v>
      </c>
      <c r="F61" s="1516"/>
    </row>
    <row r="62" spans="1:6">
      <c r="A62" s="2557"/>
      <c r="B62" s="2555"/>
      <c r="C62" s="2556"/>
      <c r="D62" s="2556"/>
      <c r="E62" s="1516" t="s">
        <v>237</v>
      </c>
      <c r="F62" s="1516">
        <v>1</v>
      </c>
    </row>
    <row r="63" spans="1:6">
      <c r="A63" s="2557"/>
      <c r="B63" s="2555"/>
      <c r="C63" s="2556"/>
      <c r="D63" s="2556"/>
      <c r="E63" s="1516" t="s">
        <v>1280</v>
      </c>
      <c r="F63" s="1516"/>
    </row>
    <row r="64" spans="1:6">
      <c r="A64" s="2557" t="s">
        <v>1540</v>
      </c>
      <c r="B64" s="2555" t="s">
        <v>1287</v>
      </c>
      <c r="C64" s="2556" t="s">
        <v>1289</v>
      </c>
      <c r="D64" s="2556" t="s">
        <v>954</v>
      </c>
      <c r="E64" s="1516" t="s">
        <v>237</v>
      </c>
      <c r="F64" s="1516"/>
    </row>
    <row r="65" spans="1:6">
      <c r="A65" s="2557"/>
      <c r="B65" s="2555"/>
      <c r="C65" s="2556"/>
      <c r="D65" s="2556"/>
      <c r="E65" s="1516" t="s">
        <v>1284</v>
      </c>
      <c r="F65" s="1516"/>
    </row>
    <row r="66" spans="1:6">
      <c r="A66" s="2557"/>
      <c r="B66" s="2555"/>
      <c r="C66" s="2556"/>
      <c r="D66" s="2556"/>
      <c r="E66" s="1516" t="s">
        <v>1280</v>
      </c>
      <c r="F66" s="1516"/>
    </row>
    <row r="67" spans="1:6">
      <c r="A67" s="2557"/>
      <c r="B67" s="2555"/>
      <c r="C67" s="2556"/>
      <c r="D67" s="2556"/>
      <c r="E67" s="1516" t="s">
        <v>1390</v>
      </c>
      <c r="F67" s="1516"/>
    </row>
    <row r="68" spans="1:6">
      <c r="A68" s="2565" t="s">
        <v>1541</v>
      </c>
      <c r="B68" s="2555" t="s">
        <v>1282</v>
      </c>
      <c r="C68" s="2556" t="s">
        <v>1283</v>
      </c>
      <c r="D68" s="2556" t="s">
        <v>954</v>
      </c>
      <c r="E68" s="1516" t="s">
        <v>237</v>
      </c>
      <c r="F68" s="1516"/>
    </row>
    <row r="69" spans="1:6">
      <c r="A69" s="2565"/>
      <c r="B69" s="2555"/>
      <c r="C69" s="2556"/>
      <c r="D69" s="2556"/>
      <c r="E69" s="1516" t="s">
        <v>1280</v>
      </c>
      <c r="F69" s="1516"/>
    </row>
    <row r="70" spans="1:6">
      <c r="A70" s="2565"/>
      <c r="B70" s="2555"/>
      <c r="C70" s="2556"/>
      <c r="D70" s="2556"/>
      <c r="E70" s="1516" t="s">
        <v>1390</v>
      </c>
      <c r="F70" s="1516"/>
    </row>
    <row r="71" spans="1:6">
      <c r="A71" s="2565" t="s">
        <v>1542</v>
      </c>
      <c r="B71" s="2555" t="s">
        <v>1291</v>
      </c>
      <c r="C71" s="2556" t="s">
        <v>1292</v>
      </c>
      <c r="D71" s="2556" t="s">
        <v>954</v>
      </c>
      <c r="E71" s="1516" t="s">
        <v>1284</v>
      </c>
      <c r="F71" s="1516"/>
    </row>
    <row r="72" spans="1:6">
      <c r="A72" s="2565"/>
      <c r="B72" s="2555"/>
      <c r="C72" s="2556"/>
      <c r="D72" s="2556"/>
      <c r="E72" s="1516" t="s">
        <v>1487</v>
      </c>
      <c r="F72" s="1516">
        <v>1</v>
      </c>
    </row>
    <row r="73" spans="1:6">
      <c r="A73" s="2565"/>
      <c r="B73" s="2555"/>
      <c r="C73" s="2556"/>
      <c r="D73" s="2556"/>
      <c r="E73" s="1516" t="s">
        <v>1280</v>
      </c>
      <c r="F73" s="1516"/>
    </row>
    <row r="74" spans="1:6">
      <c r="A74" s="2572" t="s">
        <v>1364</v>
      </c>
      <c r="B74" s="2555" t="s">
        <v>1282</v>
      </c>
      <c r="C74" s="2556" t="s">
        <v>1395</v>
      </c>
      <c r="D74" s="2556" t="s">
        <v>954</v>
      </c>
      <c r="E74" s="1516" t="s">
        <v>1284</v>
      </c>
      <c r="F74" s="1516"/>
    </row>
    <row r="75" spans="1:6">
      <c r="A75" s="2568"/>
      <c r="B75" s="2555"/>
      <c r="C75" s="2556"/>
      <c r="D75" s="2556"/>
      <c r="E75" s="1516" t="s">
        <v>1487</v>
      </c>
      <c r="F75" s="1516">
        <v>1</v>
      </c>
    </row>
    <row r="76" spans="1:6">
      <c r="A76" s="2568"/>
      <c r="B76" s="2555"/>
      <c r="C76" s="2556"/>
      <c r="D76" s="2556"/>
      <c r="E76" s="1516" t="s">
        <v>1280</v>
      </c>
      <c r="F76" s="1516"/>
    </row>
    <row r="77" spans="1:6">
      <c r="A77" s="2557" t="s">
        <v>1543</v>
      </c>
      <c r="B77" s="2555" t="s">
        <v>1282</v>
      </c>
      <c r="C77" s="2556" t="s">
        <v>1395</v>
      </c>
      <c r="D77" s="2556" t="s">
        <v>954</v>
      </c>
      <c r="E77" s="1516" t="s">
        <v>1284</v>
      </c>
      <c r="F77" s="1516"/>
    </row>
    <row r="78" spans="1:6">
      <c r="A78" s="2557"/>
      <c r="B78" s="2555"/>
      <c r="C78" s="2556"/>
      <c r="D78" s="2556"/>
      <c r="E78" s="1516" t="s">
        <v>1487</v>
      </c>
      <c r="F78" s="1516"/>
    </row>
    <row r="79" spans="1:6">
      <c r="A79" s="2557"/>
      <c r="B79" s="2555"/>
      <c r="C79" s="2556"/>
      <c r="D79" s="2556"/>
      <c r="E79" s="1516" t="s">
        <v>1280</v>
      </c>
      <c r="F79" s="1516"/>
    </row>
    <row r="80" spans="1:6">
      <c r="A80" s="2557" t="s">
        <v>1366</v>
      </c>
      <c r="B80" s="2555" t="s">
        <v>1282</v>
      </c>
      <c r="C80" s="2556" t="s">
        <v>1307</v>
      </c>
      <c r="D80" s="2556" t="s">
        <v>954</v>
      </c>
      <c r="E80" s="1516" t="s">
        <v>1284</v>
      </c>
      <c r="F80" s="1516"/>
    </row>
    <row r="81" spans="1:6">
      <c r="A81" s="2557"/>
      <c r="B81" s="2555"/>
      <c r="C81" s="2556"/>
      <c r="D81" s="2556"/>
      <c r="E81" s="1516" t="s">
        <v>1487</v>
      </c>
      <c r="F81" s="1516"/>
    </row>
    <row r="82" spans="1:6">
      <c r="A82" s="2557"/>
      <c r="B82" s="2555"/>
      <c r="C82" s="2556"/>
      <c r="D82" s="2556"/>
      <c r="E82" s="1516" t="s">
        <v>1280</v>
      </c>
      <c r="F82" s="1516"/>
    </row>
    <row r="83" spans="1:6">
      <c r="A83" s="2571" t="s">
        <v>1398</v>
      </c>
      <c r="B83" s="2555" t="s">
        <v>1287</v>
      </c>
      <c r="C83" s="2556" t="s">
        <v>1307</v>
      </c>
      <c r="D83" s="2556" t="s">
        <v>954</v>
      </c>
      <c r="E83" s="1516" t="s">
        <v>1284</v>
      </c>
      <c r="F83" s="1516"/>
    </row>
    <row r="84" spans="1:6">
      <c r="A84" s="2555"/>
      <c r="B84" s="2555"/>
      <c r="C84" s="2556"/>
      <c r="D84" s="2556"/>
      <c r="E84" s="1516" t="s">
        <v>1280</v>
      </c>
      <c r="F84" s="1516"/>
    </row>
    <row r="85" spans="1:6">
      <c r="A85" s="2555"/>
      <c r="B85" s="2555"/>
      <c r="C85" s="2556"/>
      <c r="D85" s="2556"/>
      <c r="E85" s="1516" t="s">
        <v>1387</v>
      </c>
      <c r="F85" s="1516"/>
    </row>
    <row r="86" spans="1:6">
      <c r="A86" s="2555"/>
      <c r="B86" s="2555"/>
      <c r="C86" s="2556"/>
      <c r="D86" s="2556"/>
      <c r="E86" s="1516" t="s">
        <v>237</v>
      </c>
      <c r="F86" s="1516"/>
    </row>
  </sheetData>
  <mergeCells count="92">
    <mergeCell ref="A83:A86"/>
    <mergeCell ref="B83:B86"/>
    <mergeCell ref="C83:C86"/>
    <mergeCell ref="D83:D86"/>
    <mergeCell ref="A77:A79"/>
    <mergeCell ref="B77:B79"/>
    <mergeCell ref="C77:C79"/>
    <mergeCell ref="D77:D79"/>
    <mergeCell ref="A80:A82"/>
    <mergeCell ref="B80:B82"/>
    <mergeCell ref="C80:C82"/>
    <mergeCell ref="D80:D82"/>
    <mergeCell ref="A74:A76"/>
    <mergeCell ref="B74:B76"/>
    <mergeCell ref="C74:C76"/>
    <mergeCell ref="D74:D76"/>
    <mergeCell ref="A47:F47"/>
    <mergeCell ref="A71:A73"/>
    <mergeCell ref="B71:B73"/>
    <mergeCell ref="C71:C73"/>
    <mergeCell ref="A68:A70"/>
    <mergeCell ref="B68:B70"/>
    <mergeCell ref="C68:C70"/>
    <mergeCell ref="D68:D70"/>
    <mergeCell ref="D71:D73"/>
    <mergeCell ref="A61:A63"/>
    <mergeCell ref="B61:B63"/>
    <mergeCell ref="C61:C63"/>
    <mergeCell ref="A49:A51"/>
    <mergeCell ref="B49:B51"/>
    <mergeCell ref="C49:C51"/>
    <mergeCell ref="D49:D51"/>
    <mergeCell ref="A53:A55"/>
    <mergeCell ref="B53:B55"/>
    <mergeCell ref="C53:C55"/>
    <mergeCell ref="D53:D55"/>
    <mergeCell ref="A56:A58"/>
    <mergeCell ref="B56:B58"/>
    <mergeCell ref="C56:C58"/>
    <mergeCell ref="D56:D58"/>
    <mergeCell ref="A64:A67"/>
    <mergeCell ref="B64:B67"/>
    <mergeCell ref="C64:C67"/>
    <mergeCell ref="D64:D67"/>
    <mergeCell ref="A59:A60"/>
    <mergeCell ref="B59:B60"/>
    <mergeCell ref="C59:C60"/>
    <mergeCell ref="D59:D60"/>
    <mergeCell ref="D61:D63"/>
    <mergeCell ref="I13:M13"/>
    <mergeCell ref="X13:AB13"/>
    <mergeCell ref="N13:R13"/>
    <mergeCell ref="S13:W13"/>
    <mergeCell ref="A15:B17"/>
    <mergeCell ref="F15:H17"/>
    <mergeCell ref="C10:H10"/>
    <mergeCell ref="A10:B10"/>
    <mergeCell ref="E12:H13"/>
    <mergeCell ref="A14:B14"/>
    <mergeCell ref="F14:H14"/>
    <mergeCell ref="B2:D2"/>
    <mergeCell ref="B3:D3"/>
    <mergeCell ref="B8:D8"/>
    <mergeCell ref="B4:D4"/>
    <mergeCell ref="B6:D6"/>
    <mergeCell ref="A18:B20"/>
    <mergeCell ref="F18:H20"/>
    <mergeCell ref="A21:B22"/>
    <mergeCell ref="F21:H22"/>
    <mergeCell ref="A23:B25"/>
    <mergeCell ref="F23:H25"/>
    <mergeCell ref="A26:C26"/>
    <mergeCell ref="F26:H26"/>
    <mergeCell ref="A27:B29"/>
    <mergeCell ref="F27:H29"/>
    <mergeCell ref="A30:B32"/>
    <mergeCell ref="F30:H32"/>
    <mergeCell ref="A33:B33"/>
    <mergeCell ref="F33:H33"/>
    <mergeCell ref="A34:B34"/>
    <mergeCell ref="F34:H34"/>
    <mergeCell ref="A35:B36"/>
    <mergeCell ref="F35:H36"/>
    <mergeCell ref="A43:C43"/>
    <mergeCell ref="F43:H43"/>
    <mergeCell ref="A37:B39"/>
    <mergeCell ref="F37:H37"/>
    <mergeCell ref="F38:H38"/>
    <mergeCell ref="F39:H39"/>
    <mergeCell ref="A40:B42"/>
    <mergeCell ref="F40:H41"/>
    <mergeCell ref="F42:H42"/>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2" location="SOMMAIRE!A1" display="Retour sommaire"/>
    <hyperlink ref="J4" location="SYNTHESE!A1" display="Retour synthèse"/>
    <hyperlink ref="H6" r:id="rId1"/>
  </hyperlinks>
  <pageMargins left="0.25" right="0.25" top="0.75" bottom="0.75" header="0.3" footer="0.3"/>
  <pageSetup paperSize="9" orientation="landscape"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7E4FF"/>
  </sheetPr>
  <dimension ref="A1:W70"/>
  <sheetViews>
    <sheetView topLeftCell="A43" zoomScale="110" zoomScaleNormal="110" workbookViewId="0"/>
  </sheetViews>
  <sheetFormatPr baseColWidth="10" defaultRowHeight="15"/>
  <cols>
    <col min="1" max="1" width="20.42578125" style="1" bestFit="1" customWidth="1"/>
    <col min="2" max="2" width="15.7109375" style="1" customWidth="1"/>
    <col min="3" max="3" width="45.5703125" style="1" customWidth="1"/>
    <col min="4" max="4" width="9" style="1" customWidth="1"/>
    <col min="5" max="5" width="7.5703125" style="1" customWidth="1"/>
    <col min="6" max="6" width="16.28515625" style="1" bestFit="1" customWidth="1"/>
    <col min="7" max="7" width="13.85546875" style="1" bestFit="1" customWidth="1"/>
    <col min="8" max="8" width="15.140625" bestFit="1" customWidth="1"/>
    <col min="9" max="9" width="5.7109375" customWidth="1"/>
  </cols>
  <sheetData>
    <row r="1" spans="1:23" ht="15.75" thickBot="1">
      <c r="A1" s="327"/>
      <c r="B1" s="327"/>
      <c r="C1" s="327"/>
      <c r="D1" s="327"/>
      <c r="E1" s="327"/>
      <c r="F1" s="327"/>
      <c r="G1" s="327"/>
      <c r="H1" s="327"/>
    </row>
    <row r="2" spans="1:23" ht="15.75" thickBot="1">
      <c r="A2" s="109" t="s">
        <v>0</v>
      </c>
      <c r="B2" s="2029" t="s">
        <v>653</v>
      </c>
      <c r="C2" s="2624"/>
      <c r="D2" s="2625"/>
      <c r="E2" s="110"/>
      <c r="F2" s="110"/>
      <c r="G2" s="111" t="s">
        <v>462</v>
      </c>
      <c r="H2" s="112" t="s">
        <v>14</v>
      </c>
    </row>
    <row r="3" spans="1:23" ht="15.75" thickBot="1">
      <c r="A3" s="113" t="s">
        <v>344</v>
      </c>
      <c r="B3" s="2029" t="s">
        <v>654</v>
      </c>
      <c r="C3" s="2624"/>
      <c r="D3" s="2625"/>
      <c r="E3" s="110"/>
      <c r="F3" s="110"/>
      <c r="G3" s="114" t="s">
        <v>10</v>
      </c>
      <c r="H3" s="112" t="s">
        <v>16</v>
      </c>
      <c r="J3" s="11" t="s">
        <v>73</v>
      </c>
    </row>
    <row r="4" spans="1:23" ht="15.75" customHeight="1" thickBot="1">
      <c r="A4" s="114" t="s">
        <v>3</v>
      </c>
      <c r="B4" s="1823" t="s">
        <v>662</v>
      </c>
      <c r="C4" s="2179"/>
      <c r="D4" s="2180"/>
      <c r="E4" s="115"/>
      <c r="F4" s="110"/>
      <c r="G4" s="116" t="s">
        <v>26</v>
      </c>
      <c r="H4" s="112">
        <v>10</v>
      </c>
    </row>
    <row r="5" spans="1:23" ht="15.75" customHeight="1" thickBot="1">
      <c r="A5" s="110"/>
      <c r="B5" s="110"/>
      <c r="C5" s="110"/>
      <c r="D5" s="110"/>
      <c r="E5" s="110"/>
      <c r="F5" s="110"/>
      <c r="G5" s="110"/>
      <c r="H5" s="110"/>
      <c r="J5" s="13" t="s">
        <v>381</v>
      </c>
    </row>
    <row r="6" spans="1:23" ht="252" customHeight="1" thickBot="1">
      <c r="A6" s="109" t="s">
        <v>465</v>
      </c>
      <c r="B6" s="2626" t="s">
        <v>1604</v>
      </c>
      <c r="C6" s="2627"/>
      <c r="D6" s="2628"/>
      <c r="E6" s="110"/>
      <c r="F6" s="110"/>
      <c r="G6" s="118" t="s">
        <v>466</v>
      </c>
      <c r="H6" s="178" t="s">
        <v>663</v>
      </c>
    </row>
    <row r="7" spans="1:23" ht="15.75" thickBot="1">
      <c r="A7" s="327"/>
      <c r="B7" s="110"/>
      <c r="C7" s="110"/>
      <c r="D7" s="110"/>
      <c r="E7" s="110"/>
      <c r="F7" s="110"/>
      <c r="G7" s="120"/>
      <c r="H7" s="110"/>
    </row>
    <row r="8" spans="1:23" ht="45.75" customHeight="1" thickBot="1">
      <c r="A8" s="121" t="s">
        <v>7</v>
      </c>
      <c r="B8" s="1823"/>
      <c r="C8" s="2179"/>
      <c r="D8" s="2180"/>
      <c r="E8" s="115"/>
      <c r="F8" s="122"/>
      <c r="G8" s="121" t="s">
        <v>469</v>
      </c>
      <c r="H8" s="123" t="s">
        <v>537</v>
      </c>
    </row>
    <row r="9" spans="1:23" ht="15.75" thickBot="1">
      <c r="A9" s="327"/>
      <c r="B9" s="110"/>
      <c r="C9" s="110"/>
      <c r="D9" s="110"/>
      <c r="E9" s="110"/>
      <c r="F9" s="110"/>
      <c r="G9" s="120"/>
      <c r="H9" s="110"/>
    </row>
    <row r="10" spans="1:23" ht="54.75" customHeight="1" thickBot="1">
      <c r="A10" s="2174" t="s">
        <v>471</v>
      </c>
      <c r="B10" s="2174"/>
      <c r="C10" s="191" t="s">
        <v>664</v>
      </c>
      <c r="D10" s="124"/>
      <c r="E10" s="115"/>
      <c r="F10" s="122"/>
      <c r="G10" s="125"/>
      <c r="H10" s="125"/>
      <c r="J10" s="1259"/>
    </row>
    <row r="11" spans="1:23">
      <c r="A11" s="126"/>
      <c r="B11" s="115"/>
      <c r="C11" s="115"/>
      <c r="D11" s="115"/>
      <c r="E11" s="115"/>
      <c r="F11" s="122"/>
      <c r="G11" s="125"/>
      <c r="H11" s="125"/>
      <c r="J11" s="61"/>
    </row>
    <row r="12" spans="1:23" ht="15" customHeight="1">
      <c r="A12" s="126"/>
      <c r="B12" s="115"/>
      <c r="C12" s="115"/>
      <c r="D12" s="115"/>
      <c r="E12" s="2181" t="s">
        <v>473</v>
      </c>
      <c r="F12" s="2181"/>
      <c r="G12" s="2181"/>
      <c r="H12" s="2181"/>
      <c r="J12" s="61"/>
    </row>
    <row r="13" spans="1:23" ht="15" customHeight="1">
      <c r="A13" s="110"/>
      <c r="B13" s="110"/>
      <c r="C13" s="110"/>
      <c r="D13" s="110"/>
      <c r="E13" s="2650"/>
      <c r="F13" s="2650"/>
      <c r="G13" s="2650"/>
      <c r="H13" s="2650"/>
      <c r="I13" s="2186">
        <v>2025</v>
      </c>
      <c r="J13" s="2097"/>
      <c r="K13" s="2097"/>
      <c r="L13" s="2097"/>
      <c r="M13" s="2098"/>
      <c r="N13" s="2186">
        <v>2026</v>
      </c>
      <c r="O13" s="2097"/>
      <c r="P13" s="2097"/>
      <c r="Q13" s="2097"/>
      <c r="R13" s="2098"/>
      <c r="S13" s="2186">
        <v>2027</v>
      </c>
      <c r="T13" s="2097"/>
      <c r="U13" s="2097"/>
      <c r="V13" s="2097"/>
      <c r="W13" s="2098"/>
    </row>
    <row r="14" spans="1:23" ht="45.75" thickBot="1">
      <c r="A14" s="2629" t="s">
        <v>5</v>
      </c>
      <c r="B14" s="2630"/>
      <c r="C14" s="128" t="s">
        <v>1</v>
      </c>
      <c r="D14" s="128" t="s">
        <v>260</v>
      </c>
      <c r="E14" s="129" t="s">
        <v>474</v>
      </c>
      <c r="F14" s="2182" t="s">
        <v>6</v>
      </c>
      <c r="G14" s="2631"/>
      <c r="H14" s="2632"/>
      <c r="I14" s="615" t="s">
        <v>474</v>
      </c>
      <c r="J14" s="616" t="s">
        <v>944</v>
      </c>
      <c r="K14" s="617" t="s">
        <v>945</v>
      </c>
      <c r="L14" s="616" t="s">
        <v>946</v>
      </c>
      <c r="M14" s="618" t="s">
        <v>947</v>
      </c>
      <c r="N14" s="615" t="s">
        <v>474</v>
      </c>
      <c r="O14" s="616" t="s">
        <v>944</v>
      </c>
      <c r="P14" s="617" t="s">
        <v>945</v>
      </c>
      <c r="Q14" s="616" t="s">
        <v>946</v>
      </c>
      <c r="R14" s="618" t="s">
        <v>947</v>
      </c>
      <c r="S14" s="615" t="s">
        <v>474</v>
      </c>
      <c r="T14" s="616" t="s">
        <v>944</v>
      </c>
      <c r="U14" s="617" t="s">
        <v>945</v>
      </c>
      <c r="V14" s="616" t="s">
        <v>946</v>
      </c>
      <c r="W14" s="618" t="s">
        <v>947</v>
      </c>
    </row>
    <row r="15" spans="1:23" ht="15" customHeight="1">
      <c r="A15" s="2183" t="s">
        <v>17</v>
      </c>
      <c r="B15" s="2623"/>
      <c r="C15" s="130" t="s">
        <v>59</v>
      </c>
      <c r="D15" s="131" t="s">
        <v>251</v>
      </c>
      <c r="E15" s="132"/>
      <c r="F15" s="2162" t="s">
        <v>475</v>
      </c>
      <c r="G15" s="1828"/>
      <c r="H15" s="2274"/>
      <c r="I15" s="619"/>
      <c r="J15" s="620"/>
      <c r="K15" s="620"/>
      <c r="L15" s="620"/>
      <c r="M15" s="621"/>
      <c r="N15" s="619"/>
      <c r="O15" s="620"/>
      <c r="P15" s="620"/>
      <c r="Q15" s="620"/>
      <c r="R15" s="621"/>
      <c r="S15" s="619"/>
      <c r="T15" s="620"/>
      <c r="U15" s="620"/>
      <c r="V15" s="620"/>
      <c r="W15" s="621"/>
    </row>
    <row r="16" spans="1:23">
      <c r="A16" s="2633"/>
      <c r="B16" s="2618"/>
      <c r="C16" s="133" t="s">
        <v>18</v>
      </c>
      <c r="D16" s="134" t="s">
        <v>168</v>
      </c>
      <c r="E16" s="135"/>
      <c r="F16" s="2621"/>
      <c r="G16" s="2075"/>
      <c r="H16" s="2622"/>
      <c r="I16" s="623"/>
      <c r="J16" s="624"/>
      <c r="K16" s="624"/>
      <c r="L16" s="624"/>
      <c r="M16" s="624"/>
      <c r="N16" s="623"/>
      <c r="O16" s="624"/>
      <c r="P16" s="624"/>
      <c r="Q16" s="624"/>
      <c r="R16" s="624"/>
      <c r="S16" s="623"/>
      <c r="T16" s="624"/>
      <c r="U16" s="624"/>
      <c r="V16" s="624"/>
      <c r="W16" s="624"/>
    </row>
    <row r="17" spans="1:23" ht="40.5" customHeight="1" thickBot="1">
      <c r="A17" s="2634"/>
      <c r="B17" s="2620"/>
      <c r="C17" s="136" t="s">
        <v>19</v>
      </c>
      <c r="D17" s="137" t="s">
        <v>233</v>
      </c>
      <c r="E17" s="138"/>
      <c r="F17" s="2478"/>
      <c r="G17" s="2479"/>
      <c r="H17" s="2480"/>
      <c r="I17" s="326"/>
      <c r="J17" s="624"/>
      <c r="K17" s="624"/>
      <c r="L17" s="624"/>
      <c r="M17" s="624"/>
      <c r="N17" s="326"/>
      <c r="O17" s="624"/>
      <c r="P17" s="624"/>
      <c r="Q17" s="624"/>
      <c r="R17" s="624"/>
      <c r="S17" s="326"/>
      <c r="T17" s="624"/>
      <c r="U17" s="624"/>
      <c r="V17" s="624"/>
      <c r="W17" s="624"/>
    </row>
    <row r="18" spans="1:23" ht="51.75" customHeight="1">
      <c r="A18" s="2183" t="s">
        <v>20</v>
      </c>
      <c r="B18" s="2623"/>
      <c r="C18" s="130" t="s">
        <v>54</v>
      </c>
      <c r="D18" s="137" t="s">
        <v>261</v>
      </c>
      <c r="E18" s="138"/>
      <c r="F18" s="2304" t="s">
        <v>665</v>
      </c>
      <c r="G18" s="2292"/>
      <c r="H18" s="2305"/>
      <c r="I18" s="326"/>
      <c r="J18" s="624"/>
      <c r="K18" s="624"/>
      <c r="L18" s="624"/>
      <c r="M18" s="624"/>
      <c r="N18" s="326"/>
      <c r="O18" s="624"/>
      <c r="P18" s="624"/>
      <c r="Q18" s="624"/>
      <c r="R18" s="624"/>
      <c r="S18" s="326"/>
      <c r="T18" s="624"/>
      <c r="U18" s="624"/>
      <c r="V18" s="624"/>
      <c r="W18" s="624"/>
    </row>
    <row r="19" spans="1:23" ht="30" customHeight="1">
      <c r="A19" s="2633"/>
      <c r="B19" s="2618"/>
      <c r="C19" s="139" t="s">
        <v>21</v>
      </c>
      <c r="D19" s="137" t="s">
        <v>234</v>
      </c>
      <c r="E19" s="138" t="s">
        <v>554</v>
      </c>
      <c r="F19" s="2635"/>
      <c r="G19" s="2636"/>
      <c r="H19" s="2637"/>
      <c r="I19" s="326" t="s">
        <v>554</v>
      </c>
      <c r="J19" s="624">
        <v>1</v>
      </c>
      <c r="K19" s="624"/>
      <c r="L19" s="624">
        <v>20</v>
      </c>
      <c r="M19" s="624">
        <f>L19*201*5</f>
        <v>20100</v>
      </c>
      <c r="N19" s="326" t="s">
        <v>554</v>
      </c>
      <c r="O19" s="624">
        <v>1</v>
      </c>
      <c r="P19" s="624"/>
      <c r="Q19" s="624">
        <v>20</v>
      </c>
      <c r="R19" s="624">
        <f>Q19*201*5</f>
        <v>20100</v>
      </c>
      <c r="S19" s="326" t="s">
        <v>554</v>
      </c>
      <c r="T19" s="624">
        <v>1</v>
      </c>
      <c r="U19" s="624"/>
      <c r="V19" s="624">
        <v>20</v>
      </c>
      <c r="W19" s="624">
        <f>V19*201*5</f>
        <v>20100</v>
      </c>
    </row>
    <row r="20" spans="1:23" ht="30" customHeight="1" thickBot="1">
      <c r="A20" s="2634"/>
      <c r="B20" s="2620"/>
      <c r="C20" s="136" t="s">
        <v>22</v>
      </c>
      <c r="D20" s="137" t="s">
        <v>235</v>
      </c>
      <c r="E20" s="138" t="s">
        <v>554</v>
      </c>
      <c r="F20" s="2638"/>
      <c r="G20" s="2639"/>
      <c r="H20" s="2640"/>
      <c r="I20" s="326" t="s">
        <v>554</v>
      </c>
      <c r="J20" s="624">
        <v>3</v>
      </c>
      <c r="K20" s="624">
        <v>3</v>
      </c>
      <c r="L20" s="624">
        <f>3*80</f>
        <v>240</v>
      </c>
      <c r="M20" s="624">
        <f>L20*306*5</f>
        <v>367200</v>
      </c>
      <c r="N20" s="326" t="s">
        <v>554</v>
      </c>
      <c r="O20" s="624">
        <v>2</v>
      </c>
      <c r="P20" s="624"/>
      <c r="Q20" s="624">
        <v>80</v>
      </c>
      <c r="R20" s="624">
        <f>Q20*306*5</f>
        <v>122400</v>
      </c>
      <c r="S20" s="326" t="s">
        <v>554</v>
      </c>
      <c r="T20" s="624">
        <v>2</v>
      </c>
      <c r="U20" s="624"/>
      <c r="V20" s="624">
        <v>80</v>
      </c>
      <c r="W20" s="624">
        <f>V20*306*5</f>
        <v>122400</v>
      </c>
    </row>
    <row r="21" spans="1:23" ht="30.75" customHeight="1">
      <c r="A21" s="2183" t="s">
        <v>23</v>
      </c>
      <c r="B21" s="2623"/>
      <c r="C21" s="140" t="s">
        <v>69</v>
      </c>
      <c r="D21" s="137" t="s">
        <v>267</v>
      </c>
      <c r="E21" s="138"/>
      <c r="F21" s="2162" t="s">
        <v>666</v>
      </c>
      <c r="G21" s="1828"/>
      <c r="H21" s="2274"/>
      <c r="I21" s="326"/>
      <c r="J21" s="624"/>
      <c r="K21" s="624"/>
      <c r="L21" s="624"/>
      <c r="M21" s="624"/>
      <c r="N21" s="326"/>
      <c r="O21" s="624"/>
      <c r="P21" s="624"/>
      <c r="Q21" s="624"/>
      <c r="R21" s="624"/>
      <c r="S21" s="326"/>
      <c r="T21" s="624"/>
      <c r="U21" s="624"/>
      <c r="V21" s="624"/>
      <c r="W21" s="624"/>
    </row>
    <row r="22" spans="1:23" ht="30.75" customHeight="1" thickBot="1">
      <c r="A22" s="2634"/>
      <c r="B22" s="2620"/>
      <c r="C22" s="141" t="s">
        <v>24</v>
      </c>
      <c r="D22" s="142" t="s">
        <v>236</v>
      </c>
      <c r="E22" s="138" t="s">
        <v>554</v>
      </c>
      <c r="F22" s="2478"/>
      <c r="G22" s="2479"/>
      <c r="H22" s="2480"/>
      <c r="I22" s="326" t="s">
        <v>554</v>
      </c>
      <c r="J22" s="624">
        <v>1</v>
      </c>
      <c r="K22" s="624"/>
      <c r="L22" s="624">
        <v>50</v>
      </c>
      <c r="M22" s="624">
        <f>L22*136*5</f>
        <v>34000</v>
      </c>
      <c r="N22" s="326" t="s">
        <v>554</v>
      </c>
      <c r="O22" s="624">
        <v>1</v>
      </c>
      <c r="P22" s="624"/>
      <c r="Q22" s="624">
        <v>50</v>
      </c>
      <c r="R22" s="624">
        <f>Q22*136*5</f>
        <v>34000</v>
      </c>
      <c r="S22" s="326" t="s">
        <v>554</v>
      </c>
      <c r="T22" s="624">
        <v>1</v>
      </c>
      <c r="U22" s="624"/>
      <c r="V22" s="624">
        <v>50</v>
      </c>
      <c r="W22" s="624">
        <f>V22*136*5</f>
        <v>34000</v>
      </c>
    </row>
    <row r="23" spans="1:23" ht="28.5" customHeight="1">
      <c r="A23" s="2136" t="s">
        <v>478</v>
      </c>
      <c r="B23" s="2641"/>
      <c r="C23" s="143" t="s">
        <v>360</v>
      </c>
      <c r="D23" s="142" t="s">
        <v>265</v>
      </c>
      <c r="E23" s="138"/>
      <c r="F23" s="2162" t="s">
        <v>477</v>
      </c>
      <c r="G23" s="1828"/>
      <c r="H23" s="2274"/>
      <c r="I23" s="326"/>
      <c r="J23" s="624"/>
      <c r="K23" s="624"/>
      <c r="L23" s="624"/>
      <c r="M23" s="624"/>
      <c r="N23" s="326"/>
      <c r="O23" s="624"/>
      <c r="P23" s="624"/>
      <c r="Q23" s="624"/>
      <c r="R23" s="624"/>
      <c r="S23" s="326"/>
      <c r="T23" s="624"/>
      <c r="U23" s="624"/>
      <c r="V23" s="624"/>
      <c r="W23" s="624"/>
    </row>
    <row r="24" spans="1:23" ht="30" customHeight="1">
      <c r="A24" s="2642"/>
      <c r="B24" s="2643"/>
      <c r="C24" s="144" t="s">
        <v>361</v>
      </c>
      <c r="D24" s="142" t="s">
        <v>362</v>
      </c>
      <c r="E24" s="138"/>
      <c r="F24" s="2621"/>
      <c r="G24" s="2075"/>
      <c r="H24" s="2622"/>
      <c r="I24" s="326"/>
      <c r="J24" s="624"/>
      <c r="K24" s="624"/>
      <c r="L24" s="624"/>
      <c r="M24" s="624"/>
      <c r="N24" s="326"/>
      <c r="O24" s="624"/>
      <c r="P24" s="624"/>
      <c r="Q24" s="624"/>
      <c r="R24" s="624"/>
      <c r="S24" s="326"/>
      <c r="T24" s="624"/>
      <c r="U24" s="624"/>
      <c r="V24" s="624"/>
      <c r="W24" s="624"/>
    </row>
    <row r="25" spans="1:23" ht="16.5" thickBot="1">
      <c r="A25" s="2644"/>
      <c r="B25" s="2645"/>
      <c r="C25" s="145" t="s">
        <v>479</v>
      </c>
      <c r="D25" s="142" t="s">
        <v>480</v>
      </c>
      <c r="E25" s="138"/>
      <c r="F25" s="2478"/>
      <c r="G25" s="2479"/>
      <c r="H25" s="2480"/>
      <c r="I25" s="326"/>
      <c r="J25" s="624"/>
      <c r="K25" s="624"/>
      <c r="L25" s="624"/>
      <c r="M25" s="624"/>
      <c r="N25" s="326"/>
      <c r="O25" s="624"/>
      <c r="P25" s="624"/>
      <c r="Q25" s="624"/>
      <c r="R25" s="624"/>
      <c r="S25" s="326"/>
      <c r="T25" s="624"/>
      <c r="U25" s="624"/>
      <c r="V25" s="624"/>
      <c r="W25" s="624"/>
    </row>
    <row r="26" spans="1:23" ht="15.75" customHeight="1" thickBot="1">
      <c r="A26" s="2143" t="s">
        <v>25</v>
      </c>
      <c r="B26" s="2614"/>
      <c r="C26" s="2615"/>
      <c r="D26" s="146" t="s">
        <v>270</v>
      </c>
      <c r="E26" s="138" t="s">
        <v>554</v>
      </c>
      <c r="F26" s="2269" t="s">
        <v>667</v>
      </c>
      <c r="G26" s="1818"/>
      <c r="H26" s="2270"/>
      <c r="I26" s="326" t="s">
        <v>554</v>
      </c>
      <c r="J26" s="624">
        <v>1</v>
      </c>
      <c r="K26" s="624"/>
      <c r="L26" s="624">
        <v>100</v>
      </c>
      <c r="M26" s="624">
        <f>L26*212*5</f>
        <v>106000</v>
      </c>
      <c r="N26" s="326" t="s">
        <v>554</v>
      </c>
      <c r="O26" s="624">
        <v>1</v>
      </c>
      <c r="P26" s="624"/>
      <c r="Q26" s="624">
        <v>50</v>
      </c>
      <c r="R26" s="624">
        <f>Q26*212*5</f>
        <v>53000</v>
      </c>
      <c r="S26" s="326" t="s">
        <v>554</v>
      </c>
      <c r="T26" s="624">
        <v>1</v>
      </c>
      <c r="U26" s="624"/>
      <c r="V26" s="624">
        <v>50</v>
      </c>
      <c r="W26" s="624">
        <f>V26*212*5</f>
        <v>53000</v>
      </c>
    </row>
    <row r="27" spans="1:23" ht="15.75" customHeight="1">
      <c r="A27" s="2616" t="s">
        <v>153</v>
      </c>
      <c r="B27" s="2617"/>
      <c r="C27" s="147" t="s">
        <v>152</v>
      </c>
      <c r="D27" s="148" t="s">
        <v>268</v>
      </c>
      <c r="E27" s="138"/>
      <c r="F27" s="2162" t="s">
        <v>475</v>
      </c>
      <c r="G27" s="1828"/>
      <c r="H27" s="2274"/>
      <c r="I27" s="326"/>
      <c r="J27" s="624"/>
      <c r="K27" s="624"/>
      <c r="L27" s="624"/>
      <c r="M27" s="624"/>
      <c r="N27" s="326"/>
      <c r="O27" s="624"/>
      <c r="P27" s="624"/>
      <c r="Q27" s="624"/>
      <c r="R27" s="624"/>
      <c r="S27" s="326"/>
      <c r="T27" s="624"/>
      <c r="U27" s="624"/>
      <c r="V27" s="624"/>
      <c r="W27" s="624"/>
    </row>
    <row r="28" spans="1:23" ht="15.75">
      <c r="A28" s="2157"/>
      <c r="B28" s="2618"/>
      <c r="C28" s="149" t="s">
        <v>154</v>
      </c>
      <c r="D28" s="148" t="s">
        <v>392</v>
      </c>
      <c r="E28" s="138"/>
      <c r="F28" s="2621"/>
      <c r="G28" s="2075"/>
      <c r="H28" s="2622"/>
      <c r="I28" s="326"/>
      <c r="J28" s="624"/>
      <c r="K28" s="624"/>
      <c r="L28" s="624"/>
      <c r="M28" s="624"/>
      <c r="N28" s="326"/>
      <c r="O28" s="624"/>
      <c r="P28" s="624"/>
      <c r="Q28" s="624"/>
      <c r="R28" s="624"/>
      <c r="S28" s="326"/>
      <c r="T28" s="624"/>
      <c r="U28" s="624"/>
      <c r="V28" s="624"/>
      <c r="W28" s="624"/>
    </row>
    <row r="29" spans="1:23" ht="16.5" thickBot="1">
      <c r="A29" s="2619"/>
      <c r="B29" s="2620"/>
      <c r="C29" s="150" t="s">
        <v>400</v>
      </c>
      <c r="D29" s="148" t="s">
        <v>393</v>
      </c>
      <c r="E29" s="138"/>
      <c r="F29" s="2478"/>
      <c r="G29" s="2479"/>
      <c r="H29" s="2480"/>
      <c r="I29" s="326"/>
      <c r="J29" s="624"/>
      <c r="K29" s="624"/>
      <c r="L29" s="624"/>
      <c r="M29" s="624"/>
      <c r="N29" s="326"/>
      <c r="O29" s="624"/>
      <c r="P29" s="624"/>
      <c r="Q29" s="624"/>
      <c r="R29" s="624"/>
      <c r="S29" s="326"/>
      <c r="T29" s="624"/>
      <c r="U29" s="624"/>
      <c r="V29" s="624"/>
      <c r="W29" s="624"/>
    </row>
    <row r="30" spans="1:23" ht="15.75" customHeight="1">
      <c r="A30" s="2159" t="s">
        <v>153</v>
      </c>
      <c r="B30" s="2623"/>
      <c r="C30" s="151" t="s">
        <v>155</v>
      </c>
      <c r="D30" s="148" t="s">
        <v>266</v>
      </c>
      <c r="E30" s="138"/>
      <c r="F30" s="2162" t="s">
        <v>475</v>
      </c>
      <c r="G30" s="1828"/>
      <c r="H30" s="2274"/>
      <c r="I30" s="326"/>
      <c r="J30" s="624"/>
      <c r="K30" s="624"/>
      <c r="L30" s="624"/>
      <c r="M30" s="624"/>
      <c r="N30" s="326"/>
      <c r="O30" s="624"/>
      <c r="P30" s="624"/>
      <c r="Q30" s="624"/>
      <c r="R30" s="624"/>
      <c r="S30" s="326"/>
      <c r="T30" s="624"/>
      <c r="U30" s="624"/>
      <c r="V30" s="624"/>
      <c r="W30" s="624"/>
    </row>
    <row r="31" spans="1:23" ht="15.75">
      <c r="A31" s="2157"/>
      <c r="B31" s="2618"/>
      <c r="C31" s="149" t="s">
        <v>156</v>
      </c>
      <c r="D31" s="148" t="s">
        <v>394</v>
      </c>
      <c r="E31" s="138"/>
      <c r="F31" s="2621"/>
      <c r="G31" s="2075"/>
      <c r="H31" s="2622"/>
      <c r="I31" s="326"/>
      <c r="J31" s="624"/>
      <c r="K31" s="624"/>
      <c r="L31" s="624"/>
      <c r="M31" s="624"/>
      <c r="N31" s="326"/>
      <c r="O31" s="624"/>
      <c r="P31" s="624"/>
      <c r="Q31" s="624"/>
      <c r="R31" s="624"/>
      <c r="S31" s="326"/>
      <c r="T31" s="624"/>
      <c r="U31" s="624"/>
      <c r="V31" s="624"/>
      <c r="W31" s="624"/>
    </row>
    <row r="32" spans="1:23" ht="16.5" thickBot="1">
      <c r="A32" s="2619"/>
      <c r="B32" s="2620"/>
      <c r="C32" s="150" t="s">
        <v>399</v>
      </c>
      <c r="D32" s="148" t="s">
        <v>395</v>
      </c>
      <c r="E32" s="138"/>
      <c r="F32" s="2478"/>
      <c r="G32" s="2479"/>
      <c r="H32" s="2480"/>
      <c r="I32" s="326"/>
      <c r="J32" s="624"/>
      <c r="K32" s="624"/>
      <c r="L32" s="624"/>
      <c r="M32" s="624"/>
      <c r="N32" s="326"/>
      <c r="O32" s="624"/>
      <c r="P32" s="624"/>
      <c r="Q32" s="624"/>
      <c r="R32" s="624"/>
      <c r="S32" s="326"/>
      <c r="T32" s="624"/>
      <c r="U32" s="624"/>
      <c r="V32" s="624"/>
      <c r="W32" s="624"/>
    </row>
    <row r="33" spans="1:23" ht="16.5" customHeight="1" thickBot="1">
      <c r="A33" s="2609" t="s">
        <v>482</v>
      </c>
      <c r="B33" s="2610"/>
      <c r="C33" s="151" t="s">
        <v>365</v>
      </c>
      <c r="D33" s="148" t="s">
        <v>252</v>
      </c>
      <c r="E33" s="138"/>
      <c r="F33" s="2269" t="s">
        <v>483</v>
      </c>
      <c r="G33" s="1818"/>
      <c r="H33" s="2270"/>
      <c r="I33" s="326"/>
      <c r="J33" s="624"/>
      <c r="K33" s="624"/>
      <c r="L33" s="624"/>
      <c r="M33" s="624"/>
      <c r="N33" s="326"/>
      <c r="O33" s="624"/>
      <c r="P33" s="624"/>
      <c r="Q33" s="624"/>
      <c r="R33" s="624"/>
      <c r="S33" s="326"/>
      <c r="T33" s="624"/>
      <c r="U33" s="624"/>
      <c r="V33" s="624"/>
      <c r="W33" s="624"/>
    </row>
    <row r="34" spans="1:23" ht="16.5" customHeight="1" thickBot="1">
      <c r="A34" s="2609" t="s">
        <v>484</v>
      </c>
      <c r="B34" s="2610"/>
      <c r="C34" s="151" t="s">
        <v>485</v>
      </c>
      <c r="D34" s="148" t="s">
        <v>264</v>
      </c>
      <c r="E34" s="138"/>
      <c r="F34" s="2577"/>
      <c r="G34" s="2153"/>
      <c r="H34" s="2389"/>
      <c r="I34" s="326"/>
      <c r="J34" s="624"/>
      <c r="K34" s="624"/>
      <c r="L34" s="624"/>
      <c r="M34" s="624"/>
      <c r="N34" s="326"/>
      <c r="O34" s="624"/>
      <c r="P34" s="624"/>
      <c r="Q34" s="624"/>
      <c r="R34" s="624"/>
      <c r="S34" s="326"/>
      <c r="T34" s="624"/>
      <c r="U34" s="624"/>
      <c r="V34" s="624"/>
      <c r="W34" s="624"/>
    </row>
    <row r="35" spans="1:23" ht="15.75" customHeight="1">
      <c r="A35" s="2161" t="s">
        <v>486</v>
      </c>
      <c r="B35" s="2611"/>
      <c r="C35" s="152" t="s">
        <v>43</v>
      </c>
      <c r="D35" s="153" t="s">
        <v>256</v>
      </c>
      <c r="E35" s="138"/>
      <c r="F35" s="2162" t="s">
        <v>487</v>
      </c>
      <c r="G35" s="1828"/>
      <c r="H35" s="2274"/>
      <c r="I35" s="326"/>
      <c r="J35" s="624"/>
      <c r="K35" s="624"/>
      <c r="L35" s="624"/>
      <c r="M35" s="624"/>
      <c r="N35" s="326"/>
      <c r="O35" s="624"/>
      <c r="P35" s="624"/>
      <c r="Q35" s="624"/>
      <c r="R35" s="624"/>
      <c r="S35" s="326"/>
      <c r="T35" s="624"/>
      <c r="U35" s="624"/>
      <c r="V35" s="624"/>
      <c r="W35" s="624"/>
    </row>
    <row r="36" spans="1:23" ht="16.5" thickBot="1">
      <c r="A36" s="2612"/>
      <c r="B36" s="2613"/>
      <c r="C36" s="154" t="s">
        <v>60</v>
      </c>
      <c r="D36" s="153" t="s">
        <v>257</v>
      </c>
      <c r="E36" s="138"/>
      <c r="F36" s="2478"/>
      <c r="G36" s="2479"/>
      <c r="H36" s="2480"/>
      <c r="I36" s="326"/>
      <c r="J36" s="624"/>
      <c r="K36" s="624"/>
      <c r="L36" s="624"/>
      <c r="M36" s="624"/>
      <c r="N36" s="326"/>
      <c r="O36" s="624"/>
      <c r="P36" s="624"/>
      <c r="Q36" s="624"/>
      <c r="R36" s="624"/>
      <c r="S36" s="326"/>
      <c r="T36" s="624"/>
      <c r="U36" s="624"/>
      <c r="V36" s="624"/>
      <c r="W36" s="624"/>
    </row>
    <row r="37" spans="1:23" ht="30" customHeight="1">
      <c r="A37" s="2165" t="s">
        <v>33</v>
      </c>
      <c r="B37" s="2597"/>
      <c r="C37" s="155" t="s">
        <v>30</v>
      </c>
      <c r="D37" s="156" t="s">
        <v>170</v>
      </c>
      <c r="E37" s="138"/>
      <c r="F37" s="2602" t="s">
        <v>510</v>
      </c>
      <c r="G37" s="2603"/>
      <c r="H37" s="2604"/>
      <c r="I37" s="326"/>
      <c r="J37" s="624"/>
      <c r="K37" s="624"/>
      <c r="L37" s="624"/>
      <c r="M37" s="624"/>
      <c r="N37" s="326"/>
      <c r="O37" s="624"/>
      <c r="P37" s="624"/>
      <c r="Q37" s="624"/>
      <c r="R37" s="624"/>
      <c r="S37" s="326"/>
      <c r="T37" s="624"/>
      <c r="U37" s="624"/>
      <c r="V37" s="624"/>
      <c r="W37" s="624"/>
    </row>
    <row r="38" spans="1:23" ht="30">
      <c r="A38" s="2598"/>
      <c r="B38" s="2599"/>
      <c r="C38" s="157" t="s">
        <v>31</v>
      </c>
      <c r="D38" s="156" t="s">
        <v>169</v>
      </c>
      <c r="E38" s="138" t="s">
        <v>554</v>
      </c>
      <c r="F38" s="2166" t="s">
        <v>668</v>
      </c>
      <c r="G38" s="1820"/>
      <c r="H38" s="2310"/>
      <c r="I38" s="326" t="s">
        <v>554</v>
      </c>
      <c r="J38" s="624">
        <v>1</v>
      </c>
      <c r="K38" s="624"/>
      <c r="L38" s="624">
        <v>10</v>
      </c>
      <c r="M38" s="624">
        <f>L38*177*5</f>
        <v>8850</v>
      </c>
      <c r="N38" s="326" t="s">
        <v>554</v>
      </c>
      <c r="O38" s="624">
        <v>1</v>
      </c>
      <c r="P38" s="624"/>
      <c r="Q38" s="624">
        <v>10</v>
      </c>
      <c r="R38" s="624">
        <f>Q38*177*5</f>
        <v>8850</v>
      </c>
      <c r="S38" s="326" t="s">
        <v>554</v>
      </c>
      <c r="T38" s="624">
        <v>1</v>
      </c>
      <c r="U38" s="624"/>
      <c r="V38" s="624">
        <v>10</v>
      </c>
      <c r="W38" s="624">
        <f>V38*177*5</f>
        <v>8850</v>
      </c>
    </row>
    <row r="39" spans="1:23" ht="30.75" thickBot="1">
      <c r="A39" s="2600"/>
      <c r="B39" s="2601"/>
      <c r="C39" s="158" t="s">
        <v>32</v>
      </c>
      <c r="D39" s="156" t="s">
        <v>250</v>
      </c>
      <c r="E39" s="138" t="s">
        <v>554</v>
      </c>
      <c r="F39" s="2410"/>
      <c r="G39" s="2411"/>
      <c r="H39" s="2412"/>
      <c r="I39" s="326" t="s">
        <v>554</v>
      </c>
      <c r="J39" s="624">
        <v>1</v>
      </c>
      <c r="K39" s="624"/>
      <c r="L39" s="624">
        <v>10</v>
      </c>
      <c r="M39" s="624">
        <f>L39*233*5</f>
        <v>11650</v>
      </c>
      <c r="N39" s="326" t="s">
        <v>554</v>
      </c>
      <c r="O39" s="624">
        <v>1</v>
      </c>
      <c r="P39" s="624"/>
      <c r="Q39" s="624">
        <v>10</v>
      </c>
      <c r="R39" s="624">
        <f>Q39*233*5</f>
        <v>11650</v>
      </c>
      <c r="S39" s="326" t="s">
        <v>554</v>
      </c>
      <c r="T39" s="624">
        <v>1</v>
      </c>
      <c r="U39" s="624"/>
      <c r="V39" s="624">
        <v>10</v>
      </c>
      <c r="W39" s="624">
        <f>V39*233*5</f>
        <v>11650</v>
      </c>
    </row>
    <row r="40" spans="1:23" ht="15.75" customHeight="1">
      <c r="A40" s="2169" t="s">
        <v>491</v>
      </c>
      <c r="B40" s="2587"/>
      <c r="C40" s="159" t="s">
        <v>144</v>
      </c>
      <c r="D40" s="160" t="s">
        <v>253</v>
      </c>
      <c r="E40" s="138"/>
      <c r="F40" s="2162" t="s">
        <v>492</v>
      </c>
      <c r="G40" s="1828"/>
      <c r="H40" s="2274"/>
      <c r="I40" s="326"/>
      <c r="J40" s="624"/>
      <c r="K40" s="624"/>
      <c r="L40" s="624"/>
      <c r="M40" s="624"/>
      <c r="N40" s="326"/>
      <c r="O40" s="624"/>
      <c r="P40" s="624"/>
      <c r="Q40" s="624"/>
      <c r="R40" s="624"/>
      <c r="S40" s="326"/>
      <c r="T40" s="624"/>
      <c r="U40" s="624"/>
      <c r="V40" s="624"/>
      <c r="W40" s="624"/>
    </row>
    <row r="41" spans="1:23" ht="16.5" customHeight="1" thickBot="1">
      <c r="A41" s="2384"/>
      <c r="B41" s="2578"/>
      <c r="C41" s="161" t="s">
        <v>145</v>
      </c>
      <c r="D41" s="160" t="s">
        <v>254</v>
      </c>
      <c r="E41" s="138"/>
      <c r="F41" s="2478"/>
      <c r="G41" s="2479"/>
      <c r="H41" s="2480"/>
      <c r="I41" s="326"/>
      <c r="J41" s="624"/>
      <c r="K41" s="624"/>
      <c r="L41" s="624"/>
      <c r="M41" s="624"/>
      <c r="N41" s="326"/>
      <c r="O41" s="624"/>
      <c r="P41" s="624"/>
      <c r="Q41" s="624"/>
      <c r="R41" s="624"/>
      <c r="S41" s="326"/>
      <c r="T41" s="624"/>
      <c r="U41" s="624"/>
      <c r="V41" s="624"/>
      <c r="W41" s="624"/>
    </row>
    <row r="42" spans="1:23" ht="48" thickBot="1">
      <c r="A42" s="2605"/>
      <c r="B42" s="2606"/>
      <c r="C42" s="162" t="s">
        <v>128</v>
      </c>
      <c r="D42" s="160" t="s">
        <v>262</v>
      </c>
      <c r="E42" s="138"/>
      <c r="F42" s="2607"/>
      <c r="G42" s="2173"/>
      <c r="H42" s="2608"/>
      <c r="I42" s="326"/>
      <c r="J42" s="624"/>
      <c r="K42" s="624"/>
      <c r="L42" s="624"/>
      <c r="M42" s="624"/>
      <c r="N42" s="326"/>
      <c r="O42" s="624"/>
      <c r="P42" s="624"/>
      <c r="Q42" s="624"/>
      <c r="R42" s="624"/>
      <c r="S42" s="326"/>
      <c r="T42" s="624"/>
      <c r="U42" s="624"/>
      <c r="V42" s="624"/>
      <c r="W42" s="624"/>
    </row>
    <row r="43" spans="1:23" ht="15.75" customHeight="1" thickBot="1">
      <c r="A43" s="2146" t="s">
        <v>493</v>
      </c>
      <c r="B43" s="2584"/>
      <c r="C43" s="2585"/>
      <c r="D43" s="163" t="s">
        <v>237</v>
      </c>
      <c r="E43" s="138"/>
      <c r="F43" s="2269" t="s">
        <v>571</v>
      </c>
      <c r="G43" s="1818"/>
      <c r="H43" s="2270"/>
      <c r="I43" s="326"/>
      <c r="J43" s="624"/>
      <c r="K43" s="624"/>
      <c r="L43" s="624"/>
      <c r="M43" s="624"/>
      <c r="N43" s="326"/>
      <c r="O43" s="624"/>
      <c r="P43" s="624"/>
      <c r="Q43" s="624"/>
      <c r="R43" s="624"/>
      <c r="S43" s="326"/>
      <c r="T43" s="624"/>
      <c r="U43" s="624"/>
      <c r="V43" s="624"/>
      <c r="W43" s="624"/>
    </row>
    <row r="44" spans="1:23" ht="15.75" customHeight="1" thickBot="1">
      <c r="A44" s="2146" t="s">
        <v>133</v>
      </c>
      <c r="B44" s="2584"/>
      <c r="C44" s="2585"/>
      <c r="D44" s="163" t="s">
        <v>238</v>
      </c>
      <c r="E44" s="138"/>
      <c r="F44" s="2269" t="s">
        <v>495</v>
      </c>
      <c r="G44" s="1818"/>
      <c r="H44" s="2270"/>
      <c r="I44" s="326"/>
      <c r="J44" s="624"/>
      <c r="K44" s="624"/>
      <c r="L44" s="624"/>
      <c r="M44" s="624"/>
      <c r="N44" s="326"/>
      <c r="O44" s="624"/>
      <c r="P44" s="624"/>
      <c r="Q44" s="624"/>
      <c r="R44" s="624"/>
      <c r="S44" s="326"/>
      <c r="T44" s="624"/>
      <c r="U44" s="624"/>
      <c r="V44" s="624"/>
      <c r="W44" s="624"/>
    </row>
    <row r="45" spans="1:23" ht="15" customHeight="1">
      <c r="A45" s="2586" t="s">
        <v>41</v>
      </c>
      <c r="B45" s="2587"/>
      <c r="C45" s="164" t="s">
        <v>50</v>
      </c>
      <c r="D45" s="165" t="s">
        <v>246</v>
      </c>
      <c r="E45" s="138"/>
      <c r="F45" s="2588" t="s">
        <v>560</v>
      </c>
      <c r="G45" s="1785"/>
      <c r="H45" s="2589"/>
      <c r="I45" s="326"/>
      <c r="J45" s="624"/>
      <c r="K45" s="624"/>
      <c r="L45" s="624"/>
      <c r="M45" s="624"/>
      <c r="N45" s="326"/>
      <c r="O45" s="624"/>
      <c r="P45" s="624"/>
      <c r="Q45" s="624"/>
      <c r="R45" s="624"/>
      <c r="S45" s="326"/>
      <c r="T45" s="624"/>
      <c r="U45" s="624"/>
      <c r="V45" s="624"/>
      <c r="W45" s="624"/>
    </row>
    <row r="46" spans="1:23" ht="45.75" customHeight="1">
      <c r="A46" s="2147"/>
      <c r="B46" s="2578"/>
      <c r="C46" s="166" t="s">
        <v>51</v>
      </c>
      <c r="D46" s="165" t="s">
        <v>247</v>
      </c>
      <c r="E46" s="138" t="s">
        <v>554</v>
      </c>
      <c r="F46" s="2590" t="s">
        <v>397</v>
      </c>
      <c r="G46" s="2591"/>
      <c r="H46" s="2592"/>
      <c r="I46" s="326" t="s">
        <v>554</v>
      </c>
      <c r="J46" s="624">
        <v>2</v>
      </c>
      <c r="K46" s="624"/>
      <c r="L46" s="624">
        <v>30</v>
      </c>
      <c r="M46" s="624">
        <f>L46*145*5</f>
        <v>21750</v>
      </c>
      <c r="N46" s="326" t="s">
        <v>554</v>
      </c>
      <c r="O46" s="624"/>
      <c r="P46" s="624">
        <v>2</v>
      </c>
      <c r="Q46" s="624">
        <v>30</v>
      </c>
      <c r="R46" s="624">
        <f>Q46*145*5</f>
        <v>21750</v>
      </c>
      <c r="S46" s="326" t="s">
        <v>554</v>
      </c>
      <c r="T46" s="624"/>
      <c r="U46" s="624">
        <v>2</v>
      </c>
      <c r="V46" s="624">
        <v>30</v>
      </c>
      <c r="W46" s="624">
        <f>V46*145*5</f>
        <v>21750</v>
      </c>
    </row>
    <row r="47" spans="1:23" ht="15" customHeight="1">
      <c r="A47" s="2147"/>
      <c r="B47" s="2578"/>
      <c r="C47" s="166" t="s">
        <v>39</v>
      </c>
      <c r="D47" s="165" t="s">
        <v>248</v>
      </c>
      <c r="E47" s="138" t="s">
        <v>554</v>
      </c>
      <c r="F47" s="2593" t="s">
        <v>398</v>
      </c>
      <c r="G47" s="2272"/>
      <c r="H47" s="2273"/>
      <c r="I47" s="326" t="s">
        <v>554</v>
      </c>
      <c r="J47" s="624">
        <v>1</v>
      </c>
      <c r="K47" s="624"/>
      <c r="L47" s="624">
        <v>10</v>
      </c>
      <c r="M47" s="624">
        <f>L47*200*5</f>
        <v>10000</v>
      </c>
      <c r="N47" s="326" t="s">
        <v>554</v>
      </c>
      <c r="O47" s="624"/>
      <c r="P47" s="624">
        <v>1</v>
      </c>
      <c r="Q47" s="624">
        <v>10</v>
      </c>
      <c r="R47" s="624">
        <f>Q47*200*5</f>
        <v>10000</v>
      </c>
      <c r="S47" s="326" t="s">
        <v>554</v>
      </c>
      <c r="T47" s="624"/>
      <c r="U47" s="624">
        <v>1</v>
      </c>
      <c r="V47" s="624">
        <v>10</v>
      </c>
      <c r="W47" s="624">
        <f>V47*200*5</f>
        <v>10000</v>
      </c>
    </row>
    <row r="48" spans="1:23" ht="15.75" customHeight="1" thickBot="1">
      <c r="A48" s="2575"/>
      <c r="B48" s="2576"/>
      <c r="C48" s="167" t="s">
        <v>40</v>
      </c>
      <c r="D48" s="165" t="s">
        <v>249</v>
      </c>
      <c r="E48" s="138" t="s">
        <v>554</v>
      </c>
      <c r="F48" s="2594" t="s">
        <v>398</v>
      </c>
      <c r="G48" s="2595"/>
      <c r="H48" s="2596"/>
      <c r="I48" s="326" t="s">
        <v>554</v>
      </c>
      <c r="J48" s="624">
        <v>1</v>
      </c>
      <c r="K48" s="624"/>
      <c r="L48" s="624">
        <v>10</v>
      </c>
      <c r="M48" s="624">
        <f>L48*254*5</f>
        <v>12700</v>
      </c>
      <c r="N48" s="326" t="s">
        <v>554</v>
      </c>
      <c r="O48" s="624"/>
      <c r="P48" s="624">
        <v>1</v>
      </c>
      <c r="Q48" s="624">
        <v>10</v>
      </c>
      <c r="R48" s="624">
        <f>Q48*254*5</f>
        <v>12700</v>
      </c>
      <c r="S48" s="326" t="s">
        <v>554</v>
      </c>
      <c r="T48" s="624"/>
      <c r="U48" s="624">
        <v>1</v>
      </c>
      <c r="V48" s="624">
        <v>10</v>
      </c>
      <c r="W48" s="624">
        <f>V48*254*5</f>
        <v>12700</v>
      </c>
    </row>
    <row r="49" spans="1:23" ht="15.75" customHeight="1">
      <c r="A49" s="2150" t="s">
        <v>130</v>
      </c>
      <c r="B49" s="2574"/>
      <c r="C49" s="159" t="s">
        <v>131</v>
      </c>
      <c r="D49" s="160" t="s">
        <v>255</v>
      </c>
      <c r="E49" s="138"/>
      <c r="F49" s="2577"/>
      <c r="G49" s="2153"/>
      <c r="H49" s="2389"/>
      <c r="I49" s="326"/>
      <c r="J49" s="624"/>
      <c r="K49" s="624"/>
      <c r="L49" s="624"/>
      <c r="M49" s="624"/>
      <c r="N49" s="326"/>
      <c r="O49" s="624"/>
      <c r="P49" s="624"/>
      <c r="Q49" s="624"/>
      <c r="R49" s="624"/>
      <c r="S49" s="326"/>
      <c r="T49" s="624"/>
      <c r="U49" s="624"/>
      <c r="V49" s="624"/>
      <c r="W49" s="624"/>
    </row>
    <row r="50" spans="1:23" ht="48" thickBot="1">
      <c r="A50" s="2575"/>
      <c r="B50" s="2576"/>
      <c r="C50" s="168" t="s">
        <v>132</v>
      </c>
      <c r="D50" s="160" t="s">
        <v>263</v>
      </c>
      <c r="E50" s="138"/>
      <c r="F50" s="2577"/>
      <c r="G50" s="2153"/>
      <c r="H50" s="2389"/>
      <c r="I50" s="326"/>
      <c r="J50" s="624"/>
      <c r="K50" s="624"/>
      <c r="L50" s="624"/>
      <c r="M50" s="624"/>
      <c r="N50" s="326"/>
      <c r="O50" s="624"/>
      <c r="P50" s="624"/>
      <c r="Q50" s="624"/>
      <c r="R50" s="624"/>
      <c r="S50" s="326"/>
      <c r="T50" s="624"/>
      <c r="U50" s="624"/>
      <c r="V50" s="624"/>
      <c r="W50" s="624"/>
    </row>
    <row r="51" spans="1:23" ht="15" customHeight="1">
      <c r="A51" s="2154" t="s">
        <v>42</v>
      </c>
      <c r="B51" s="2574"/>
      <c r="C51" s="169" t="s">
        <v>38</v>
      </c>
      <c r="D51" s="170" t="s">
        <v>239</v>
      </c>
      <c r="E51" s="138" t="s">
        <v>554</v>
      </c>
      <c r="F51" s="2269" t="s">
        <v>621</v>
      </c>
      <c r="G51" s="1818"/>
      <c r="H51" s="2270"/>
      <c r="I51" s="326" t="s">
        <v>554</v>
      </c>
      <c r="J51" s="624">
        <v>4</v>
      </c>
      <c r="K51" s="624"/>
      <c r="L51" s="624">
        <v>5000</v>
      </c>
      <c r="M51" s="624">
        <f>L51*0.8*5</f>
        <v>20000</v>
      </c>
      <c r="N51" s="326" t="s">
        <v>554</v>
      </c>
      <c r="O51" s="624">
        <v>4</v>
      </c>
      <c r="P51" s="624"/>
      <c r="Q51" s="624">
        <v>3000</v>
      </c>
      <c r="R51" s="624">
        <f>Q51*0.8*5</f>
        <v>12000</v>
      </c>
      <c r="S51" s="326" t="s">
        <v>554</v>
      </c>
      <c r="T51" s="624">
        <v>4</v>
      </c>
      <c r="U51" s="624"/>
      <c r="V51" s="624">
        <v>3000</v>
      </c>
      <c r="W51" s="624">
        <f>V51*0.8*5</f>
        <v>12000</v>
      </c>
    </row>
    <row r="52" spans="1:23">
      <c r="A52" s="2384"/>
      <c r="B52" s="2578"/>
      <c r="C52" s="171" t="s">
        <v>55</v>
      </c>
      <c r="D52" s="170" t="s">
        <v>240</v>
      </c>
      <c r="E52" s="138"/>
      <c r="F52" s="2580"/>
      <c r="G52" s="2155"/>
      <c r="H52" s="2581"/>
      <c r="I52" s="326"/>
      <c r="J52" s="624"/>
      <c r="K52" s="624"/>
      <c r="L52" s="624"/>
      <c r="M52" s="624"/>
      <c r="N52" s="326"/>
      <c r="O52" s="624"/>
      <c r="P52" s="624"/>
      <c r="Q52" s="624"/>
      <c r="R52" s="624"/>
      <c r="S52" s="326"/>
      <c r="T52" s="624"/>
      <c r="U52" s="624"/>
      <c r="V52" s="624"/>
      <c r="W52" s="624"/>
    </row>
    <row r="53" spans="1:23" ht="16.5" thickBot="1">
      <c r="A53" s="2579"/>
      <c r="B53" s="2576"/>
      <c r="C53" s="161" t="s">
        <v>48</v>
      </c>
      <c r="D53" s="172" t="s">
        <v>241</v>
      </c>
      <c r="E53" s="138"/>
      <c r="F53" s="2582"/>
      <c r="G53" s="2156"/>
      <c r="H53" s="2583"/>
      <c r="I53" s="326"/>
      <c r="J53" s="624"/>
      <c r="K53" s="624"/>
      <c r="L53" s="624"/>
      <c r="M53" s="624"/>
      <c r="N53" s="326"/>
      <c r="O53" s="624"/>
      <c r="P53" s="624"/>
      <c r="Q53" s="624"/>
      <c r="R53" s="624"/>
      <c r="S53" s="326"/>
      <c r="T53" s="624"/>
      <c r="U53" s="624"/>
      <c r="V53" s="624"/>
      <c r="W53" s="624"/>
    </row>
    <row r="54" spans="1:23" ht="32.25" customHeight="1" thickBot="1">
      <c r="A54" s="2135" t="s">
        <v>500</v>
      </c>
      <c r="B54" s="2573"/>
      <c r="C54" s="173" t="s">
        <v>134</v>
      </c>
      <c r="D54" s="174" t="s">
        <v>269</v>
      </c>
      <c r="E54" s="175"/>
      <c r="F54" s="2269" t="s">
        <v>501</v>
      </c>
      <c r="G54" s="1818"/>
      <c r="H54" s="2270"/>
      <c r="I54" s="626"/>
      <c r="J54" s="627"/>
      <c r="K54" s="627"/>
      <c r="L54" s="627"/>
      <c r="M54" s="627"/>
      <c r="N54" s="626"/>
      <c r="O54" s="627"/>
      <c r="P54" s="627"/>
      <c r="Q54" s="627"/>
      <c r="R54" s="627"/>
      <c r="S54" s="626"/>
      <c r="T54" s="627"/>
      <c r="U54" s="627"/>
      <c r="V54" s="627"/>
      <c r="W54" s="627"/>
    </row>
    <row r="55" spans="1:23">
      <c r="I55" s="609"/>
      <c r="J55" s="609"/>
      <c r="K55" s="609"/>
      <c r="L55" s="609"/>
      <c r="M55" s="609">
        <f>SUM(M15:M54)</f>
        <v>612250</v>
      </c>
      <c r="N55" s="609"/>
      <c r="O55" s="609"/>
      <c r="P55" s="609"/>
      <c r="Q55" s="609"/>
      <c r="R55" s="609">
        <f>SUM(R15:R54)</f>
        <v>306450</v>
      </c>
      <c r="S55" s="609"/>
      <c r="T55" s="609"/>
      <c r="U55" s="609"/>
      <c r="V55" s="609"/>
      <c r="W55" s="609">
        <f>SUM(W15:W54)</f>
        <v>306450</v>
      </c>
    </row>
    <row r="58" spans="1:23" ht="75">
      <c r="A58" s="630" t="s">
        <v>948</v>
      </c>
      <c r="B58" s="630" t="s">
        <v>949</v>
      </c>
      <c r="C58" s="630" t="s">
        <v>950</v>
      </c>
      <c r="D58" s="630" t="s">
        <v>1046</v>
      </c>
      <c r="E58" s="630" t="s">
        <v>1039</v>
      </c>
      <c r="F58" s="725" t="s">
        <v>952</v>
      </c>
    </row>
    <row r="59" spans="1:23">
      <c r="A59" s="719" t="s">
        <v>953</v>
      </c>
      <c r="B59" s="624" t="s">
        <v>887</v>
      </c>
      <c r="C59" s="624" t="s">
        <v>1040</v>
      </c>
      <c r="D59" s="720"/>
      <c r="E59" s="726">
        <v>0.25</v>
      </c>
      <c r="F59" s="2646" t="s">
        <v>1041</v>
      </c>
    </row>
    <row r="60" spans="1:23">
      <c r="A60" s="719" t="s">
        <v>956</v>
      </c>
      <c r="B60" s="624" t="s">
        <v>887</v>
      </c>
      <c r="C60" s="624" t="s">
        <v>1042</v>
      </c>
      <c r="D60" s="720"/>
      <c r="E60" s="726">
        <v>0.25</v>
      </c>
      <c r="F60" s="2647"/>
    </row>
    <row r="61" spans="1:23">
      <c r="A61" s="719" t="s">
        <v>1047</v>
      </c>
      <c r="B61" s="624" t="s">
        <v>887</v>
      </c>
      <c r="C61" s="624"/>
      <c r="D61" s="720">
        <v>2.29</v>
      </c>
      <c r="E61" s="726"/>
      <c r="F61" s="2647"/>
    </row>
    <row r="62" spans="1:23">
      <c r="A62" s="719" t="s">
        <v>959</v>
      </c>
      <c r="B62" s="624" t="s">
        <v>887</v>
      </c>
      <c r="C62" s="624"/>
      <c r="D62" s="720">
        <v>2.29</v>
      </c>
      <c r="E62" s="726">
        <v>1.5</v>
      </c>
      <c r="F62" s="2647"/>
    </row>
    <row r="63" spans="1:23">
      <c r="A63" s="719" t="s">
        <v>961</v>
      </c>
      <c r="B63" s="624" t="s">
        <v>887</v>
      </c>
      <c r="C63" s="624" t="s">
        <v>1048</v>
      </c>
      <c r="D63" s="720"/>
      <c r="E63" s="726">
        <v>8</v>
      </c>
      <c r="F63" s="2647"/>
    </row>
    <row r="64" spans="1:23">
      <c r="A64" s="719" t="s">
        <v>963</v>
      </c>
      <c r="B64" s="624" t="s">
        <v>887</v>
      </c>
      <c r="C64" s="624" t="s">
        <v>1049</v>
      </c>
      <c r="D64" s="720">
        <v>8</v>
      </c>
      <c r="E64" s="726"/>
      <c r="F64" s="2647"/>
    </row>
    <row r="65" spans="1:6">
      <c r="A65" s="719" t="s">
        <v>965</v>
      </c>
      <c r="B65" s="624" t="s">
        <v>887</v>
      </c>
      <c r="C65" s="624"/>
      <c r="D65" s="720"/>
      <c r="E65" s="726">
        <v>1</v>
      </c>
      <c r="F65" s="2647"/>
    </row>
    <row r="66" spans="1:6">
      <c r="A66" s="719" t="s">
        <v>967</v>
      </c>
      <c r="B66" s="624" t="s">
        <v>991</v>
      </c>
      <c r="C66" s="624"/>
      <c r="D66" s="720"/>
      <c r="E66" s="726"/>
      <c r="F66" s="2647"/>
    </row>
    <row r="67" spans="1:6">
      <c r="A67" s="719" t="s">
        <v>969</v>
      </c>
      <c r="B67" s="624" t="s">
        <v>887</v>
      </c>
      <c r="C67" s="624" t="s">
        <v>1050</v>
      </c>
      <c r="D67" s="720">
        <v>0.56999999999999995</v>
      </c>
      <c r="E67" s="726">
        <v>0.55000000000000004</v>
      </c>
      <c r="F67" s="2647"/>
    </row>
    <row r="68" spans="1:6">
      <c r="A68" s="719" t="s">
        <v>971</v>
      </c>
      <c r="B68" s="624" t="s">
        <v>887</v>
      </c>
      <c r="C68" s="624"/>
      <c r="D68" s="720"/>
      <c r="E68" s="726">
        <v>1.3</v>
      </c>
      <c r="F68" s="2648"/>
    </row>
    <row r="69" spans="1:6">
      <c r="A69" s="727" t="s">
        <v>1051</v>
      </c>
      <c r="B69" s="609"/>
      <c r="C69" s="609"/>
      <c r="D69" s="609">
        <f>SUM(D59:D68)</f>
        <v>13.15</v>
      </c>
      <c r="E69" s="609">
        <f>SUM(E59:E68)</f>
        <v>12.850000000000001</v>
      </c>
      <c r="F69" s="609"/>
    </row>
    <row r="70" spans="1:6">
      <c r="A70" s="728" t="s">
        <v>1052</v>
      </c>
      <c r="B70" s="613"/>
      <c r="C70" s="613"/>
      <c r="D70" s="2649">
        <f>D69+E69</f>
        <v>26</v>
      </c>
      <c r="E70" s="2649"/>
      <c r="F70" s="609"/>
    </row>
  </sheetData>
  <mergeCells count="58">
    <mergeCell ref="F59:F68"/>
    <mergeCell ref="D70:E70"/>
    <mergeCell ref="I13:M13"/>
    <mergeCell ref="N13:R13"/>
    <mergeCell ref="S13:W13"/>
    <mergeCell ref="E12:H13"/>
    <mergeCell ref="A21:B22"/>
    <mergeCell ref="F21:H22"/>
    <mergeCell ref="A23:B25"/>
    <mergeCell ref="F23:H25"/>
    <mergeCell ref="A15:B17"/>
    <mergeCell ref="F15:H17"/>
    <mergeCell ref="A14:B14"/>
    <mergeCell ref="F14:H14"/>
    <mergeCell ref="A18:B20"/>
    <mergeCell ref="F18:H20"/>
    <mergeCell ref="A10:B10"/>
    <mergeCell ref="B2:D2"/>
    <mergeCell ref="B3:D3"/>
    <mergeCell ref="B4:D4"/>
    <mergeCell ref="B6:D6"/>
    <mergeCell ref="B8:D8"/>
    <mergeCell ref="A26:C26"/>
    <mergeCell ref="F26:H26"/>
    <mergeCell ref="A27:B29"/>
    <mergeCell ref="F27:H29"/>
    <mergeCell ref="A30:B32"/>
    <mergeCell ref="F30:H32"/>
    <mergeCell ref="A33:B33"/>
    <mergeCell ref="F33:H33"/>
    <mergeCell ref="A34:B34"/>
    <mergeCell ref="F34:H34"/>
    <mergeCell ref="A35:B36"/>
    <mergeCell ref="F35:H36"/>
    <mergeCell ref="A37:B39"/>
    <mergeCell ref="F37:H37"/>
    <mergeCell ref="F38:H39"/>
    <mergeCell ref="A40:B42"/>
    <mergeCell ref="F40:H41"/>
    <mergeCell ref="F42:H42"/>
    <mergeCell ref="A43:C43"/>
    <mergeCell ref="F43:H43"/>
    <mergeCell ref="A44:C44"/>
    <mergeCell ref="F44:H44"/>
    <mergeCell ref="A45:B48"/>
    <mergeCell ref="F45:H45"/>
    <mergeCell ref="F46:H46"/>
    <mergeCell ref="F47:H47"/>
    <mergeCell ref="F48:H48"/>
    <mergeCell ref="A54:B54"/>
    <mergeCell ref="F54:H54"/>
    <mergeCell ref="A49:B50"/>
    <mergeCell ref="F49:H49"/>
    <mergeCell ref="F50:H50"/>
    <mergeCell ref="A51:B53"/>
    <mergeCell ref="F51:H51"/>
    <mergeCell ref="F52:H52"/>
    <mergeCell ref="F53:H53"/>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3" location="SOMMAIRE!A1" display="Retour sommaire"/>
    <hyperlink ref="J5" location="SYNTHESE!A1" display="Retour synthèse"/>
  </hyperlinks>
  <pageMargins left="0.7" right="0.7" top="0.75" bottom="0.75" header="0.3" footer="0.3"/>
  <pageSetup paperSize="9"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W64"/>
  <sheetViews>
    <sheetView topLeftCell="A44" workbookViewId="0">
      <selection activeCell="L23" sqref="L23"/>
    </sheetView>
  </sheetViews>
  <sheetFormatPr baseColWidth="10" defaultRowHeight="15"/>
  <cols>
    <col min="3" max="3" width="50.5703125" customWidth="1"/>
    <col min="8" max="8" width="31.5703125" customWidth="1"/>
  </cols>
  <sheetData>
    <row r="1" spans="1:23" ht="15.75" thickBot="1"/>
    <row r="2" spans="1:23" ht="15.75" thickBot="1">
      <c r="A2" s="328" t="s">
        <v>0</v>
      </c>
      <c r="B2" s="2029" t="s">
        <v>832</v>
      </c>
      <c r="C2" s="1776"/>
      <c r="D2" s="1777"/>
      <c r="E2" s="329"/>
      <c r="F2" s="329"/>
      <c r="G2" s="330" t="s">
        <v>462</v>
      </c>
      <c r="H2" s="112" t="s">
        <v>53</v>
      </c>
      <c r="J2" s="11" t="s">
        <v>73</v>
      </c>
      <c r="K2" s="1251"/>
    </row>
    <row r="3" spans="1:23" ht="15.75" thickBot="1">
      <c r="A3" s="331" t="s">
        <v>344</v>
      </c>
      <c r="B3" s="1807" t="s">
        <v>596</v>
      </c>
      <c r="C3" s="1880"/>
      <c r="D3" s="1881"/>
      <c r="E3" s="329"/>
      <c r="F3" s="329"/>
      <c r="G3" s="332" t="s">
        <v>10</v>
      </c>
      <c r="H3" s="112" t="s">
        <v>16</v>
      </c>
      <c r="J3" s="1251"/>
      <c r="K3" s="1251"/>
    </row>
    <row r="4" spans="1:23" ht="15.75" thickBot="1">
      <c r="A4" s="332" t="s">
        <v>3</v>
      </c>
      <c r="B4" s="1823" t="s">
        <v>833</v>
      </c>
      <c r="C4" s="1776"/>
      <c r="D4" s="1777"/>
      <c r="E4" s="333"/>
      <c r="F4" s="329"/>
      <c r="G4" s="334" t="s">
        <v>26</v>
      </c>
      <c r="H4" s="392">
        <v>10</v>
      </c>
      <c r="J4" s="13" t="s">
        <v>381</v>
      </c>
      <c r="K4" s="1251"/>
    </row>
    <row r="5" spans="1:23" ht="15.75" thickBot="1">
      <c r="A5" s="329"/>
      <c r="B5" s="329"/>
      <c r="C5" s="329"/>
      <c r="D5" s="329"/>
      <c r="E5" s="329"/>
      <c r="F5" s="329"/>
      <c r="G5" s="329"/>
      <c r="H5" s="329"/>
    </row>
    <row r="6" spans="1:23" ht="120.75" thickBot="1">
      <c r="A6" s="328" t="s">
        <v>465</v>
      </c>
      <c r="B6" s="1810" t="s">
        <v>834</v>
      </c>
      <c r="C6" s="1811"/>
      <c r="D6" s="1812"/>
      <c r="E6" s="329"/>
      <c r="F6" s="329"/>
      <c r="G6" s="335" t="s">
        <v>466</v>
      </c>
      <c r="H6" s="178" t="s">
        <v>835</v>
      </c>
    </row>
    <row r="7" spans="1:23" ht="15.75" thickBot="1">
      <c r="B7" s="329"/>
      <c r="C7" s="329"/>
      <c r="D7" s="329"/>
      <c r="E7" s="329"/>
      <c r="F7" s="329"/>
      <c r="G7" s="337"/>
      <c r="H7" s="329"/>
    </row>
    <row r="8" spans="1:23" ht="60.75" thickBot="1">
      <c r="A8" s="338" t="s">
        <v>7</v>
      </c>
      <c r="B8" s="2032" t="s">
        <v>787</v>
      </c>
      <c r="C8" s="2144"/>
      <c r="D8" s="2145"/>
      <c r="E8" s="333"/>
      <c r="F8" s="339"/>
      <c r="G8" s="338" t="s">
        <v>469</v>
      </c>
      <c r="H8" s="123" t="s">
        <v>508</v>
      </c>
    </row>
    <row r="9" spans="1:23">
      <c r="B9" s="329"/>
      <c r="C9" s="329"/>
      <c r="D9" s="329"/>
      <c r="E9" s="329"/>
      <c r="F9" s="329"/>
      <c r="G9" s="337"/>
      <c r="H9" s="329"/>
    </row>
    <row r="10" spans="1:23" ht="210.75" customHeight="1">
      <c r="A10" s="1813" t="s">
        <v>471</v>
      </c>
      <c r="B10" s="1772"/>
      <c r="C10" s="1805" t="s">
        <v>836</v>
      </c>
      <c r="D10" s="1805"/>
      <c r="E10" s="1805"/>
      <c r="F10" s="1805"/>
      <c r="G10" s="1805"/>
      <c r="H10" s="1805"/>
    </row>
    <row r="11" spans="1:23">
      <c r="A11" s="343"/>
      <c r="B11" s="333"/>
      <c r="C11" s="333"/>
      <c r="D11" s="333"/>
      <c r="E11" s="333"/>
      <c r="F11" s="339"/>
      <c r="G11" s="342"/>
      <c r="H11" s="342"/>
    </row>
    <row r="12" spans="1:23">
      <c r="A12" s="343"/>
      <c r="B12" s="333"/>
      <c r="C12" s="333"/>
      <c r="D12" s="333"/>
      <c r="E12" s="1814" t="s">
        <v>473</v>
      </c>
      <c r="F12" s="1772"/>
      <c r="G12" s="1772"/>
      <c r="H12" s="1772"/>
    </row>
    <row r="13" spans="1:23">
      <c r="A13" s="329"/>
      <c r="B13" s="329"/>
      <c r="C13" s="329"/>
      <c r="D13" s="329"/>
      <c r="E13" s="1780"/>
      <c r="F13" s="1780"/>
      <c r="G13" s="1780"/>
      <c r="H13" s="1780"/>
      <c r="I13" s="1825">
        <v>2025</v>
      </c>
      <c r="J13" s="1826"/>
      <c r="K13" s="1826"/>
      <c r="L13" s="1826"/>
      <c r="M13" s="1827"/>
      <c r="N13" s="1825">
        <v>2026</v>
      </c>
      <c r="O13" s="1826"/>
      <c r="P13" s="1826"/>
      <c r="Q13" s="1826"/>
      <c r="R13" s="1827"/>
      <c r="S13" s="1825">
        <v>2027</v>
      </c>
      <c r="T13" s="1826"/>
      <c r="U13" s="1826"/>
      <c r="V13" s="1826"/>
      <c r="W13" s="1827"/>
    </row>
    <row r="14" spans="1:23" ht="45.75" thickBot="1">
      <c r="A14" s="1816" t="s">
        <v>5</v>
      </c>
      <c r="B14" s="1792"/>
      <c r="C14" s="344" t="s">
        <v>1</v>
      </c>
      <c r="D14" s="344" t="s">
        <v>260</v>
      </c>
      <c r="E14" s="345" t="s">
        <v>474</v>
      </c>
      <c r="F14" s="1815" t="s">
        <v>6</v>
      </c>
      <c r="G14" s="1762"/>
      <c r="H14" s="1764"/>
      <c r="I14" s="937" t="s">
        <v>474</v>
      </c>
      <c r="J14" s="938" t="s">
        <v>944</v>
      </c>
      <c r="K14" s="939" t="s">
        <v>945</v>
      </c>
      <c r="L14" s="938" t="s">
        <v>946</v>
      </c>
      <c r="M14" s="940" t="s">
        <v>947</v>
      </c>
      <c r="N14" s="937" t="s">
        <v>474</v>
      </c>
      <c r="O14" s="938" t="s">
        <v>944</v>
      </c>
      <c r="P14" s="939" t="s">
        <v>945</v>
      </c>
      <c r="Q14" s="938" t="s">
        <v>946</v>
      </c>
      <c r="R14" s="940" t="s">
        <v>947</v>
      </c>
      <c r="S14" s="937" t="s">
        <v>474</v>
      </c>
      <c r="T14" s="938" t="s">
        <v>944</v>
      </c>
      <c r="U14" s="939" t="s">
        <v>945</v>
      </c>
      <c r="V14" s="938" t="s">
        <v>946</v>
      </c>
      <c r="W14" s="940" t="s">
        <v>947</v>
      </c>
    </row>
    <row r="15" spans="1:23">
      <c r="A15" s="1804" t="s">
        <v>17</v>
      </c>
      <c r="B15" s="1771"/>
      <c r="C15" s="346" t="s">
        <v>59</v>
      </c>
      <c r="D15" s="347" t="s">
        <v>251</v>
      </c>
      <c r="E15" s="546" t="s">
        <v>277</v>
      </c>
      <c r="F15" s="1828" t="s">
        <v>837</v>
      </c>
      <c r="G15" s="1771"/>
      <c r="H15" s="1792"/>
      <c r="I15" s="948" t="s">
        <v>277</v>
      </c>
      <c r="J15" s="951">
        <v>0</v>
      </c>
      <c r="K15" s="951">
        <v>0</v>
      </c>
      <c r="L15" s="951">
        <v>0</v>
      </c>
      <c r="M15" s="941"/>
      <c r="N15" s="948" t="s">
        <v>554</v>
      </c>
      <c r="O15" s="951">
        <v>0</v>
      </c>
      <c r="P15" s="951">
        <v>0</v>
      </c>
      <c r="Q15" s="951">
        <v>0</v>
      </c>
      <c r="R15" s="941"/>
      <c r="S15" s="948" t="s">
        <v>554</v>
      </c>
      <c r="T15" s="951">
        <v>1</v>
      </c>
      <c r="U15" s="951">
        <v>0</v>
      </c>
      <c r="V15" s="951">
        <v>100</v>
      </c>
      <c r="W15" s="942">
        <v>61000</v>
      </c>
    </row>
    <row r="16" spans="1:23">
      <c r="A16" s="1772"/>
      <c r="B16" s="1772"/>
      <c r="C16" s="349" t="s">
        <v>18</v>
      </c>
      <c r="D16" s="350" t="s">
        <v>168</v>
      </c>
      <c r="E16" s="547" t="s">
        <v>277</v>
      </c>
      <c r="F16" s="1845"/>
      <c r="G16" s="1845"/>
      <c r="H16" s="1799"/>
      <c r="I16" s="944" t="s">
        <v>277</v>
      </c>
      <c r="J16" s="952">
        <v>0</v>
      </c>
      <c r="K16" s="952">
        <v>0</v>
      </c>
      <c r="L16" s="952">
        <v>0</v>
      </c>
      <c r="M16" s="942">
        <v>0</v>
      </c>
      <c r="N16" s="944" t="s">
        <v>554</v>
      </c>
      <c r="O16" s="952">
        <v>1</v>
      </c>
      <c r="P16" s="952">
        <v>0</v>
      </c>
      <c r="Q16" s="952">
        <v>100</v>
      </c>
      <c r="R16" s="942">
        <v>71500</v>
      </c>
      <c r="S16" s="944" t="s">
        <v>554</v>
      </c>
      <c r="T16" s="952">
        <v>0</v>
      </c>
      <c r="U16" s="952">
        <v>0</v>
      </c>
      <c r="V16" s="952">
        <v>0</v>
      </c>
      <c r="W16" s="942">
        <v>0</v>
      </c>
    </row>
    <row r="17" spans="1:23" ht="15.75" thickBot="1">
      <c r="A17" s="1780"/>
      <c r="B17" s="1780"/>
      <c r="C17" s="352" t="s">
        <v>19</v>
      </c>
      <c r="D17" s="353" t="s">
        <v>233</v>
      </c>
      <c r="E17" s="417" t="s">
        <v>277</v>
      </c>
      <c r="F17" s="1780"/>
      <c r="G17" s="1780"/>
      <c r="H17" s="1793"/>
      <c r="I17" s="945" t="s">
        <v>277</v>
      </c>
      <c r="J17" s="952">
        <v>1</v>
      </c>
      <c r="K17" s="952">
        <v>0</v>
      </c>
      <c r="L17" s="952">
        <v>100</v>
      </c>
      <c r="M17" s="942">
        <v>71500</v>
      </c>
      <c r="N17" s="945" t="s">
        <v>554</v>
      </c>
      <c r="O17" s="952">
        <v>0</v>
      </c>
      <c r="P17" s="952">
        <v>0</v>
      </c>
      <c r="Q17" s="952">
        <v>0</v>
      </c>
      <c r="R17" s="942">
        <v>0</v>
      </c>
      <c r="S17" s="945" t="s">
        <v>554</v>
      </c>
      <c r="T17" s="952">
        <v>0</v>
      </c>
      <c r="U17" s="952">
        <v>0</v>
      </c>
      <c r="V17" s="952">
        <v>0</v>
      </c>
      <c r="W17" s="942">
        <v>0</v>
      </c>
    </row>
    <row r="18" spans="1:23">
      <c r="A18" s="1804" t="s">
        <v>20</v>
      </c>
      <c r="B18" s="1771"/>
      <c r="C18" s="548" t="s">
        <v>54</v>
      </c>
      <c r="D18" s="353" t="s">
        <v>261</v>
      </c>
      <c r="E18" s="417" t="s">
        <v>277</v>
      </c>
      <c r="F18" s="1828" t="s">
        <v>838</v>
      </c>
      <c r="G18" s="1771"/>
      <c r="H18" s="1792"/>
      <c r="I18" s="946" t="s">
        <v>277</v>
      </c>
      <c r="J18" s="952">
        <v>0</v>
      </c>
      <c r="K18" s="952">
        <v>0</v>
      </c>
      <c r="L18" s="952">
        <v>0</v>
      </c>
      <c r="M18" s="942">
        <v>0</v>
      </c>
      <c r="N18" s="946" t="s">
        <v>554</v>
      </c>
      <c r="O18" s="952">
        <v>0</v>
      </c>
      <c r="P18" s="952">
        <v>0</v>
      </c>
      <c r="Q18" s="952">
        <v>0</v>
      </c>
      <c r="R18" s="942">
        <v>0</v>
      </c>
      <c r="S18" s="946" t="s">
        <v>554</v>
      </c>
      <c r="T18" s="952">
        <v>1</v>
      </c>
      <c r="U18" s="952">
        <v>0</v>
      </c>
      <c r="V18" s="952">
        <v>100</v>
      </c>
      <c r="W18" s="942">
        <v>68500</v>
      </c>
    </row>
    <row r="19" spans="1:23">
      <c r="A19" s="1772"/>
      <c r="B19" s="1772"/>
      <c r="C19" s="549" t="s">
        <v>21</v>
      </c>
      <c r="D19" s="353" t="s">
        <v>234</v>
      </c>
      <c r="E19" s="417" t="s">
        <v>277</v>
      </c>
      <c r="F19" s="1845"/>
      <c r="G19" s="1845"/>
      <c r="H19" s="1799"/>
      <c r="I19" s="946" t="s">
        <v>554</v>
      </c>
      <c r="J19" s="952">
        <v>0</v>
      </c>
      <c r="K19" s="952">
        <v>0</v>
      </c>
      <c r="L19" s="952">
        <v>0</v>
      </c>
      <c r="M19" s="942">
        <v>0</v>
      </c>
      <c r="N19" s="946" t="s">
        <v>554</v>
      </c>
      <c r="O19" s="952">
        <v>1</v>
      </c>
      <c r="P19" s="952">
        <v>0</v>
      </c>
      <c r="Q19" s="952">
        <v>100</v>
      </c>
      <c r="R19" s="942">
        <v>100500</v>
      </c>
      <c r="S19" s="946" t="s">
        <v>554</v>
      </c>
      <c r="T19" s="952">
        <v>0</v>
      </c>
      <c r="U19" s="952">
        <v>0</v>
      </c>
      <c r="V19" s="952">
        <v>0</v>
      </c>
      <c r="W19" s="942">
        <v>0</v>
      </c>
    </row>
    <row r="20" spans="1:23" ht="15.75" thickBot="1">
      <c r="A20" s="1772"/>
      <c r="B20" s="1772"/>
      <c r="C20" s="550" t="s">
        <v>22</v>
      </c>
      <c r="D20" s="353" t="s">
        <v>235</v>
      </c>
      <c r="E20" s="417" t="s">
        <v>277</v>
      </c>
      <c r="F20" s="1780"/>
      <c r="G20" s="1780"/>
      <c r="H20" s="1793"/>
      <c r="I20" s="946" t="s">
        <v>554</v>
      </c>
      <c r="J20" s="952">
        <v>1</v>
      </c>
      <c r="K20" s="953">
        <v>0</v>
      </c>
      <c r="L20" s="952">
        <v>100</v>
      </c>
      <c r="M20" s="942">
        <v>153000</v>
      </c>
      <c r="N20" s="946" t="s">
        <v>554</v>
      </c>
      <c r="O20" s="952">
        <v>0</v>
      </c>
      <c r="P20" s="953">
        <v>0</v>
      </c>
      <c r="Q20" s="952">
        <v>0</v>
      </c>
      <c r="R20" s="942">
        <v>0</v>
      </c>
      <c r="S20" s="946" t="s">
        <v>554</v>
      </c>
      <c r="T20" s="952">
        <v>0</v>
      </c>
      <c r="U20" s="952">
        <v>0</v>
      </c>
      <c r="V20" s="952">
        <v>0</v>
      </c>
      <c r="W20" s="942">
        <v>0</v>
      </c>
    </row>
    <row r="21" spans="1:23">
      <c r="A21" s="1804" t="s">
        <v>23</v>
      </c>
      <c r="B21" s="1771"/>
      <c r="C21" s="356" t="s">
        <v>69</v>
      </c>
      <c r="D21" s="353" t="s">
        <v>267</v>
      </c>
      <c r="E21" s="551"/>
      <c r="F21" s="1828" t="s">
        <v>839</v>
      </c>
      <c r="G21" s="1771"/>
      <c r="H21" s="1792"/>
      <c r="I21" s="946"/>
      <c r="J21" s="942"/>
      <c r="K21" s="942"/>
      <c r="L21" s="942"/>
      <c r="M21" s="942"/>
      <c r="N21" s="946"/>
      <c r="O21" s="942"/>
      <c r="P21" s="942"/>
      <c r="Q21" s="942"/>
      <c r="R21" s="942"/>
      <c r="S21" s="946"/>
      <c r="T21" s="942"/>
      <c r="U21" s="942"/>
      <c r="V21" s="942"/>
      <c r="W21" s="942"/>
    </row>
    <row r="22" spans="1:23" ht="15.75" thickBot="1">
      <c r="A22" s="1780"/>
      <c r="B22" s="1780"/>
      <c r="C22" s="357" t="s">
        <v>24</v>
      </c>
      <c r="D22" s="358" t="s">
        <v>236</v>
      </c>
      <c r="E22" s="552"/>
      <c r="F22" s="1780"/>
      <c r="G22" s="1780"/>
      <c r="H22" s="1793"/>
      <c r="I22" s="945"/>
      <c r="J22" s="942"/>
      <c r="K22" s="942"/>
      <c r="L22" s="942"/>
      <c r="M22" s="942"/>
      <c r="N22" s="945"/>
      <c r="O22" s="942"/>
      <c r="P22" s="942"/>
      <c r="Q22" s="942"/>
      <c r="R22" s="942"/>
      <c r="S22" s="945"/>
      <c r="T22" s="942"/>
      <c r="U22" s="942"/>
      <c r="V22" s="942"/>
      <c r="W22" s="942"/>
    </row>
    <row r="23" spans="1:23" ht="15.75">
      <c r="A23" s="1801" t="s">
        <v>478</v>
      </c>
      <c r="B23" s="1792"/>
      <c r="C23" s="359" t="s">
        <v>360</v>
      </c>
      <c r="D23" s="358" t="s">
        <v>265</v>
      </c>
      <c r="E23" s="494"/>
      <c r="F23" s="1828" t="s">
        <v>477</v>
      </c>
      <c r="G23" s="1771"/>
      <c r="H23" s="1792"/>
      <c r="I23" s="946"/>
      <c r="J23" s="942"/>
      <c r="K23" s="942"/>
      <c r="L23" s="942"/>
      <c r="M23" s="942"/>
      <c r="N23" s="946"/>
      <c r="O23" s="942"/>
      <c r="P23" s="942"/>
      <c r="Q23" s="942"/>
      <c r="R23" s="942"/>
      <c r="S23" s="946"/>
      <c r="T23" s="942"/>
      <c r="U23" s="942"/>
      <c r="V23" s="942"/>
      <c r="W23" s="942"/>
    </row>
    <row r="24" spans="1:23" ht="15.75">
      <c r="A24" s="1779"/>
      <c r="B24" s="1799"/>
      <c r="C24" s="360" t="s">
        <v>361</v>
      </c>
      <c r="D24" s="358" t="s">
        <v>362</v>
      </c>
      <c r="E24" s="494"/>
      <c r="F24" s="1845"/>
      <c r="G24" s="1845"/>
      <c r="H24" s="1799"/>
      <c r="I24" s="946"/>
      <c r="J24" s="942"/>
      <c r="K24" s="942"/>
      <c r="L24" s="942"/>
      <c r="M24" s="942"/>
      <c r="N24" s="946"/>
      <c r="O24" s="942"/>
      <c r="P24" s="942"/>
      <c r="Q24" s="942"/>
      <c r="R24" s="942"/>
      <c r="S24" s="946"/>
      <c r="T24" s="942"/>
      <c r="U24" s="942"/>
      <c r="V24" s="942"/>
      <c r="W24" s="942"/>
    </row>
    <row r="25" spans="1:23" ht="16.5" thickBot="1">
      <c r="A25" s="1779"/>
      <c r="B25" s="1799"/>
      <c r="C25" s="361" t="s">
        <v>479</v>
      </c>
      <c r="D25" s="358" t="s">
        <v>480</v>
      </c>
      <c r="E25" s="494"/>
      <c r="F25" s="1780"/>
      <c r="G25" s="1780"/>
      <c r="H25" s="1793"/>
      <c r="I25" s="946"/>
      <c r="J25" s="942"/>
      <c r="K25" s="942"/>
      <c r="L25" s="942"/>
      <c r="M25" s="942"/>
      <c r="N25" s="946"/>
      <c r="O25" s="942"/>
      <c r="P25" s="942"/>
      <c r="Q25" s="942"/>
      <c r="R25" s="942"/>
      <c r="S25" s="946"/>
      <c r="T25" s="942"/>
      <c r="U25" s="942"/>
      <c r="V25" s="942"/>
      <c r="W25" s="942"/>
    </row>
    <row r="26" spans="1:23" ht="15.75" thickBot="1">
      <c r="A26" s="1802" t="s">
        <v>25</v>
      </c>
      <c r="B26" s="1776"/>
      <c r="C26" s="1777"/>
      <c r="D26" s="362" t="s">
        <v>270</v>
      </c>
      <c r="E26" s="418"/>
      <c r="F26" s="1818" t="s">
        <v>840</v>
      </c>
      <c r="G26" s="1762"/>
      <c r="H26" s="1764"/>
      <c r="I26" s="945"/>
      <c r="J26" s="942"/>
      <c r="K26" s="942"/>
      <c r="L26" s="942"/>
      <c r="M26" s="942"/>
      <c r="N26" s="945"/>
      <c r="O26" s="942"/>
      <c r="P26" s="942"/>
      <c r="Q26" s="942"/>
      <c r="R26" s="942"/>
      <c r="S26" s="945"/>
      <c r="T26" s="942"/>
      <c r="U26" s="942"/>
      <c r="V26" s="942"/>
      <c r="W26" s="942"/>
    </row>
    <row r="27" spans="1:23" ht="15.75">
      <c r="A27" s="1803" t="s">
        <v>153</v>
      </c>
      <c r="B27" s="1788"/>
      <c r="C27" s="363" t="s">
        <v>152</v>
      </c>
      <c r="D27" s="364" t="s">
        <v>268</v>
      </c>
      <c r="E27" s="494"/>
      <c r="F27" s="1791" t="s">
        <v>475</v>
      </c>
      <c r="G27" s="1771"/>
      <c r="H27" s="1792"/>
      <c r="I27" s="946"/>
      <c r="J27" s="942"/>
      <c r="K27" s="942"/>
      <c r="L27" s="942"/>
      <c r="M27" s="942"/>
      <c r="N27" s="946"/>
      <c r="O27" s="942"/>
      <c r="P27" s="942"/>
      <c r="Q27" s="942"/>
      <c r="R27" s="942"/>
      <c r="S27" s="946"/>
      <c r="T27" s="942"/>
      <c r="U27" s="942"/>
      <c r="V27" s="942"/>
      <c r="W27" s="942"/>
    </row>
    <row r="28" spans="1:23" ht="15.75">
      <c r="A28" s="1779"/>
      <c r="B28" s="1788"/>
      <c r="C28" s="365" t="s">
        <v>154</v>
      </c>
      <c r="D28" s="364" t="s">
        <v>392</v>
      </c>
      <c r="E28" s="494"/>
      <c r="F28" s="1845"/>
      <c r="G28" s="1845"/>
      <c r="H28" s="1799"/>
      <c r="I28" s="946"/>
      <c r="J28" s="942"/>
      <c r="K28" s="942"/>
      <c r="L28" s="942"/>
      <c r="M28" s="942"/>
      <c r="N28" s="946"/>
      <c r="O28" s="942"/>
      <c r="P28" s="942"/>
      <c r="Q28" s="942"/>
      <c r="R28" s="942"/>
      <c r="S28" s="946"/>
      <c r="T28" s="942"/>
      <c r="U28" s="942"/>
      <c r="V28" s="942"/>
      <c r="W28" s="942"/>
    </row>
    <row r="29" spans="1:23" ht="16.5" thickBot="1">
      <c r="A29" s="1767"/>
      <c r="B29" s="1768"/>
      <c r="C29" s="366" t="s">
        <v>400</v>
      </c>
      <c r="D29" s="364" t="s">
        <v>393</v>
      </c>
      <c r="E29" s="494"/>
      <c r="F29" s="1780"/>
      <c r="G29" s="1780"/>
      <c r="H29" s="1793"/>
      <c r="I29" s="946"/>
      <c r="J29" s="942"/>
      <c r="K29" s="942"/>
      <c r="L29" s="942"/>
      <c r="M29" s="942"/>
      <c r="N29" s="946"/>
      <c r="O29" s="942"/>
      <c r="P29" s="942"/>
      <c r="Q29" s="942"/>
      <c r="R29" s="942"/>
      <c r="S29" s="946"/>
      <c r="T29" s="942"/>
      <c r="U29" s="942"/>
      <c r="V29" s="942"/>
      <c r="W29" s="942"/>
    </row>
    <row r="30" spans="1:23" ht="15.75">
      <c r="A30" s="1797" t="s">
        <v>153</v>
      </c>
      <c r="B30" s="1766"/>
      <c r="C30" s="367" t="s">
        <v>155</v>
      </c>
      <c r="D30" s="364" t="s">
        <v>266</v>
      </c>
      <c r="E30" s="494"/>
      <c r="F30" s="1791" t="s">
        <v>475</v>
      </c>
      <c r="G30" s="1771"/>
      <c r="H30" s="1792"/>
      <c r="I30" s="946"/>
      <c r="J30" s="942"/>
      <c r="K30" s="942"/>
      <c r="L30" s="942"/>
      <c r="M30" s="942"/>
      <c r="N30" s="946"/>
      <c r="O30" s="942"/>
      <c r="P30" s="942"/>
      <c r="Q30" s="942"/>
      <c r="R30" s="942"/>
      <c r="S30" s="946"/>
      <c r="T30" s="942"/>
      <c r="U30" s="942"/>
      <c r="V30" s="942"/>
      <c r="W30" s="942"/>
    </row>
    <row r="31" spans="1:23" ht="15.75">
      <c r="A31" s="1779"/>
      <c r="B31" s="1788"/>
      <c r="C31" s="365" t="s">
        <v>156</v>
      </c>
      <c r="D31" s="364" t="s">
        <v>394</v>
      </c>
      <c r="E31" s="494"/>
      <c r="F31" s="1845"/>
      <c r="G31" s="1845"/>
      <c r="H31" s="1799"/>
      <c r="I31" s="946"/>
      <c r="J31" s="942"/>
      <c r="K31" s="942"/>
      <c r="L31" s="942"/>
      <c r="M31" s="942"/>
      <c r="N31" s="946"/>
      <c r="O31" s="942"/>
      <c r="P31" s="942"/>
      <c r="Q31" s="942"/>
      <c r="R31" s="942"/>
      <c r="S31" s="946"/>
      <c r="T31" s="942"/>
      <c r="U31" s="942"/>
      <c r="V31" s="942"/>
      <c r="W31" s="942"/>
    </row>
    <row r="32" spans="1:23" ht="16.5" thickBot="1">
      <c r="A32" s="1767"/>
      <c r="B32" s="1768"/>
      <c r="C32" s="366" t="s">
        <v>399</v>
      </c>
      <c r="D32" s="364" t="s">
        <v>395</v>
      </c>
      <c r="E32" s="494"/>
      <c r="F32" s="1780"/>
      <c r="G32" s="1780"/>
      <c r="H32" s="1793"/>
      <c r="I32" s="946"/>
      <c r="J32" s="942"/>
      <c r="K32" s="942"/>
      <c r="L32" s="942"/>
      <c r="M32" s="942"/>
      <c r="N32" s="946"/>
      <c r="O32" s="942"/>
      <c r="P32" s="942"/>
      <c r="Q32" s="942"/>
      <c r="R32" s="942"/>
      <c r="S32" s="946"/>
      <c r="T32" s="942"/>
      <c r="U32" s="942"/>
      <c r="V32" s="942"/>
      <c r="W32" s="942"/>
    </row>
    <row r="33" spans="1:23" ht="16.5" thickBot="1">
      <c r="A33" s="1797" t="s">
        <v>482</v>
      </c>
      <c r="B33" s="1766"/>
      <c r="C33" s="367" t="s">
        <v>365</v>
      </c>
      <c r="D33" s="364" t="s">
        <v>252</v>
      </c>
      <c r="E33" s="494"/>
      <c r="F33" s="1791" t="s">
        <v>483</v>
      </c>
      <c r="G33" s="1771"/>
      <c r="H33" s="1792"/>
      <c r="I33" s="946"/>
      <c r="J33" s="942"/>
      <c r="K33" s="942"/>
      <c r="L33" s="942"/>
      <c r="M33" s="942"/>
      <c r="N33" s="946"/>
      <c r="O33" s="942"/>
      <c r="P33" s="942"/>
      <c r="Q33" s="942"/>
      <c r="R33" s="942"/>
      <c r="S33" s="946"/>
      <c r="T33" s="942"/>
      <c r="U33" s="942"/>
      <c r="V33" s="942"/>
      <c r="W33" s="942"/>
    </row>
    <row r="34" spans="1:23" ht="16.5" thickBot="1">
      <c r="A34" s="1797" t="s">
        <v>484</v>
      </c>
      <c r="B34" s="1766"/>
      <c r="C34" s="367" t="s">
        <v>485</v>
      </c>
      <c r="D34" s="364" t="s">
        <v>264</v>
      </c>
      <c r="E34" s="494"/>
      <c r="F34" s="1800"/>
      <c r="G34" s="1771"/>
      <c r="H34" s="1792"/>
      <c r="I34" s="946"/>
      <c r="J34" s="942"/>
      <c r="K34" s="942"/>
      <c r="L34" s="942"/>
      <c r="M34" s="942"/>
      <c r="N34" s="946"/>
      <c r="O34" s="942"/>
      <c r="P34" s="942"/>
      <c r="Q34" s="942"/>
      <c r="R34" s="942"/>
      <c r="S34" s="946"/>
      <c r="T34" s="942"/>
      <c r="U34" s="942"/>
      <c r="V34" s="942"/>
      <c r="W34" s="942"/>
    </row>
    <row r="35" spans="1:23" ht="15.75">
      <c r="A35" s="1795" t="s">
        <v>486</v>
      </c>
      <c r="B35" s="1766"/>
      <c r="C35" s="368" t="s">
        <v>43</v>
      </c>
      <c r="D35" s="369" t="s">
        <v>256</v>
      </c>
      <c r="E35" s="494"/>
      <c r="F35" s="1791" t="s">
        <v>487</v>
      </c>
      <c r="G35" s="1771"/>
      <c r="H35" s="1792"/>
      <c r="I35" s="946"/>
      <c r="J35" s="942"/>
      <c r="K35" s="942"/>
      <c r="L35" s="942"/>
      <c r="M35" s="942"/>
      <c r="N35" s="946"/>
      <c r="O35" s="942"/>
      <c r="P35" s="942"/>
      <c r="Q35" s="942"/>
      <c r="R35" s="942"/>
      <c r="S35" s="946"/>
      <c r="T35" s="942"/>
      <c r="U35" s="942"/>
      <c r="V35" s="942"/>
      <c r="W35" s="942"/>
    </row>
    <row r="36" spans="1:23" ht="16.5" thickBot="1">
      <c r="A36" s="1767"/>
      <c r="B36" s="1768"/>
      <c r="C36" s="370" t="s">
        <v>60</v>
      </c>
      <c r="D36" s="369" t="s">
        <v>257</v>
      </c>
      <c r="E36" s="494"/>
      <c r="F36" s="1780"/>
      <c r="G36" s="1780"/>
      <c r="H36" s="1793"/>
      <c r="I36" s="946"/>
      <c r="J36" s="942"/>
      <c r="K36" s="942"/>
      <c r="L36" s="942"/>
      <c r="M36" s="942"/>
      <c r="N36" s="946"/>
      <c r="O36" s="942"/>
      <c r="P36" s="942"/>
      <c r="Q36" s="942"/>
      <c r="R36" s="942"/>
      <c r="S36" s="946"/>
      <c r="T36" s="942"/>
      <c r="U36" s="942"/>
      <c r="V36" s="942"/>
      <c r="W36" s="942"/>
    </row>
    <row r="37" spans="1:23" ht="30">
      <c r="A37" s="1796" t="s">
        <v>33</v>
      </c>
      <c r="B37" s="1771"/>
      <c r="C37" s="371" t="s">
        <v>30</v>
      </c>
      <c r="D37" s="372" t="s">
        <v>170</v>
      </c>
      <c r="E37" s="417"/>
      <c r="F37" s="1820" t="s">
        <v>733</v>
      </c>
      <c r="G37" s="1771"/>
      <c r="H37" s="1792"/>
      <c r="I37" s="945"/>
      <c r="J37" s="942"/>
      <c r="K37" s="942"/>
      <c r="L37" s="942"/>
      <c r="M37" s="942"/>
      <c r="N37" s="945"/>
      <c r="O37" s="942"/>
      <c r="P37" s="942"/>
      <c r="Q37" s="942"/>
      <c r="R37" s="942"/>
      <c r="S37" s="945"/>
      <c r="T37" s="942"/>
      <c r="U37" s="942"/>
      <c r="V37" s="942"/>
      <c r="W37" s="942"/>
    </row>
    <row r="38" spans="1:23" ht="30">
      <c r="A38" s="1779"/>
      <c r="B38" s="1772"/>
      <c r="C38" s="373" t="s">
        <v>31</v>
      </c>
      <c r="D38" s="372" t="s">
        <v>169</v>
      </c>
      <c r="E38" s="417"/>
      <c r="F38" s="2292" t="s">
        <v>841</v>
      </c>
      <c r="G38" s="1771"/>
      <c r="H38" s="1792"/>
      <c r="I38" s="945"/>
      <c r="J38" s="942"/>
      <c r="K38" s="942"/>
      <c r="L38" s="942"/>
      <c r="M38" s="942"/>
      <c r="N38" s="945"/>
      <c r="O38" s="942"/>
      <c r="P38" s="942"/>
      <c r="Q38" s="942"/>
      <c r="R38" s="942"/>
      <c r="S38" s="945"/>
      <c r="T38" s="942"/>
      <c r="U38" s="942"/>
      <c r="V38" s="942"/>
      <c r="W38" s="942"/>
    </row>
    <row r="39" spans="1:23" ht="30.75" thickBot="1">
      <c r="A39" s="1779"/>
      <c r="B39" s="1772"/>
      <c r="C39" s="374" t="s">
        <v>32</v>
      </c>
      <c r="D39" s="372" t="s">
        <v>250</v>
      </c>
      <c r="E39" s="417"/>
      <c r="F39" s="1780"/>
      <c r="G39" s="1780"/>
      <c r="H39" s="1793"/>
      <c r="I39" s="945"/>
      <c r="J39" s="942"/>
      <c r="K39" s="942"/>
      <c r="L39" s="942"/>
      <c r="M39" s="942"/>
      <c r="N39" s="945"/>
      <c r="O39" s="942"/>
      <c r="P39" s="942"/>
      <c r="Q39" s="942"/>
      <c r="R39" s="942"/>
      <c r="S39" s="945"/>
      <c r="T39" s="942"/>
      <c r="U39" s="942"/>
      <c r="V39" s="942"/>
      <c r="W39" s="942"/>
    </row>
    <row r="40" spans="1:23" ht="15.75">
      <c r="A40" s="1786" t="s">
        <v>491</v>
      </c>
      <c r="B40" s="1787"/>
      <c r="C40" s="375" t="s">
        <v>144</v>
      </c>
      <c r="D40" s="376" t="s">
        <v>253</v>
      </c>
      <c r="E40" s="494"/>
      <c r="F40" s="1828" t="s">
        <v>492</v>
      </c>
      <c r="G40" s="1771"/>
      <c r="H40" s="1792"/>
      <c r="I40" s="946"/>
      <c r="J40" s="942"/>
      <c r="K40" s="942"/>
      <c r="L40" s="942"/>
      <c r="M40" s="942"/>
      <c r="N40" s="946"/>
      <c r="O40" s="942"/>
      <c r="P40" s="942"/>
      <c r="Q40" s="942"/>
      <c r="R40" s="942"/>
      <c r="S40" s="946"/>
      <c r="T40" s="942"/>
      <c r="U40" s="942"/>
      <c r="V40" s="942"/>
      <c r="W40" s="942"/>
    </row>
    <row r="41" spans="1:23" ht="16.5" thickBot="1">
      <c r="A41" s="1772"/>
      <c r="B41" s="1788"/>
      <c r="C41" s="377" t="s">
        <v>145</v>
      </c>
      <c r="D41" s="376" t="s">
        <v>254</v>
      </c>
      <c r="E41" s="494"/>
      <c r="F41" s="1780"/>
      <c r="G41" s="1780"/>
      <c r="H41" s="1793"/>
      <c r="I41" s="946"/>
      <c r="J41" s="942"/>
      <c r="K41" s="942"/>
      <c r="L41" s="942"/>
      <c r="M41" s="942"/>
      <c r="N41" s="946"/>
      <c r="O41" s="942"/>
      <c r="P41" s="942"/>
      <c r="Q41" s="942"/>
      <c r="R41" s="942"/>
      <c r="S41" s="946"/>
      <c r="T41" s="942"/>
      <c r="U41" s="942"/>
      <c r="V41" s="942"/>
      <c r="W41" s="942"/>
    </row>
    <row r="42" spans="1:23" ht="32.25" thickBot="1">
      <c r="A42" s="1789"/>
      <c r="B42" s="1790"/>
      <c r="C42" s="378" t="s">
        <v>128</v>
      </c>
      <c r="D42" s="376" t="s">
        <v>262</v>
      </c>
      <c r="E42" s="494"/>
      <c r="F42" s="1794"/>
      <c r="G42" s="1762"/>
      <c r="H42" s="1764"/>
      <c r="I42" s="946"/>
      <c r="J42" s="942"/>
      <c r="K42" s="942"/>
      <c r="L42" s="942"/>
      <c r="M42" s="942"/>
      <c r="N42" s="946"/>
      <c r="O42" s="942"/>
      <c r="P42" s="942"/>
      <c r="Q42" s="942"/>
      <c r="R42" s="942"/>
      <c r="S42" s="946"/>
      <c r="T42" s="942"/>
      <c r="U42" s="942"/>
      <c r="V42" s="942"/>
      <c r="W42" s="942"/>
    </row>
    <row r="43" spans="1:23" ht="74.25" customHeight="1" thickBot="1">
      <c r="A43" s="1775" t="s">
        <v>493</v>
      </c>
      <c r="B43" s="1776"/>
      <c r="C43" s="1777"/>
      <c r="D43" s="379" t="s">
        <v>237</v>
      </c>
      <c r="E43" s="552" t="s">
        <v>277</v>
      </c>
      <c r="F43" s="2096" t="s">
        <v>603</v>
      </c>
      <c r="G43" s="2117"/>
      <c r="H43" s="2118"/>
      <c r="I43" s="945" t="s">
        <v>277</v>
      </c>
      <c r="J43" s="952">
        <v>1</v>
      </c>
      <c r="K43" s="952">
        <v>0</v>
      </c>
      <c r="L43" s="952">
        <v>4</v>
      </c>
      <c r="M43" s="942">
        <v>13040</v>
      </c>
      <c r="N43" s="945" t="s">
        <v>554</v>
      </c>
      <c r="O43" s="952">
        <v>1</v>
      </c>
      <c r="P43" s="942">
        <v>0</v>
      </c>
      <c r="Q43" s="952">
        <v>3</v>
      </c>
      <c r="R43" s="942">
        <v>9780</v>
      </c>
      <c r="S43" s="945" t="s">
        <v>554</v>
      </c>
      <c r="T43" s="952">
        <v>1</v>
      </c>
      <c r="U43" s="942">
        <v>0</v>
      </c>
      <c r="V43" s="952">
        <v>3</v>
      </c>
      <c r="W43" s="942">
        <v>9780</v>
      </c>
    </row>
    <row r="44" spans="1:23" ht="15.75" thickBot="1">
      <c r="A44" s="1775" t="s">
        <v>133</v>
      </c>
      <c r="B44" s="1776"/>
      <c r="C44" s="1777"/>
      <c r="D44" s="379" t="s">
        <v>238</v>
      </c>
      <c r="E44" s="494"/>
      <c r="F44" s="1763" t="s">
        <v>495</v>
      </c>
      <c r="G44" s="1762"/>
      <c r="H44" s="1764"/>
      <c r="I44" s="946"/>
      <c r="J44" s="952"/>
      <c r="K44" s="952"/>
      <c r="L44" s="952"/>
      <c r="M44" s="942"/>
      <c r="N44" s="946"/>
      <c r="O44" s="952"/>
      <c r="P44" s="942"/>
      <c r="Q44" s="952"/>
      <c r="R44" s="942"/>
      <c r="S44" s="946"/>
      <c r="T44" s="952"/>
      <c r="U44" s="942"/>
      <c r="V44" s="952"/>
      <c r="W44" s="942"/>
    </row>
    <row r="45" spans="1:23">
      <c r="A45" s="1778" t="s">
        <v>41</v>
      </c>
      <c r="B45" s="1772"/>
      <c r="C45" s="380" t="s">
        <v>50</v>
      </c>
      <c r="D45" s="381" t="s">
        <v>246</v>
      </c>
      <c r="E45" s="552" t="s">
        <v>277</v>
      </c>
      <c r="F45" s="1785" t="s">
        <v>604</v>
      </c>
      <c r="G45" s="2097"/>
      <c r="H45" s="2097"/>
      <c r="I45" s="945" t="s">
        <v>277</v>
      </c>
      <c r="J45" s="952">
        <v>0</v>
      </c>
      <c r="K45" s="952">
        <v>0</v>
      </c>
      <c r="L45" s="952">
        <v>0</v>
      </c>
      <c r="M45" s="942">
        <v>0</v>
      </c>
      <c r="N45" s="945" t="s">
        <v>554</v>
      </c>
      <c r="O45" s="952">
        <v>0</v>
      </c>
      <c r="P45" s="942">
        <v>0</v>
      </c>
      <c r="Q45" s="952">
        <v>0</v>
      </c>
      <c r="R45" s="942">
        <v>0</v>
      </c>
      <c r="S45" s="945" t="s">
        <v>554</v>
      </c>
      <c r="T45" s="952">
        <v>1</v>
      </c>
      <c r="U45" s="942">
        <v>0</v>
      </c>
      <c r="V45" s="952">
        <v>3</v>
      </c>
      <c r="W45" s="942">
        <v>1230</v>
      </c>
    </row>
    <row r="46" spans="1:23" ht="65.25" customHeight="1">
      <c r="A46" s="1779"/>
      <c r="B46" s="1772"/>
      <c r="C46" s="382" t="s">
        <v>51</v>
      </c>
      <c r="D46" s="381" t="s">
        <v>247</v>
      </c>
      <c r="E46" s="418" t="s">
        <v>277</v>
      </c>
      <c r="F46" s="1785" t="s">
        <v>605</v>
      </c>
      <c r="G46" s="2097"/>
      <c r="H46" s="2097"/>
      <c r="I46" s="945" t="s">
        <v>277</v>
      </c>
      <c r="J46" s="952">
        <v>0</v>
      </c>
      <c r="K46" s="952">
        <v>0</v>
      </c>
      <c r="L46" s="952">
        <v>0</v>
      </c>
      <c r="M46" s="942">
        <v>0</v>
      </c>
      <c r="N46" s="945" t="s">
        <v>554</v>
      </c>
      <c r="O46" s="952">
        <v>1</v>
      </c>
      <c r="P46" s="942">
        <v>0</v>
      </c>
      <c r="Q46" s="952">
        <v>3</v>
      </c>
      <c r="R46" s="942">
        <v>2175</v>
      </c>
      <c r="S46" s="945" t="s">
        <v>554</v>
      </c>
      <c r="T46" s="952">
        <v>0</v>
      </c>
      <c r="U46" s="942">
        <v>0</v>
      </c>
      <c r="V46" s="952">
        <v>0</v>
      </c>
      <c r="W46" s="942">
        <v>0</v>
      </c>
    </row>
    <row r="47" spans="1:23">
      <c r="A47" s="1779"/>
      <c r="B47" s="1772"/>
      <c r="C47" s="382" t="s">
        <v>39</v>
      </c>
      <c r="D47" s="381" t="s">
        <v>248</v>
      </c>
      <c r="E47" s="418" t="s">
        <v>277</v>
      </c>
      <c r="F47" s="1785" t="s">
        <v>606</v>
      </c>
      <c r="G47" s="2097"/>
      <c r="H47" s="2097"/>
      <c r="I47" s="945" t="s">
        <v>277</v>
      </c>
      <c r="J47" s="952">
        <v>2</v>
      </c>
      <c r="K47" s="952">
        <v>0</v>
      </c>
      <c r="L47" s="952">
        <v>6</v>
      </c>
      <c r="M47" s="942">
        <v>6000</v>
      </c>
      <c r="N47" s="945" t="s">
        <v>554</v>
      </c>
      <c r="O47" s="952">
        <v>0</v>
      </c>
      <c r="P47" s="942">
        <v>0</v>
      </c>
      <c r="Q47" s="952">
        <v>0</v>
      </c>
      <c r="R47" s="942">
        <v>0</v>
      </c>
      <c r="S47" s="945" t="s">
        <v>554</v>
      </c>
      <c r="T47" s="952">
        <v>0</v>
      </c>
      <c r="U47" s="942">
        <v>0</v>
      </c>
      <c r="V47" s="952">
        <v>0</v>
      </c>
      <c r="W47" s="942">
        <v>0</v>
      </c>
    </row>
    <row r="48" spans="1:23" ht="15.75" thickBot="1">
      <c r="A48" s="1767"/>
      <c r="B48" s="1780"/>
      <c r="C48" s="383" t="s">
        <v>40</v>
      </c>
      <c r="D48" s="381" t="s">
        <v>249</v>
      </c>
      <c r="E48" s="553"/>
      <c r="F48" s="1785" t="s">
        <v>842</v>
      </c>
      <c r="G48" s="1762"/>
      <c r="H48" s="1764"/>
      <c r="I48" s="945"/>
      <c r="J48" s="942"/>
      <c r="K48" s="942"/>
      <c r="L48" s="942"/>
      <c r="M48" s="942"/>
      <c r="N48" s="945"/>
      <c r="O48" s="952"/>
      <c r="P48" s="942"/>
      <c r="Q48" s="942"/>
      <c r="R48" s="942"/>
      <c r="S48" s="945"/>
      <c r="T48" s="942"/>
      <c r="U48" s="942"/>
      <c r="V48" s="942"/>
      <c r="W48" s="942"/>
    </row>
    <row r="49" spans="1:23" ht="15.75">
      <c r="A49" s="1765" t="s">
        <v>130</v>
      </c>
      <c r="B49" s="1766"/>
      <c r="C49" s="375" t="s">
        <v>131</v>
      </c>
      <c r="D49" s="376" t="s">
        <v>255</v>
      </c>
      <c r="E49" s="493"/>
      <c r="F49" s="1769"/>
      <c r="G49" s="1762"/>
      <c r="H49" s="1764"/>
      <c r="I49" s="946"/>
      <c r="J49" s="942"/>
      <c r="K49" s="942"/>
      <c r="L49" s="942"/>
      <c r="M49" s="942"/>
      <c r="N49" s="946"/>
      <c r="O49" s="942"/>
      <c r="P49" s="942"/>
      <c r="Q49" s="942"/>
      <c r="R49" s="942"/>
      <c r="S49" s="946"/>
      <c r="T49" s="942"/>
      <c r="U49" s="942"/>
      <c r="V49" s="942"/>
      <c r="W49" s="942"/>
    </row>
    <row r="50" spans="1:23" ht="32.25" thickBot="1">
      <c r="A50" s="1767"/>
      <c r="B50" s="1768"/>
      <c r="C50" s="384" t="s">
        <v>132</v>
      </c>
      <c r="D50" s="376" t="s">
        <v>263</v>
      </c>
      <c r="E50" s="493"/>
      <c r="F50" s="1769"/>
      <c r="G50" s="1762"/>
      <c r="H50" s="1764"/>
      <c r="I50" s="946"/>
      <c r="J50" s="942"/>
      <c r="K50" s="942"/>
      <c r="L50" s="942"/>
      <c r="M50" s="942"/>
      <c r="N50" s="946"/>
      <c r="O50" s="942"/>
      <c r="P50" s="942"/>
      <c r="Q50" s="942"/>
      <c r="R50" s="942"/>
      <c r="S50" s="946"/>
      <c r="T50" s="942"/>
      <c r="U50" s="942"/>
      <c r="V50" s="942"/>
      <c r="W50" s="942"/>
    </row>
    <row r="51" spans="1:23">
      <c r="A51" s="1770" t="s">
        <v>42</v>
      </c>
      <c r="B51" s="1771"/>
      <c r="C51" s="385" t="s">
        <v>38</v>
      </c>
      <c r="D51" s="386" t="s">
        <v>239</v>
      </c>
      <c r="E51" s="553"/>
      <c r="F51" s="1818" t="s">
        <v>499</v>
      </c>
      <c r="G51" s="1762"/>
      <c r="H51" s="1764"/>
      <c r="I51" s="945"/>
      <c r="J51" s="942"/>
      <c r="K51" s="942"/>
      <c r="L51" s="942"/>
      <c r="M51" s="949"/>
      <c r="N51" s="945"/>
      <c r="O51" s="942"/>
      <c r="P51" s="942"/>
      <c r="Q51" s="942"/>
      <c r="R51" s="949"/>
      <c r="S51" s="945"/>
      <c r="T51" s="942"/>
      <c r="U51" s="942"/>
      <c r="V51" s="942"/>
      <c r="W51" s="950"/>
    </row>
    <row r="52" spans="1:23">
      <c r="A52" s="1772"/>
      <c r="B52" s="1772"/>
      <c r="C52" s="387" t="s">
        <v>55</v>
      </c>
      <c r="D52" s="386" t="s">
        <v>240</v>
      </c>
      <c r="E52" s="418"/>
      <c r="F52" s="1773"/>
      <c r="G52" s="1762"/>
      <c r="H52" s="1764"/>
      <c r="I52" s="945"/>
      <c r="J52" s="942"/>
      <c r="K52" s="942"/>
      <c r="L52" s="942"/>
      <c r="M52" s="942"/>
      <c r="N52" s="945"/>
      <c r="O52" s="942"/>
      <c r="P52" s="942"/>
      <c r="Q52" s="942"/>
      <c r="R52" s="942"/>
      <c r="S52" s="945"/>
      <c r="T52" s="942"/>
      <c r="U52" s="942"/>
      <c r="V52" s="942"/>
      <c r="W52" s="942"/>
    </row>
    <row r="53" spans="1:23" ht="16.5" thickBot="1">
      <c r="A53" s="1772"/>
      <c r="B53" s="1772"/>
      <c r="C53" s="377" t="s">
        <v>48</v>
      </c>
      <c r="D53" s="388" t="s">
        <v>241</v>
      </c>
      <c r="E53" s="493"/>
      <c r="F53" s="1774"/>
      <c r="G53" s="1762"/>
      <c r="H53" s="1764"/>
      <c r="I53" s="946"/>
      <c r="J53" s="942"/>
      <c r="K53" s="942"/>
      <c r="L53" s="942"/>
      <c r="M53" s="942"/>
      <c r="N53" s="946"/>
      <c r="O53" s="942"/>
      <c r="P53" s="942"/>
      <c r="Q53" s="942"/>
      <c r="R53" s="942"/>
      <c r="S53" s="946"/>
      <c r="T53" s="942"/>
      <c r="U53" s="942"/>
      <c r="V53" s="942"/>
      <c r="W53" s="942"/>
    </row>
    <row r="54" spans="1:23" ht="16.5" thickBot="1">
      <c r="A54" s="1761" t="s">
        <v>500</v>
      </c>
      <c r="B54" s="1762"/>
      <c r="C54" s="389" t="s">
        <v>134</v>
      </c>
      <c r="D54" s="390" t="s">
        <v>269</v>
      </c>
      <c r="E54" s="502"/>
      <c r="F54" s="1763" t="s">
        <v>501</v>
      </c>
      <c r="G54" s="1762"/>
      <c r="H54" s="1764"/>
      <c r="I54" s="947"/>
      <c r="J54" s="943"/>
      <c r="K54" s="943"/>
      <c r="L54" s="943"/>
      <c r="M54" s="943"/>
      <c r="N54" s="947"/>
      <c r="O54" s="943"/>
      <c r="P54" s="943"/>
      <c r="Q54" s="943"/>
      <c r="R54" s="943"/>
      <c r="S54" s="947"/>
      <c r="T54" s="943"/>
      <c r="U54" s="943"/>
      <c r="V54" s="943"/>
      <c r="W54" s="943"/>
    </row>
    <row r="57" spans="1:23">
      <c r="M57">
        <f>SUM(M15:M49)</f>
        <v>243540</v>
      </c>
    </row>
    <row r="58" spans="1:23">
      <c r="A58" s="1829" t="s">
        <v>1270</v>
      </c>
      <c r="B58" s="1830"/>
      <c r="C58" s="1830"/>
      <c r="D58" s="1830"/>
      <c r="E58" s="1830"/>
      <c r="F58" s="1830"/>
    </row>
    <row r="59" spans="1:23" ht="105">
      <c r="A59" s="1501" t="s">
        <v>1271</v>
      </c>
      <c r="B59" s="1501" t="s">
        <v>1272</v>
      </c>
      <c r="C59" s="1501" t="s">
        <v>1273</v>
      </c>
      <c r="D59" s="1501" t="s">
        <v>1274</v>
      </c>
      <c r="E59" s="1501" t="s">
        <v>1275</v>
      </c>
      <c r="F59" s="1501" t="s">
        <v>1276</v>
      </c>
    </row>
    <row r="60" spans="1:23" ht="409.5">
      <c r="A60" s="1504"/>
      <c r="B60" s="1506" t="s">
        <v>1343</v>
      </c>
      <c r="C60" s="1503" t="s">
        <v>1344</v>
      </c>
      <c r="D60" s="1503" t="s">
        <v>954</v>
      </c>
      <c r="E60" s="1505" t="s">
        <v>1515</v>
      </c>
      <c r="F60" s="1508">
        <v>6</v>
      </c>
    </row>
    <row r="61" spans="1:23" ht="330">
      <c r="A61" s="1504"/>
      <c r="B61" s="1506" t="s">
        <v>1346</v>
      </c>
      <c r="C61" s="1503" t="s">
        <v>1344</v>
      </c>
      <c r="D61" s="1503" t="s">
        <v>954</v>
      </c>
      <c r="E61" s="1507" t="s">
        <v>1516</v>
      </c>
      <c r="F61" s="1502">
        <v>3</v>
      </c>
    </row>
    <row r="62" spans="1:23" ht="330">
      <c r="A62" s="1504"/>
      <c r="B62" s="1506" t="s">
        <v>1348</v>
      </c>
      <c r="C62" s="1503" t="s">
        <v>1344</v>
      </c>
      <c r="D62" s="1503" t="s">
        <v>954</v>
      </c>
      <c r="E62" s="1507" t="s">
        <v>1516</v>
      </c>
      <c r="F62" s="1502">
        <v>3</v>
      </c>
    </row>
    <row r="63" spans="1:23" ht="409.5">
      <c r="A63" s="1504"/>
      <c r="B63" s="1506" t="s">
        <v>1350</v>
      </c>
      <c r="C63" s="1503" t="s">
        <v>1351</v>
      </c>
      <c r="D63" s="1503" t="s">
        <v>1005</v>
      </c>
      <c r="E63" s="1503" t="s">
        <v>1352</v>
      </c>
      <c r="F63" s="1502" t="s">
        <v>1353</v>
      </c>
    </row>
    <row r="64" spans="1:23" ht="409.5">
      <c r="A64" s="1504"/>
      <c r="B64" s="1506" t="s">
        <v>1354</v>
      </c>
      <c r="C64" s="1503" t="s">
        <v>1351</v>
      </c>
      <c r="D64" s="1503" t="s">
        <v>1005</v>
      </c>
      <c r="E64" s="1503" t="s">
        <v>1352</v>
      </c>
      <c r="F64" s="1502" t="s">
        <v>1353</v>
      </c>
    </row>
  </sheetData>
  <mergeCells count="58">
    <mergeCell ref="A58:F58"/>
    <mergeCell ref="I13:M13"/>
    <mergeCell ref="N13:R13"/>
    <mergeCell ref="S13:W13"/>
    <mergeCell ref="A18:B20"/>
    <mergeCell ref="F18:H20"/>
    <mergeCell ref="A15:B17"/>
    <mergeCell ref="F15:H17"/>
    <mergeCell ref="A21:B22"/>
    <mergeCell ref="F21:H22"/>
    <mergeCell ref="A23:B25"/>
    <mergeCell ref="F23:H25"/>
    <mergeCell ref="A26:C26"/>
    <mergeCell ref="F26:H26"/>
    <mergeCell ref="A27:B29"/>
    <mergeCell ref="F27:H29"/>
    <mergeCell ref="B2:D2"/>
    <mergeCell ref="B3:D3"/>
    <mergeCell ref="B4:D4"/>
    <mergeCell ref="B6:D6"/>
    <mergeCell ref="B8:D8"/>
    <mergeCell ref="A10:B10"/>
    <mergeCell ref="C10:H10"/>
    <mergeCell ref="E12:H13"/>
    <mergeCell ref="A14:B14"/>
    <mergeCell ref="F14:H14"/>
    <mergeCell ref="A30:B32"/>
    <mergeCell ref="F30:H32"/>
    <mergeCell ref="A33:B33"/>
    <mergeCell ref="F33:H33"/>
    <mergeCell ref="A34:B34"/>
    <mergeCell ref="F34:H34"/>
    <mergeCell ref="A35:B36"/>
    <mergeCell ref="F35:H36"/>
    <mergeCell ref="A37:B39"/>
    <mergeCell ref="F37:H37"/>
    <mergeCell ref="F38:H39"/>
    <mergeCell ref="A49:B50"/>
    <mergeCell ref="F49:H49"/>
    <mergeCell ref="F50:H50"/>
    <mergeCell ref="A40:B42"/>
    <mergeCell ref="F40:H41"/>
    <mergeCell ref="F42:H42"/>
    <mergeCell ref="A43:C43"/>
    <mergeCell ref="F43:H43"/>
    <mergeCell ref="A44:C44"/>
    <mergeCell ref="F44:H44"/>
    <mergeCell ref="A45:B48"/>
    <mergeCell ref="F45:H45"/>
    <mergeCell ref="F46:H46"/>
    <mergeCell ref="F47:H47"/>
    <mergeCell ref="F48:H48"/>
    <mergeCell ref="A51:B53"/>
    <mergeCell ref="F51:H51"/>
    <mergeCell ref="F52:H52"/>
    <mergeCell ref="F53:H53"/>
    <mergeCell ref="A54:B54"/>
    <mergeCell ref="F54:H54"/>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2" location="SOMMAIRE!A1" display="Retour sommaire"/>
    <hyperlink ref="J4" location="SYNTHESE!A1" display="Retour synthèse"/>
  </hyperlink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W68"/>
  <sheetViews>
    <sheetView topLeftCell="A31" workbookViewId="0">
      <selection activeCell="L42" sqref="L42"/>
    </sheetView>
  </sheetViews>
  <sheetFormatPr baseColWidth="10" defaultRowHeight="15"/>
  <cols>
    <col min="1" max="1" width="20.42578125" style="8" bestFit="1" customWidth="1"/>
    <col min="2" max="2" width="15.7109375" style="8" customWidth="1"/>
    <col min="3" max="3" width="40" style="8" customWidth="1"/>
    <col min="4" max="4" width="8.5703125" style="8" customWidth="1"/>
    <col min="5" max="5" width="8.42578125" style="8" customWidth="1"/>
    <col min="6" max="6" width="16.28515625" style="8" bestFit="1" customWidth="1"/>
    <col min="7" max="7" width="18.140625" style="8" customWidth="1"/>
    <col min="8" max="8" width="59.140625" bestFit="1" customWidth="1"/>
  </cols>
  <sheetData>
    <row r="1" spans="1:23" ht="15.75" thickBot="1">
      <c r="A1"/>
      <c r="B1"/>
      <c r="C1"/>
      <c r="D1"/>
      <c r="E1"/>
      <c r="F1"/>
      <c r="G1"/>
    </row>
    <row r="2" spans="1:23" ht="15.75" thickBot="1">
      <c r="A2" s="328" t="s">
        <v>0</v>
      </c>
      <c r="B2" s="2029" t="s">
        <v>802</v>
      </c>
      <c r="C2" s="1776"/>
      <c r="D2" s="1777"/>
      <c r="E2" s="329"/>
      <c r="F2" s="329"/>
      <c r="G2" s="330" t="s">
        <v>462</v>
      </c>
      <c r="H2" s="392" t="s">
        <v>803</v>
      </c>
    </row>
    <row r="3" spans="1:23" ht="31.5" customHeight="1" thickBot="1">
      <c r="A3" s="331" t="s">
        <v>344</v>
      </c>
      <c r="B3" s="1808" t="s">
        <v>804</v>
      </c>
      <c r="C3" s="1776"/>
      <c r="D3" s="1777"/>
      <c r="E3" s="329"/>
      <c r="F3" s="329"/>
      <c r="G3" s="332" t="s">
        <v>10</v>
      </c>
      <c r="H3" s="392" t="s">
        <v>16</v>
      </c>
      <c r="J3" s="11" t="s">
        <v>73</v>
      </c>
    </row>
    <row r="4" spans="1:23" ht="30.75" customHeight="1" thickBot="1">
      <c r="A4" s="332" t="s">
        <v>3</v>
      </c>
      <c r="B4" s="2651" t="s">
        <v>805</v>
      </c>
      <c r="C4" s="2652"/>
      <c r="D4" s="2653"/>
      <c r="E4" s="333"/>
      <c r="F4" s="329"/>
      <c r="G4" s="334" t="s">
        <v>26</v>
      </c>
      <c r="H4" s="392">
        <v>10</v>
      </c>
    </row>
    <row r="5" spans="1:23" ht="15.75" customHeight="1" thickBot="1">
      <c r="A5" s="329"/>
      <c r="B5" s="329"/>
      <c r="C5" s="329"/>
      <c r="D5" s="329"/>
      <c r="E5" s="329"/>
      <c r="F5" s="329"/>
      <c r="G5" s="329"/>
      <c r="H5" s="329"/>
      <c r="J5" s="13" t="s">
        <v>381</v>
      </c>
    </row>
    <row r="6" spans="1:23" ht="30.75" thickBot="1">
      <c r="A6" s="328" t="s">
        <v>465</v>
      </c>
      <c r="B6" s="1909" t="s">
        <v>1605</v>
      </c>
      <c r="C6" s="1776"/>
      <c r="D6" s="1777"/>
      <c r="E6" s="329"/>
      <c r="F6" s="329"/>
      <c r="G6" s="335" t="s">
        <v>466</v>
      </c>
      <c r="H6" s="542" t="s">
        <v>806</v>
      </c>
    </row>
    <row r="7" spans="1:23" ht="15.75" thickBot="1">
      <c r="A7"/>
      <c r="B7" s="329"/>
      <c r="C7" s="329"/>
      <c r="D7" s="329"/>
      <c r="E7" s="329"/>
      <c r="F7" s="329"/>
      <c r="G7" s="337"/>
      <c r="H7" s="329"/>
    </row>
    <row r="8" spans="1:23" ht="30.75" thickBot="1">
      <c r="A8" s="338" t="s">
        <v>7</v>
      </c>
      <c r="B8" s="1809" t="s">
        <v>807</v>
      </c>
      <c r="C8" s="1776"/>
      <c r="D8" s="1777"/>
      <c r="E8" s="333"/>
      <c r="F8" s="339"/>
      <c r="G8" s="338" t="s">
        <v>469</v>
      </c>
      <c r="H8" s="410" t="s">
        <v>808</v>
      </c>
    </row>
    <row r="9" spans="1:23">
      <c r="A9"/>
      <c r="B9" s="329"/>
      <c r="C9" s="329"/>
      <c r="D9" s="329"/>
      <c r="E9" s="329"/>
      <c r="F9" s="329"/>
      <c r="G9" s="337"/>
      <c r="H9" s="329"/>
    </row>
    <row r="10" spans="1:23" ht="97.5" customHeight="1">
      <c r="A10" s="1813" t="s">
        <v>471</v>
      </c>
      <c r="B10" s="1772"/>
      <c r="C10" s="1806" t="s">
        <v>809</v>
      </c>
      <c r="D10" s="1806"/>
      <c r="E10" s="1806"/>
      <c r="F10" s="1806"/>
      <c r="G10" s="1806"/>
      <c r="H10" s="1806"/>
      <c r="J10" s="1259"/>
    </row>
    <row r="11" spans="1:23">
      <c r="A11" s="343"/>
      <c r="B11" s="333"/>
      <c r="C11" s="333"/>
      <c r="D11" s="333"/>
      <c r="E11" s="333"/>
      <c r="F11" s="339"/>
      <c r="G11" s="342"/>
      <c r="H11" s="342"/>
      <c r="J11" s="61"/>
    </row>
    <row r="12" spans="1:23">
      <c r="A12" s="343"/>
      <c r="B12" s="333"/>
      <c r="C12" s="333"/>
      <c r="D12" s="333"/>
      <c r="E12" s="1814" t="s">
        <v>473</v>
      </c>
      <c r="F12" s="1772"/>
      <c r="G12" s="1772"/>
      <c r="H12" s="1772"/>
      <c r="J12" s="61"/>
    </row>
    <row r="13" spans="1:23" ht="15" customHeight="1">
      <c r="A13" s="329"/>
      <c r="B13" s="329"/>
      <c r="C13" s="329"/>
      <c r="D13" s="329"/>
      <c r="E13" s="1780"/>
      <c r="F13" s="1780"/>
      <c r="G13" s="1780"/>
      <c r="H13" s="1780"/>
      <c r="I13" s="1817">
        <v>2025</v>
      </c>
      <c r="J13" s="1762"/>
      <c r="K13" s="1762"/>
      <c r="L13" s="1762"/>
      <c r="M13" s="1764"/>
      <c r="N13" s="1817">
        <v>2026</v>
      </c>
      <c r="O13" s="1762"/>
      <c r="P13" s="1762"/>
      <c r="Q13" s="1762"/>
      <c r="R13" s="1764"/>
      <c r="S13" s="1817">
        <v>2027</v>
      </c>
      <c r="T13" s="1762"/>
      <c r="U13" s="1762"/>
      <c r="V13" s="1762"/>
      <c r="W13" s="1764"/>
    </row>
    <row r="14" spans="1:23" ht="45.75" thickBot="1">
      <c r="A14" s="1816" t="s">
        <v>5</v>
      </c>
      <c r="B14" s="1792"/>
      <c r="C14" s="344" t="s">
        <v>1</v>
      </c>
      <c r="D14" s="344" t="s">
        <v>260</v>
      </c>
      <c r="E14" s="345" t="s">
        <v>474</v>
      </c>
      <c r="F14" s="1815" t="s">
        <v>6</v>
      </c>
      <c r="G14" s="1762"/>
      <c r="H14" s="1764"/>
      <c r="I14" s="643" t="s">
        <v>474</v>
      </c>
      <c r="J14" s="644" t="s">
        <v>944</v>
      </c>
      <c r="K14" s="645" t="s">
        <v>945</v>
      </c>
      <c r="L14" s="644" t="s">
        <v>946</v>
      </c>
      <c r="M14" s="646" t="s">
        <v>947</v>
      </c>
      <c r="N14" s="643" t="s">
        <v>474</v>
      </c>
      <c r="O14" s="644" t="s">
        <v>944</v>
      </c>
      <c r="P14" s="645" t="s">
        <v>945</v>
      </c>
      <c r="Q14" s="644" t="s">
        <v>946</v>
      </c>
      <c r="R14" s="646" t="s">
        <v>947</v>
      </c>
      <c r="S14" s="643" t="s">
        <v>474</v>
      </c>
      <c r="T14" s="644" t="s">
        <v>944</v>
      </c>
      <c r="U14" s="645" t="s">
        <v>945</v>
      </c>
      <c r="V14" s="644" t="s">
        <v>946</v>
      </c>
      <c r="W14" s="646" t="s">
        <v>947</v>
      </c>
    </row>
    <row r="15" spans="1:23" ht="15" customHeight="1">
      <c r="A15" s="1804" t="s">
        <v>17</v>
      </c>
      <c r="B15" s="1771"/>
      <c r="C15" s="346" t="s">
        <v>59</v>
      </c>
      <c r="D15" s="347" t="s">
        <v>251</v>
      </c>
      <c r="E15" s="500"/>
      <c r="F15" s="1791" t="s">
        <v>475</v>
      </c>
      <c r="G15" s="1771"/>
      <c r="H15" s="1792"/>
      <c r="I15" s="650"/>
      <c r="J15" s="648"/>
      <c r="K15" s="648"/>
      <c r="L15" s="648"/>
      <c r="M15" s="649"/>
      <c r="N15" s="650"/>
      <c r="O15" s="648"/>
      <c r="P15" s="648"/>
      <c r="Q15" s="648"/>
      <c r="R15" s="649"/>
      <c r="S15" s="650"/>
      <c r="T15" s="648"/>
      <c r="U15" s="648"/>
      <c r="V15" s="874"/>
      <c r="W15" s="758"/>
    </row>
    <row r="16" spans="1:23">
      <c r="A16" s="1772"/>
      <c r="B16" s="1772"/>
      <c r="C16" s="349" t="s">
        <v>18</v>
      </c>
      <c r="D16" s="350" t="s">
        <v>168</v>
      </c>
      <c r="E16" s="504"/>
      <c r="F16" s="1845"/>
      <c r="G16" s="1845"/>
      <c r="H16" s="1799"/>
      <c r="I16" s="653"/>
      <c r="J16" s="632"/>
      <c r="K16" s="632"/>
      <c r="L16" s="632"/>
      <c r="M16" s="632"/>
      <c r="N16" s="653"/>
      <c r="O16" s="632"/>
      <c r="P16" s="632"/>
      <c r="Q16" s="632"/>
      <c r="R16" s="632"/>
      <c r="S16" s="653"/>
      <c r="T16" s="632"/>
      <c r="U16" s="632"/>
      <c r="V16" s="703"/>
      <c r="W16" s="758"/>
    </row>
    <row r="17" spans="1:23" ht="30" customHeight="1" thickBot="1">
      <c r="A17" s="1780"/>
      <c r="B17" s="1780"/>
      <c r="C17" s="352" t="s">
        <v>19</v>
      </c>
      <c r="D17" s="353" t="s">
        <v>233</v>
      </c>
      <c r="E17" s="494"/>
      <c r="F17" s="1780"/>
      <c r="G17" s="1780"/>
      <c r="H17" s="1793"/>
      <c r="I17" s="656"/>
      <c r="J17" s="632"/>
      <c r="K17" s="632"/>
      <c r="L17" s="632"/>
      <c r="M17" s="632"/>
      <c r="N17" s="656"/>
      <c r="O17" s="632"/>
      <c r="P17" s="632"/>
      <c r="Q17" s="632"/>
      <c r="R17" s="632"/>
      <c r="S17" s="656"/>
      <c r="T17" s="632"/>
      <c r="U17" s="632"/>
      <c r="V17" s="703"/>
      <c r="W17" s="758"/>
    </row>
    <row r="18" spans="1:23" ht="45.75" customHeight="1">
      <c r="A18" s="1804" t="s">
        <v>20</v>
      </c>
      <c r="B18" s="1771"/>
      <c r="C18" s="346" t="s">
        <v>54</v>
      </c>
      <c r="D18" s="353" t="s">
        <v>261</v>
      </c>
      <c r="E18" s="183"/>
      <c r="F18" s="1828" t="s">
        <v>810</v>
      </c>
      <c r="G18" s="1771"/>
      <c r="H18" s="1792"/>
      <c r="I18" s="656"/>
      <c r="J18" s="632"/>
      <c r="K18" s="632"/>
      <c r="L18" s="632"/>
      <c r="M18" s="909"/>
      <c r="N18" s="656"/>
      <c r="O18" s="632"/>
      <c r="P18" s="632"/>
      <c r="Q18" s="632"/>
      <c r="R18" s="632"/>
      <c r="S18" s="656"/>
      <c r="T18" s="632"/>
      <c r="U18" s="632"/>
      <c r="V18" s="703"/>
      <c r="W18" s="758"/>
    </row>
    <row r="19" spans="1:23" ht="30" customHeight="1">
      <c r="A19" s="1772"/>
      <c r="B19" s="1772"/>
      <c r="C19" s="355" t="s">
        <v>21</v>
      </c>
      <c r="D19" s="353" t="s">
        <v>234</v>
      </c>
      <c r="E19" s="183" t="s">
        <v>277</v>
      </c>
      <c r="F19" s="1845"/>
      <c r="G19" s="1845"/>
      <c r="H19" s="1799"/>
      <c r="I19" s="656"/>
      <c r="J19" s="632"/>
      <c r="K19" s="632"/>
      <c r="L19" s="632"/>
      <c r="M19" s="632"/>
      <c r="N19" s="353" t="s">
        <v>234</v>
      </c>
      <c r="O19" s="632">
        <v>1</v>
      </c>
      <c r="P19" s="632">
        <v>0</v>
      </c>
      <c r="Q19" s="632">
        <v>50</v>
      </c>
      <c r="R19" s="909">
        <v>14050</v>
      </c>
      <c r="S19" s="656"/>
      <c r="T19" s="632"/>
      <c r="U19" s="632"/>
      <c r="V19" s="703"/>
      <c r="W19" s="758"/>
    </row>
    <row r="20" spans="1:23" ht="15" customHeight="1" thickBot="1">
      <c r="A20" s="1772"/>
      <c r="B20" s="1772"/>
      <c r="C20" s="352" t="s">
        <v>22</v>
      </c>
      <c r="D20" s="353" t="s">
        <v>235</v>
      </c>
      <c r="E20" s="183" t="s">
        <v>277</v>
      </c>
      <c r="F20" s="1780"/>
      <c r="G20" s="1780"/>
      <c r="H20" s="1793"/>
      <c r="I20" s="656"/>
      <c r="J20" s="632"/>
      <c r="K20" s="632"/>
      <c r="L20" s="632"/>
      <c r="M20" s="632"/>
      <c r="N20" s="656"/>
      <c r="O20" s="632"/>
      <c r="P20" s="632"/>
      <c r="Q20" s="632"/>
      <c r="R20" s="632"/>
      <c r="S20" s="353" t="s">
        <v>235</v>
      </c>
      <c r="T20" s="632">
        <v>1</v>
      </c>
      <c r="U20" s="632">
        <v>1</v>
      </c>
      <c r="V20" s="703">
        <v>200</v>
      </c>
      <c r="W20" s="910">
        <v>100000</v>
      </c>
    </row>
    <row r="21" spans="1:23" ht="15" customHeight="1">
      <c r="A21" s="1804" t="s">
        <v>23</v>
      </c>
      <c r="B21" s="1771"/>
      <c r="C21" s="356" t="s">
        <v>69</v>
      </c>
      <c r="D21" s="353" t="s">
        <v>267</v>
      </c>
      <c r="E21" s="494"/>
      <c r="F21" s="1828" t="s">
        <v>477</v>
      </c>
      <c r="G21" s="1771"/>
      <c r="H21" s="1792"/>
      <c r="I21" s="656"/>
      <c r="J21" s="632"/>
      <c r="K21" s="632"/>
      <c r="L21" s="632"/>
      <c r="M21" s="632"/>
      <c r="N21" s="656"/>
      <c r="O21" s="632"/>
      <c r="P21" s="632"/>
      <c r="Q21" s="632"/>
      <c r="R21" s="632"/>
      <c r="S21" s="656"/>
      <c r="T21" s="632"/>
      <c r="U21" s="632"/>
      <c r="V21" s="703"/>
      <c r="W21" s="758"/>
    </row>
    <row r="22" spans="1:23" ht="30.75" thickBot="1">
      <c r="A22" s="1780"/>
      <c r="B22" s="1780"/>
      <c r="C22" s="357" t="s">
        <v>24</v>
      </c>
      <c r="D22" s="358" t="s">
        <v>236</v>
      </c>
      <c r="E22" s="494"/>
      <c r="F22" s="1780"/>
      <c r="G22" s="1780"/>
      <c r="H22" s="1793"/>
      <c r="I22" s="656"/>
      <c r="J22" s="632"/>
      <c r="K22" s="632"/>
      <c r="L22" s="632"/>
      <c r="M22" s="632"/>
      <c r="N22" s="656"/>
      <c r="O22" s="632"/>
      <c r="P22" s="632"/>
      <c r="Q22" s="632"/>
      <c r="R22" s="632"/>
      <c r="S22" s="656"/>
      <c r="T22" s="632"/>
      <c r="U22" s="632"/>
      <c r="V22" s="703"/>
      <c r="W22" s="758"/>
    </row>
    <row r="23" spans="1:23" ht="15.75">
      <c r="A23" s="1801" t="s">
        <v>478</v>
      </c>
      <c r="B23" s="1792"/>
      <c r="C23" s="359" t="s">
        <v>360</v>
      </c>
      <c r="D23" s="358" t="s">
        <v>265</v>
      </c>
      <c r="E23" s="494"/>
      <c r="F23" s="1791" t="s">
        <v>477</v>
      </c>
      <c r="G23" s="1771"/>
      <c r="H23" s="1792"/>
      <c r="I23" s="656"/>
      <c r="J23" s="632"/>
      <c r="K23" s="632"/>
      <c r="L23" s="632"/>
      <c r="M23" s="632"/>
      <c r="N23" s="656"/>
      <c r="O23" s="632"/>
      <c r="P23" s="632"/>
      <c r="Q23" s="632"/>
      <c r="R23" s="632"/>
      <c r="S23" s="656"/>
      <c r="T23" s="632"/>
      <c r="U23" s="632"/>
      <c r="V23" s="703"/>
      <c r="W23" s="758"/>
    </row>
    <row r="24" spans="1:23" ht="15.75">
      <c r="A24" s="1779"/>
      <c r="B24" s="1799"/>
      <c r="C24" s="360" t="s">
        <v>361</v>
      </c>
      <c r="D24" s="358" t="s">
        <v>362</v>
      </c>
      <c r="E24" s="494"/>
      <c r="F24" s="1845"/>
      <c r="G24" s="1845"/>
      <c r="H24" s="1799"/>
      <c r="I24" s="656"/>
      <c r="J24" s="632"/>
      <c r="K24" s="632"/>
      <c r="L24" s="632"/>
      <c r="M24" s="632"/>
      <c r="N24" s="656"/>
      <c r="O24" s="632"/>
      <c r="P24" s="632"/>
      <c r="Q24" s="632"/>
      <c r="R24" s="632"/>
      <c r="S24" s="656"/>
      <c r="T24" s="632"/>
      <c r="U24" s="632"/>
      <c r="V24" s="703"/>
      <c r="W24" s="758"/>
    </row>
    <row r="25" spans="1:23" ht="16.5" thickBot="1">
      <c r="A25" s="1779"/>
      <c r="B25" s="1799"/>
      <c r="C25" s="361" t="s">
        <v>479</v>
      </c>
      <c r="D25" s="358" t="s">
        <v>480</v>
      </c>
      <c r="E25" s="494"/>
      <c r="F25" s="1780"/>
      <c r="G25" s="1780"/>
      <c r="H25" s="1793"/>
      <c r="I25" s="656"/>
      <c r="J25" s="632"/>
      <c r="K25" s="632"/>
      <c r="L25" s="632"/>
      <c r="M25" s="632"/>
      <c r="N25" s="656"/>
      <c r="O25" s="632"/>
      <c r="P25" s="632"/>
      <c r="Q25" s="632"/>
      <c r="R25" s="632"/>
      <c r="S25" s="656"/>
      <c r="T25" s="632"/>
      <c r="U25" s="632"/>
      <c r="V25" s="703"/>
      <c r="W25" s="758"/>
    </row>
    <row r="26" spans="1:23" ht="15.75" thickBot="1">
      <c r="A26" s="1802" t="s">
        <v>25</v>
      </c>
      <c r="B26" s="1776"/>
      <c r="C26" s="1777"/>
      <c r="D26" s="362" t="s">
        <v>270</v>
      </c>
      <c r="E26" s="494"/>
      <c r="F26" s="1763" t="s">
        <v>481</v>
      </c>
      <c r="G26" s="1762"/>
      <c r="H26" s="1764"/>
      <c r="I26" s="656"/>
      <c r="J26" s="632"/>
      <c r="K26" s="632"/>
      <c r="L26" s="632"/>
      <c r="M26" s="632"/>
      <c r="N26" s="656"/>
      <c r="O26" s="632"/>
      <c r="P26" s="632"/>
      <c r="Q26" s="632"/>
      <c r="R26" s="632"/>
      <c r="S26" s="656"/>
      <c r="T26" s="632"/>
      <c r="U26" s="632"/>
      <c r="V26" s="703"/>
      <c r="W26" s="758"/>
    </row>
    <row r="27" spans="1:23" ht="15.75">
      <c r="A27" s="1803" t="s">
        <v>153</v>
      </c>
      <c r="B27" s="1788"/>
      <c r="C27" s="363" t="s">
        <v>152</v>
      </c>
      <c r="D27" s="364" t="s">
        <v>268</v>
      </c>
      <c r="E27" s="494"/>
      <c r="F27" s="1791" t="s">
        <v>475</v>
      </c>
      <c r="G27" s="1771"/>
      <c r="H27" s="1792"/>
      <c r="I27" s="656"/>
      <c r="J27" s="632"/>
      <c r="K27" s="632"/>
      <c r="L27" s="632"/>
      <c r="M27" s="632"/>
      <c r="N27" s="656"/>
      <c r="O27" s="632"/>
      <c r="P27" s="632"/>
      <c r="Q27" s="632"/>
      <c r="R27" s="632"/>
      <c r="S27" s="656"/>
      <c r="T27" s="632"/>
      <c r="U27" s="632"/>
      <c r="V27" s="703"/>
      <c r="W27" s="758"/>
    </row>
    <row r="28" spans="1:23" ht="15.75">
      <c r="A28" s="1779"/>
      <c r="B28" s="1788"/>
      <c r="C28" s="365" t="s">
        <v>154</v>
      </c>
      <c r="D28" s="364" t="s">
        <v>392</v>
      </c>
      <c r="E28" s="494"/>
      <c r="F28" s="1845"/>
      <c r="G28" s="1845"/>
      <c r="H28" s="1799"/>
      <c r="I28" s="656"/>
      <c r="J28" s="632"/>
      <c r="K28" s="632"/>
      <c r="L28" s="632"/>
      <c r="M28" s="632"/>
      <c r="N28" s="656"/>
      <c r="O28" s="632"/>
      <c r="P28" s="632"/>
      <c r="Q28" s="632"/>
      <c r="R28" s="632"/>
      <c r="S28" s="656"/>
      <c r="T28" s="632"/>
      <c r="U28" s="632"/>
      <c r="V28" s="703"/>
      <c r="W28" s="758"/>
    </row>
    <row r="29" spans="1:23" ht="16.5" thickBot="1">
      <c r="A29" s="1767"/>
      <c r="B29" s="1768"/>
      <c r="C29" s="366" t="s">
        <v>400</v>
      </c>
      <c r="D29" s="364" t="s">
        <v>393</v>
      </c>
      <c r="E29" s="494"/>
      <c r="F29" s="1780"/>
      <c r="G29" s="1780"/>
      <c r="H29" s="1793"/>
      <c r="I29" s="656"/>
      <c r="J29" s="632"/>
      <c r="K29" s="632"/>
      <c r="L29" s="632"/>
      <c r="M29" s="632"/>
      <c r="N29" s="656"/>
      <c r="O29" s="632"/>
      <c r="P29" s="632"/>
      <c r="Q29" s="632"/>
      <c r="R29" s="632"/>
      <c r="S29" s="656"/>
      <c r="T29" s="632"/>
      <c r="U29" s="632"/>
      <c r="V29" s="703"/>
      <c r="W29" s="758"/>
    </row>
    <row r="30" spans="1:23" ht="15.75">
      <c r="A30" s="1797" t="s">
        <v>153</v>
      </c>
      <c r="B30" s="1766"/>
      <c r="C30" s="367" t="s">
        <v>155</v>
      </c>
      <c r="D30" s="364" t="s">
        <v>266</v>
      </c>
      <c r="E30" s="494"/>
      <c r="F30" s="1791" t="s">
        <v>475</v>
      </c>
      <c r="G30" s="1771"/>
      <c r="H30" s="1792"/>
      <c r="I30" s="656"/>
      <c r="J30" s="632"/>
      <c r="K30" s="632"/>
      <c r="L30" s="632"/>
      <c r="M30" s="632"/>
      <c r="N30" s="656"/>
      <c r="O30" s="632"/>
      <c r="P30" s="632"/>
      <c r="Q30" s="632"/>
      <c r="R30" s="632"/>
      <c r="S30" s="656"/>
      <c r="T30" s="632"/>
      <c r="U30" s="632"/>
      <c r="V30" s="703"/>
      <c r="W30" s="758"/>
    </row>
    <row r="31" spans="1:23" ht="15.75">
      <c r="A31" s="1779"/>
      <c r="B31" s="1788"/>
      <c r="C31" s="365" t="s">
        <v>156</v>
      </c>
      <c r="D31" s="364" t="s">
        <v>394</v>
      </c>
      <c r="E31" s="494"/>
      <c r="F31" s="1845"/>
      <c r="G31" s="1845"/>
      <c r="H31" s="1799"/>
      <c r="I31" s="656"/>
      <c r="J31" s="632"/>
      <c r="K31" s="632"/>
      <c r="L31" s="632"/>
      <c r="M31" s="632"/>
      <c r="N31" s="656"/>
      <c r="O31" s="632"/>
      <c r="P31" s="632"/>
      <c r="Q31" s="632"/>
      <c r="R31" s="632"/>
      <c r="S31" s="656"/>
      <c r="T31" s="632"/>
      <c r="U31" s="632"/>
      <c r="V31" s="703"/>
      <c r="W31" s="758"/>
    </row>
    <row r="32" spans="1:23" ht="16.5" thickBot="1">
      <c r="A32" s="1767"/>
      <c r="B32" s="1768"/>
      <c r="C32" s="366" t="s">
        <v>399</v>
      </c>
      <c r="D32" s="364" t="s">
        <v>395</v>
      </c>
      <c r="E32" s="494"/>
      <c r="F32" s="1780"/>
      <c r="G32" s="1780"/>
      <c r="H32" s="1793"/>
      <c r="I32" s="656"/>
      <c r="J32" s="632"/>
      <c r="K32" s="632"/>
      <c r="L32" s="632"/>
      <c r="M32" s="632"/>
      <c r="N32" s="656"/>
      <c r="O32" s="632"/>
      <c r="P32" s="632"/>
      <c r="Q32" s="632"/>
      <c r="R32" s="632"/>
      <c r="S32" s="656"/>
      <c r="T32" s="632"/>
      <c r="U32" s="632"/>
      <c r="V32" s="703"/>
      <c r="W32" s="758"/>
    </row>
    <row r="33" spans="1:23" ht="16.5" thickBot="1">
      <c r="A33" s="1797" t="s">
        <v>482</v>
      </c>
      <c r="B33" s="1766"/>
      <c r="C33" s="367" t="s">
        <v>365</v>
      </c>
      <c r="D33" s="364" t="s">
        <v>252</v>
      </c>
      <c r="E33" s="494"/>
      <c r="F33" s="1791" t="s">
        <v>483</v>
      </c>
      <c r="G33" s="1771"/>
      <c r="H33" s="1792"/>
      <c r="I33" s="656"/>
      <c r="J33" s="632"/>
      <c r="K33" s="632"/>
      <c r="L33" s="632"/>
      <c r="M33" s="632"/>
      <c r="N33" s="656"/>
      <c r="O33" s="632"/>
      <c r="P33" s="632"/>
      <c r="Q33" s="632"/>
      <c r="R33" s="632"/>
      <c r="S33" s="656"/>
      <c r="T33" s="632"/>
      <c r="U33" s="632"/>
      <c r="V33" s="703"/>
      <c r="W33" s="758"/>
    </row>
    <row r="34" spans="1:23" ht="16.5" thickBot="1">
      <c r="A34" s="1797" t="s">
        <v>484</v>
      </c>
      <c r="B34" s="1766"/>
      <c r="C34" s="367" t="s">
        <v>485</v>
      </c>
      <c r="D34" s="364" t="s">
        <v>264</v>
      </c>
      <c r="E34" s="494"/>
      <c r="F34" s="1800"/>
      <c r="G34" s="1771"/>
      <c r="H34" s="1792"/>
      <c r="I34" s="656"/>
      <c r="J34" s="632"/>
      <c r="K34" s="632"/>
      <c r="L34" s="632"/>
      <c r="M34" s="632"/>
      <c r="N34" s="656"/>
      <c r="O34" s="632"/>
      <c r="P34" s="632"/>
      <c r="Q34" s="632"/>
      <c r="R34" s="632"/>
      <c r="S34" s="656"/>
      <c r="T34" s="632"/>
      <c r="U34" s="632"/>
      <c r="V34" s="703"/>
      <c r="W34" s="758"/>
    </row>
    <row r="35" spans="1:23" s="1161" customFormat="1" ht="16.5" thickBot="1">
      <c r="A35" s="1797" t="s">
        <v>486</v>
      </c>
      <c r="B35" s="1766"/>
      <c r="C35" s="367" t="s">
        <v>43</v>
      </c>
      <c r="D35" s="367" t="s">
        <v>256</v>
      </c>
      <c r="E35" s="1688"/>
      <c r="F35" s="2543" t="s">
        <v>811</v>
      </c>
      <c r="G35" s="2544"/>
      <c r="H35" s="2545"/>
      <c r="I35" s="1166"/>
      <c r="J35" s="1159"/>
      <c r="K35" s="1159"/>
      <c r="L35" s="1159"/>
      <c r="M35" s="1159"/>
      <c r="N35" s="1167" t="s">
        <v>256</v>
      </c>
      <c r="O35" s="1159">
        <v>1</v>
      </c>
      <c r="P35" s="1159">
        <v>0</v>
      </c>
      <c r="Q35" s="1164" t="s">
        <v>1135</v>
      </c>
      <c r="R35" s="1168">
        <v>15600</v>
      </c>
      <c r="S35" s="1166"/>
      <c r="T35" s="1159"/>
      <c r="U35" s="1159"/>
      <c r="V35" s="1169"/>
      <c r="W35" s="1160"/>
    </row>
    <row r="36" spans="1:23" s="1161" customFormat="1" ht="16.5" thickBot="1">
      <c r="A36" s="1797"/>
      <c r="B36" s="1766"/>
      <c r="C36" s="367" t="s">
        <v>60</v>
      </c>
      <c r="D36" s="367" t="s">
        <v>257</v>
      </c>
      <c r="E36" s="1688"/>
      <c r="F36" s="2546"/>
      <c r="G36" s="2546"/>
      <c r="H36" s="2547"/>
      <c r="I36" s="1166"/>
      <c r="J36" s="1159"/>
      <c r="K36" s="1159"/>
      <c r="L36" s="1159"/>
      <c r="M36" s="1159"/>
      <c r="N36" s="1166"/>
      <c r="O36" s="1159"/>
      <c r="P36" s="1159"/>
      <c r="Q36" s="1159"/>
      <c r="R36" s="1159"/>
      <c r="S36" s="1167" t="s">
        <v>257</v>
      </c>
      <c r="T36" s="1159">
        <v>1</v>
      </c>
      <c r="U36" s="1159">
        <v>0</v>
      </c>
      <c r="V36" s="1170" t="s">
        <v>1135</v>
      </c>
      <c r="W36" s="1168">
        <v>23700</v>
      </c>
    </row>
    <row r="37" spans="1:23" ht="30">
      <c r="A37" s="1796" t="s">
        <v>33</v>
      </c>
      <c r="B37" s="1771"/>
      <c r="C37" s="371" t="s">
        <v>812</v>
      </c>
      <c r="D37" s="372" t="s">
        <v>170</v>
      </c>
      <c r="E37" s="184" t="s">
        <v>277</v>
      </c>
      <c r="F37" s="1820" t="s">
        <v>813</v>
      </c>
      <c r="G37" s="1771"/>
      <c r="H37" s="1792"/>
      <c r="I37" s="372" t="s">
        <v>170</v>
      </c>
      <c r="J37" s="632">
        <v>1</v>
      </c>
      <c r="K37" s="632">
        <v>1</v>
      </c>
      <c r="L37" s="624" t="s">
        <v>1136</v>
      </c>
      <c r="M37" s="909">
        <v>5445</v>
      </c>
      <c r="N37" s="656"/>
      <c r="O37" s="632"/>
      <c r="P37" s="632"/>
      <c r="Q37" s="632"/>
      <c r="R37" s="632"/>
      <c r="S37" s="656"/>
      <c r="T37" s="632"/>
      <c r="U37" s="632"/>
      <c r="V37" s="703"/>
      <c r="W37" s="758"/>
    </row>
    <row r="38" spans="1:23" ht="30">
      <c r="A38" s="1779"/>
      <c r="B38" s="1772"/>
      <c r="C38" s="373" t="s">
        <v>814</v>
      </c>
      <c r="D38" s="372" t="s">
        <v>169</v>
      </c>
      <c r="E38" s="184" t="s">
        <v>277</v>
      </c>
      <c r="F38" s="1820" t="s">
        <v>815</v>
      </c>
      <c r="G38" s="1771"/>
      <c r="H38" s="1792"/>
      <c r="I38" s="656"/>
      <c r="J38" s="632"/>
      <c r="K38" s="632"/>
      <c r="L38" s="632"/>
      <c r="M38" s="632"/>
      <c r="N38" s="372" t="s">
        <v>169</v>
      </c>
      <c r="O38" s="632">
        <v>1</v>
      </c>
      <c r="P38" s="632">
        <v>1</v>
      </c>
      <c r="Q38" s="624" t="s">
        <v>1136</v>
      </c>
      <c r="R38" s="909">
        <v>7965</v>
      </c>
      <c r="S38" s="656"/>
      <c r="T38" s="632"/>
      <c r="U38" s="632"/>
      <c r="V38" s="703"/>
      <c r="W38" s="758"/>
    </row>
    <row r="39" spans="1:23" ht="30.75" thickBot="1">
      <c r="A39" s="1779"/>
      <c r="B39" s="1772"/>
      <c r="C39" s="374" t="s">
        <v>816</v>
      </c>
      <c r="D39" s="372" t="s">
        <v>250</v>
      </c>
      <c r="E39" s="184"/>
      <c r="F39" s="1780"/>
      <c r="G39" s="1780"/>
      <c r="H39" s="1793"/>
      <c r="I39" s="656"/>
      <c r="J39" s="632"/>
      <c r="K39" s="632"/>
      <c r="L39" s="632"/>
      <c r="M39" s="632"/>
      <c r="N39" s="656"/>
      <c r="O39" s="632"/>
      <c r="P39" s="632"/>
      <c r="Q39" s="632"/>
      <c r="R39" s="632"/>
      <c r="S39" s="656"/>
      <c r="T39" s="632"/>
      <c r="U39" s="632"/>
      <c r="V39" s="703"/>
      <c r="W39" s="758"/>
    </row>
    <row r="40" spans="1:23" ht="15.75">
      <c r="A40" s="1786" t="s">
        <v>491</v>
      </c>
      <c r="B40" s="1787"/>
      <c r="C40" s="375" t="s">
        <v>144</v>
      </c>
      <c r="D40" s="376" t="s">
        <v>253</v>
      </c>
      <c r="E40" s="494"/>
      <c r="F40" s="1791" t="s">
        <v>492</v>
      </c>
      <c r="G40" s="1771"/>
      <c r="H40" s="1792"/>
      <c r="I40" s="656"/>
      <c r="J40" s="632"/>
      <c r="K40" s="632"/>
      <c r="L40" s="632"/>
      <c r="M40" s="632"/>
      <c r="N40" s="656"/>
      <c r="O40" s="632"/>
      <c r="P40" s="632"/>
      <c r="Q40" s="632"/>
      <c r="R40" s="632"/>
      <c r="S40" s="656"/>
      <c r="T40" s="632"/>
      <c r="U40" s="632"/>
      <c r="V40" s="703"/>
      <c r="W40" s="758"/>
    </row>
    <row r="41" spans="1:23" ht="16.5" thickBot="1">
      <c r="A41" s="1772"/>
      <c r="B41" s="1788"/>
      <c r="C41" s="377" t="s">
        <v>145</v>
      </c>
      <c r="D41" s="376" t="s">
        <v>254</v>
      </c>
      <c r="E41" s="494"/>
      <c r="F41" s="1780"/>
      <c r="G41" s="1780"/>
      <c r="H41" s="1793"/>
      <c r="I41" s="656"/>
      <c r="J41" s="632"/>
      <c r="K41" s="632"/>
      <c r="L41" s="632"/>
      <c r="M41" s="632"/>
      <c r="N41" s="656"/>
      <c r="O41" s="632"/>
      <c r="P41" s="632"/>
      <c r="Q41" s="632"/>
      <c r="R41" s="632"/>
      <c r="S41" s="656"/>
      <c r="T41" s="632"/>
      <c r="U41" s="632"/>
      <c r="V41" s="703"/>
      <c r="W41" s="758"/>
    </row>
    <row r="42" spans="1:23" ht="48" thickBot="1">
      <c r="A42" s="1789"/>
      <c r="B42" s="1790"/>
      <c r="C42" s="378" t="s">
        <v>128</v>
      </c>
      <c r="D42" s="376" t="s">
        <v>262</v>
      </c>
      <c r="E42" s="494"/>
      <c r="F42" s="1794"/>
      <c r="G42" s="1762"/>
      <c r="H42" s="1764"/>
      <c r="I42" s="656"/>
      <c r="J42" s="632"/>
      <c r="K42" s="632"/>
      <c r="L42" s="632"/>
      <c r="M42" s="632"/>
      <c r="N42" s="656"/>
      <c r="O42" s="632"/>
      <c r="P42" s="632"/>
      <c r="Q42" s="632"/>
      <c r="R42" s="632"/>
      <c r="S42" s="656"/>
      <c r="T42" s="632"/>
      <c r="U42" s="632"/>
      <c r="V42" s="703"/>
      <c r="W42" s="758"/>
    </row>
    <row r="43" spans="1:23" ht="87.75" customHeight="1" thickBot="1">
      <c r="A43" s="1775" t="s">
        <v>493</v>
      </c>
      <c r="B43" s="1776"/>
      <c r="C43" s="1777"/>
      <c r="D43" s="379" t="s">
        <v>237</v>
      </c>
      <c r="E43" s="184" t="s">
        <v>277</v>
      </c>
      <c r="F43" s="1818" t="s">
        <v>817</v>
      </c>
      <c r="G43" s="1762"/>
      <c r="H43" s="1764"/>
      <c r="I43" s="379" t="s">
        <v>237</v>
      </c>
      <c r="J43" s="632">
        <v>1</v>
      </c>
      <c r="K43" s="632">
        <v>1</v>
      </c>
      <c r="L43" s="624" t="s">
        <v>1054</v>
      </c>
      <c r="M43" s="909">
        <v>1304</v>
      </c>
      <c r="N43" s="656"/>
      <c r="O43" s="632"/>
      <c r="P43" s="632"/>
      <c r="Q43" s="624"/>
      <c r="R43" s="909"/>
      <c r="S43" s="656"/>
      <c r="T43" s="632"/>
      <c r="U43" s="632"/>
      <c r="V43" s="703"/>
      <c r="W43" s="910"/>
    </row>
    <row r="44" spans="1:23" ht="15.75" thickBot="1">
      <c r="A44" s="1775" t="s">
        <v>133</v>
      </c>
      <c r="B44" s="1776"/>
      <c r="C44" s="1777"/>
      <c r="D44" s="379" t="s">
        <v>238</v>
      </c>
      <c r="E44" s="183"/>
      <c r="F44" s="1818"/>
      <c r="G44" s="1762"/>
      <c r="H44" s="1764"/>
      <c r="I44" s="656"/>
      <c r="J44" s="632"/>
      <c r="K44" s="632"/>
      <c r="L44" s="632"/>
      <c r="M44" s="632"/>
      <c r="N44" s="656"/>
      <c r="O44" s="632"/>
      <c r="P44" s="632"/>
      <c r="Q44" s="632"/>
      <c r="R44" s="632"/>
      <c r="S44" s="656"/>
      <c r="T44" s="632"/>
      <c r="U44" s="632"/>
      <c r="V44" s="703"/>
      <c r="W44" s="758"/>
    </row>
    <row r="45" spans="1:23">
      <c r="A45" s="1778" t="s">
        <v>41</v>
      </c>
      <c r="B45" s="1772"/>
      <c r="C45" s="380" t="s">
        <v>50</v>
      </c>
      <c r="D45" s="381" t="s">
        <v>246</v>
      </c>
      <c r="E45" s="494"/>
      <c r="F45" s="1781" t="s">
        <v>560</v>
      </c>
      <c r="G45" s="1762"/>
      <c r="H45" s="1764"/>
      <c r="I45" s="656"/>
      <c r="J45" s="632"/>
      <c r="K45" s="632"/>
      <c r="L45" s="632"/>
      <c r="M45" s="632"/>
      <c r="N45" s="656"/>
      <c r="O45" s="632"/>
      <c r="P45" s="632"/>
      <c r="Q45" s="632"/>
      <c r="R45" s="632"/>
      <c r="S45" s="656"/>
      <c r="T45" s="632"/>
      <c r="U45" s="632"/>
      <c r="V45" s="703"/>
      <c r="W45" s="758"/>
    </row>
    <row r="46" spans="1:23">
      <c r="A46" s="1779"/>
      <c r="B46" s="1772"/>
      <c r="C46" s="382" t="s">
        <v>51</v>
      </c>
      <c r="D46" s="381" t="s">
        <v>247</v>
      </c>
      <c r="E46" s="494"/>
      <c r="F46" s="1781" t="s">
        <v>498</v>
      </c>
      <c r="G46" s="1762"/>
      <c r="H46" s="1764"/>
      <c r="I46" s="656"/>
      <c r="J46" s="632"/>
      <c r="K46" s="632"/>
      <c r="L46" s="632"/>
      <c r="M46" s="632"/>
      <c r="N46" s="656"/>
      <c r="O46" s="632"/>
      <c r="P46" s="632"/>
      <c r="Q46" s="632"/>
      <c r="R46" s="632"/>
      <c r="S46" s="656"/>
      <c r="T46" s="632"/>
      <c r="U46" s="632"/>
      <c r="V46" s="703"/>
      <c r="W46" s="758"/>
    </row>
    <row r="47" spans="1:23">
      <c r="A47" s="1779"/>
      <c r="B47" s="1772"/>
      <c r="C47" s="382" t="s">
        <v>39</v>
      </c>
      <c r="D47" s="381" t="s">
        <v>248</v>
      </c>
      <c r="E47" s="494"/>
      <c r="F47" s="1781" t="s">
        <v>498</v>
      </c>
      <c r="G47" s="1762"/>
      <c r="H47" s="1764"/>
      <c r="I47" s="656"/>
      <c r="J47" s="632"/>
      <c r="K47" s="632"/>
      <c r="L47" s="632"/>
      <c r="M47" s="632"/>
      <c r="N47" s="656"/>
      <c r="O47" s="632"/>
      <c r="P47" s="632"/>
      <c r="Q47" s="632"/>
      <c r="R47" s="632"/>
      <c r="S47" s="656"/>
      <c r="T47" s="632"/>
      <c r="U47" s="632"/>
      <c r="V47" s="703"/>
      <c r="W47" s="758"/>
    </row>
    <row r="48" spans="1:23" ht="15.75" thickBot="1">
      <c r="A48" s="1767"/>
      <c r="B48" s="1780"/>
      <c r="C48" s="383" t="s">
        <v>40</v>
      </c>
      <c r="D48" s="381" t="s">
        <v>249</v>
      </c>
      <c r="E48" s="494"/>
      <c r="F48" s="1781" t="s">
        <v>498</v>
      </c>
      <c r="G48" s="1762"/>
      <c r="H48" s="1764"/>
      <c r="I48" s="656"/>
      <c r="J48" s="632"/>
      <c r="K48" s="632"/>
      <c r="L48" s="632"/>
      <c r="M48" s="632"/>
      <c r="N48" s="656"/>
      <c r="O48" s="632"/>
      <c r="P48" s="632"/>
      <c r="Q48" s="632"/>
      <c r="R48" s="632"/>
      <c r="S48" s="656"/>
      <c r="T48" s="632"/>
      <c r="U48" s="632"/>
      <c r="V48" s="703"/>
      <c r="W48" s="758"/>
    </row>
    <row r="49" spans="1:23" ht="15.75">
      <c r="A49" s="1765" t="s">
        <v>130</v>
      </c>
      <c r="B49" s="1766"/>
      <c r="C49" s="375" t="s">
        <v>131</v>
      </c>
      <c r="D49" s="376" t="s">
        <v>255</v>
      </c>
      <c r="E49" s="494"/>
      <c r="F49" s="1769"/>
      <c r="G49" s="1762"/>
      <c r="H49" s="1764"/>
      <c r="I49" s="656"/>
      <c r="J49" s="632"/>
      <c r="K49" s="632"/>
      <c r="L49" s="632"/>
      <c r="M49" s="632"/>
      <c r="N49" s="656"/>
      <c r="O49" s="632"/>
      <c r="P49" s="632"/>
      <c r="Q49" s="632"/>
      <c r="R49" s="632"/>
      <c r="S49" s="656"/>
      <c r="T49" s="632"/>
      <c r="U49" s="632"/>
      <c r="V49" s="703"/>
      <c r="W49" s="758"/>
    </row>
    <row r="50" spans="1:23" ht="48" thickBot="1">
      <c r="A50" s="1767"/>
      <c r="B50" s="1768"/>
      <c r="C50" s="384" t="s">
        <v>132</v>
      </c>
      <c r="D50" s="376" t="s">
        <v>263</v>
      </c>
      <c r="E50" s="494"/>
      <c r="F50" s="1769"/>
      <c r="G50" s="1762"/>
      <c r="H50" s="1764"/>
      <c r="I50" s="656"/>
      <c r="J50" s="632"/>
      <c r="K50" s="632"/>
      <c r="L50" s="632"/>
      <c r="M50" s="632"/>
      <c r="N50" s="656"/>
      <c r="O50" s="632"/>
      <c r="P50" s="632"/>
      <c r="Q50" s="632"/>
      <c r="R50" s="632"/>
      <c r="S50" s="656"/>
      <c r="T50" s="632"/>
      <c r="U50" s="632"/>
      <c r="V50" s="703"/>
      <c r="W50" s="758"/>
    </row>
    <row r="51" spans="1:23">
      <c r="A51" s="1770" t="s">
        <v>42</v>
      </c>
      <c r="B51" s="1771"/>
      <c r="C51" s="385" t="s">
        <v>38</v>
      </c>
      <c r="D51" s="386" t="s">
        <v>239</v>
      </c>
      <c r="E51" s="184" t="s">
        <v>277</v>
      </c>
      <c r="F51" s="1818" t="s">
        <v>818</v>
      </c>
      <c r="G51" s="1762"/>
      <c r="H51" s="1764"/>
      <c r="I51" s="656"/>
      <c r="J51" s="632"/>
      <c r="K51" s="632"/>
      <c r="L51" s="632"/>
      <c r="M51" s="632"/>
      <c r="N51" s="386" t="s">
        <v>239</v>
      </c>
      <c r="O51" s="632">
        <v>1</v>
      </c>
      <c r="P51" s="632">
        <v>1</v>
      </c>
      <c r="Q51" s="624" t="s">
        <v>1137</v>
      </c>
      <c r="R51" s="909">
        <v>800</v>
      </c>
      <c r="S51" s="656"/>
      <c r="T51" s="632"/>
      <c r="U51" s="632"/>
      <c r="V51" s="703"/>
      <c r="W51" s="758"/>
    </row>
    <row r="52" spans="1:23">
      <c r="A52" s="1772"/>
      <c r="B52" s="1772"/>
      <c r="C52" s="387" t="s">
        <v>55</v>
      </c>
      <c r="D52" s="386" t="s">
        <v>240</v>
      </c>
      <c r="E52" s="184" t="s">
        <v>277</v>
      </c>
      <c r="F52" s="1773"/>
      <c r="G52" s="1762"/>
      <c r="H52" s="1764"/>
      <c r="I52" s="656"/>
      <c r="J52" s="632"/>
      <c r="K52" s="632"/>
      <c r="L52" s="632"/>
      <c r="M52" s="632"/>
      <c r="N52" s="656"/>
      <c r="O52" s="632"/>
      <c r="P52" s="632"/>
      <c r="Q52" s="632"/>
      <c r="R52" s="632"/>
      <c r="S52" s="386" t="s">
        <v>240</v>
      </c>
      <c r="T52" s="632">
        <v>1</v>
      </c>
      <c r="U52" s="632">
        <v>1</v>
      </c>
      <c r="V52" s="911" t="s">
        <v>1138</v>
      </c>
      <c r="W52" s="910">
        <v>62</v>
      </c>
    </row>
    <row r="53" spans="1:23" ht="16.5" thickBot="1">
      <c r="A53" s="1772"/>
      <c r="B53" s="1772"/>
      <c r="C53" s="377" t="s">
        <v>48</v>
      </c>
      <c r="D53" s="388" t="s">
        <v>241</v>
      </c>
      <c r="E53" s="493"/>
      <c r="F53" s="1774"/>
      <c r="G53" s="1762"/>
      <c r="H53" s="1764"/>
      <c r="I53" s="656"/>
      <c r="J53" s="632"/>
      <c r="K53" s="632"/>
      <c r="L53" s="632"/>
      <c r="M53" s="632"/>
      <c r="N53" s="656"/>
      <c r="O53" s="632"/>
      <c r="P53" s="632"/>
      <c r="Q53" s="632"/>
      <c r="R53" s="632"/>
      <c r="S53" s="656"/>
      <c r="T53" s="632"/>
      <c r="U53" s="632"/>
      <c r="V53" s="703"/>
      <c r="W53" s="758"/>
    </row>
    <row r="54" spans="1:23" ht="32.25" thickBot="1">
      <c r="A54" s="1761" t="s">
        <v>500</v>
      </c>
      <c r="B54" s="1762"/>
      <c r="C54" s="389" t="s">
        <v>134</v>
      </c>
      <c r="D54" s="390" t="s">
        <v>269</v>
      </c>
      <c r="E54" s="506"/>
      <c r="F54" s="1763" t="s">
        <v>501</v>
      </c>
      <c r="G54" s="1762"/>
      <c r="H54" s="1764"/>
      <c r="I54" s="912"/>
      <c r="J54" s="913"/>
      <c r="K54" s="913"/>
      <c r="L54" s="913"/>
      <c r="M54" s="913"/>
      <c r="N54" s="912"/>
      <c r="O54" s="913"/>
      <c r="P54" s="913"/>
      <c r="Q54" s="913"/>
      <c r="R54" s="913"/>
      <c r="S54" s="912"/>
      <c r="T54" s="913"/>
      <c r="U54" s="913"/>
      <c r="V54" s="914"/>
      <c r="W54" s="758"/>
    </row>
    <row r="55" spans="1:23">
      <c r="I55" s="612"/>
      <c r="J55" s="612"/>
      <c r="K55" s="612"/>
      <c r="L55" s="612"/>
      <c r="M55" s="915">
        <f>M37+M43</f>
        <v>6749</v>
      </c>
      <c r="N55" s="612"/>
      <c r="O55" s="612"/>
      <c r="P55" s="612"/>
      <c r="Q55" s="612"/>
      <c r="R55" s="915">
        <f>R51+R38++R35+R19</f>
        <v>38415</v>
      </c>
      <c r="S55" s="612"/>
      <c r="T55" s="612"/>
      <c r="U55" s="612"/>
      <c r="V55" s="916"/>
      <c r="W55" s="915">
        <f>W52+W36+W20</f>
        <v>123762</v>
      </c>
    </row>
    <row r="56" spans="1:23">
      <c r="M56" s="1017">
        <f>M55*5</f>
        <v>33745</v>
      </c>
    </row>
    <row r="58" spans="1:23">
      <c r="A58" s="1829" t="s">
        <v>1270</v>
      </c>
      <c r="B58" s="1830"/>
      <c r="C58" s="1830"/>
      <c r="D58" s="1830"/>
      <c r="E58" s="1830"/>
      <c r="F58" s="1830"/>
    </row>
    <row r="59" spans="1:23" ht="75">
      <c r="A59" s="1471" t="s">
        <v>1271</v>
      </c>
      <c r="B59" s="1478" t="s">
        <v>1272</v>
      </c>
      <c r="C59" s="1471" t="s">
        <v>1273</v>
      </c>
      <c r="D59" s="1478" t="s">
        <v>1274</v>
      </c>
      <c r="E59" s="1478" t="s">
        <v>1275</v>
      </c>
      <c r="F59" s="1471" t="s">
        <v>1276</v>
      </c>
    </row>
    <row r="60" spans="1:23">
      <c r="A60" s="1481" t="s">
        <v>1500</v>
      </c>
      <c r="B60" s="1487" t="s">
        <v>1501</v>
      </c>
      <c r="C60" s="1482" t="s">
        <v>1357</v>
      </c>
      <c r="D60" s="1479" t="s">
        <v>16</v>
      </c>
      <c r="E60" s="1480" t="s">
        <v>1502</v>
      </c>
      <c r="F60" s="1477">
        <v>1</v>
      </c>
    </row>
    <row r="61" spans="1:23">
      <c r="A61" s="1481" t="s">
        <v>1500</v>
      </c>
      <c r="B61" s="1487" t="s">
        <v>1503</v>
      </c>
      <c r="C61" s="1482" t="s">
        <v>1357</v>
      </c>
      <c r="D61" s="1479" t="s">
        <v>16</v>
      </c>
      <c r="E61" s="1480" t="s">
        <v>1502</v>
      </c>
      <c r="F61" s="1477">
        <v>1</v>
      </c>
    </row>
    <row r="62" spans="1:23" ht="30">
      <c r="A62" s="1473" t="s">
        <v>1500</v>
      </c>
      <c r="B62" s="1488" t="s">
        <v>1504</v>
      </c>
      <c r="C62" s="1476" t="s">
        <v>1357</v>
      </c>
      <c r="D62" s="1479" t="s">
        <v>16</v>
      </c>
      <c r="E62" s="1489" t="s">
        <v>1505</v>
      </c>
      <c r="F62" s="1477">
        <v>1</v>
      </c>
    </row>
    <row r="63" spans="1:23" ht="30">
      <c r="A63" s="1473" t="s">
        <v>1500</v>
      </c>
      <c r="B63" s="1488" t="s">
        <v>1506</v>
      </c>
      <c r="C63" s="1476" t="s">
        <v>1357</v>
      </c>
      <c r="D63" s="1479" t="s">
        <v>16</v>
      </c>
      <c r="E63" s="1489" t="s">
        <v>1505</v>
      </c>
      <c r="F63" s="1477">
        <v>1</v>
      </c>
    </row>
    <row r="64" spans="1:23" ht="45">
      <c r="A64" s="1473" t="s">
        <v>1500</v>
      </c>
      <c r="B64" s="1488" t="s">
        <v>1507</v>
      </c>
      <c r="C64" s="1476" t="s">
        <v>1357</v>
      </c>
      <c r="D64" s="1483" t="s">
        <v>16</v>
      </c>
      <c r="E64" s="1486" t="s">
        <v>1508</v>
      </c>
      <c r="F64" s="1477">
        <v>1</v>
      </c>
    </row>
    <row r="65" spans="1:6" ht="45">
      <c r="A65" s="1472" t="s">
        <v>1500</v>
      </c>
      <c r="B65" s="1488" t="s">
        <v>1509</v>
      </c>
      <c r="C65" s="1474" t="s">
        <v>1357</v>
      </c>
      <c r="D65" s="1484" t="s">
        <v>16</v>
      </c>
      <c r="E65" s="1486" t="s">
        <v>1508</v>
      </c>
      <c r="F65" s="1485">
        <v>1</v>
      </c>
    </row>
    <row r="66" spans="1:6">
      <c r="A66" s="1472" t="s">
        <v>1500</v>
      </c>
      <c r="B66" s="1488" t="s">
        <v>1510</v>
      </c>
      <c r="C66" s="1476" t="s">
        <v>1357</v>
      </c>
      <c r="D66" s="1483" t="s">
        <v>16</v>
      </c>
      <c r="E66" s="1490" t="s">
        <v>257</v>
      </c>
      <c r="F66" s="1477">
        <v>1</v>
      </c>
    </row>
    <row r="67" spans="1:6">
      <c r="A67" s="1475"/>
      <c r="B67" s="1488" t="s">
        <v>1511</v>
      </c>
      <c r="C67" s="1474" t="s">
        <v>1357</v>
      </c>
      <c r="D67" s="1484" t="s">
        <v>16</v>
      </c>
      <c r="E67" s="1490" t="s">
        <v>257</v>
      </c>
      <c r="F67" s="1485">
        <v>1</v>
      </c>
    </row>
    <row r="68" spans="1:6">
      <c r="A68" s="1475"/>
      <c r="B68" s="1488" t="s">
        <v>1512</v>
      </c>
      <c r="C68" s="1474" t="s">
        <v>1314</v>
      </c>
      <c r="D68" s="1474" t="s">
        <v>1513</v>
      </c>
      <c r="E68" s="1480" t="s">
        <v>1502</v>
      </c>
      <c r="F68" s="1473">
        <v>3</v>
      </c>
    </row>
  </sheetData>
  <mergeCells count="59">
    <mergeCell ref="A58:F58"/>
    <mergeCell ref="I13:M13"/>
    <mergeCell ref="N13:R13"/>
    <mergeCell ref="S13:W13"/>
    <mergeCell ref="A15:B17"/>
    <mergeCell ref="F15:H17"/>
    <mergeCell ref="A18:B20"/>
    <mergeCell ref="F18:H20"/>
    <mergeCell ref="A21:B22"/>
    <mergeCell ref="F21:H22"/>
    <mergeCell ref="A23:B25"/>
    <mergeCell ref="F23:H25"/>
    <mergeCell ref="A26:C26"/>
    <mergeCell ref="F26:H26"/>
    <mergeCell ref="A27:B29"/>
    <mergeCell ref="F27:H29"/>
    <mergeCell ref="A10:B10"/>
    <mergeCell ref="E12:H13"/>
    <mergeCell ref="A14:B14"/>
    <mergeCell ref="F14:H14"/>
    <mergeCell ref="C10:H10"/>
    <mergeCell ref="B2:D2"/>
    <mergeCell ref="B3:D3"/>
    <mergeCell ref="B4:D4"/>
    <mergeCell ref="B6:D6"/>
    <mergeCell ref="B8:D8"/>
    <mergeCell ref="A30:B32"/>
    <mergeCell ref="F30:H32"/>
    <mergeCell ref="A33:B33"/>
    <mergeCell ref="F33:H33"/>
    <mergeCell ref="A34:B34"/>
    <mergeCell ref="F34:H34"/>
    <mergeCell ref="F35:H36"/>
    <mergeCell ref="A37:B39"/>
    <mergeCell ref="F37:H37"/>
    <mergeCell ref="F38:H39"/>
    <mergeCell ref="A35:B35"/>
    <mergeCell ref="A36:B36"/>
    <mergeCell ref="A40:B42"/>
    <mergeCell ref="F40:H41"/>
    <mergeCell ref="F42:H42"/>
    <mergeCell ref="A43:C43"/>
    <mergeCell ref="F43:H43"/>
    <mergeCell ref="A44:C44"/>
    <mergeCell ref="F44:H44"/>
    <mergeCell ref="A45:B48"/>
    <mergeCell ref="F45:H45"/>
    <mergeCell ref="F46:H46"/>
    <mergeCell ref="F47:H47"/>
    <mergeCell ref="F48:H48"/>
    <mergeCell ref="A54:B54"/>
    <mergeCell ref="F54:H54"/>
    <mergeCell ref="A49:B50"/>
    <mergeCell ref="F49:H49"/>
    <mergeCell ref="F50:H50"/>
    <mergeCell ref="A51:B53"/>
    <mergeCell ref="F51:H51"/>
    <mergeCell ref="F52:H52"/>
    <mergeCell ref="F53:H53"/>
  </mergeCells>
  <hyperlinks>
    <hyperlink ref="J3" location="SOMMAIRE!A1" display="Retour sommaire"/>
    <hyperlink ref="J5" location="SYNTHESE!A1" display="Retour synthèse"/>
  </hyperlinks>
  <pageMargins left="0.7" right="0.7" top="0.75" bottom="0.75" header="0.3" footer="0.3"/>
  <pageSetup paperSize="9"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W92"/>
  <sheetViews>
    <sheetView zoomScale="80" zoomScaleNormal="80" workbookViewId="0">
      <selection activeCell="H6" sqref="H6"/>
    </sheetView>
  </sheetViews>
  <sheetFormatPr baseColWidth="10" defaultRowHeight="15"/>
  <cols>
    <col min="1" max="1" width="20.42578125" style="1611" bestFit="1" customWidth="1"/>
    <col min="2" max="2" width="15.7109375" style="1611" customWidth="1"/>
    <col min="3" max="3" width="68.5703125" style="1611" customWidth="1"/>
    <col min="4" max="4" width="9" style="1611" customWidth="1"/>
    <col min="5" max="5" width="7.5703125" style="1611" customWidth="1"/>
    <col min="6" max="6" width="16.28515625" style="1611" bestFit="1" customWidth="1"/>
    <col min="7" max="7" width="20.140625" style="1611" customWidth="1"/>
    <col min="8" max="8" width="28.5703125" style="1610" customWidth="1"/>
    <col min="9" max="9" width="11.42578125" style="1610"/>
    <col min="10" max="10" width="16.42578125" style="1610" bestFit="1" customWidth="1"/>
    <col min="11" max="16384" width="11.42578125" style="1610"/>
  </cols>
  <sheetData>
    <row r="1" spans="1:23" ht="15.75" thickBot="1">
      <c r="A1" s="1610"/>
      <c r="B1" s="1610"/>
      <c r="C1" s="1610"/>
      <c r="D1" s="1610"/>
      <c r="E1" s="1610"/>
      <c r="F1" s="1610"/>
      <c r="G1" s="1610"/>
    </row>
    <row r="2" spans="1:23" ht="15.75" customHeight="1" thickBot="1">
      <c r="A2" s="109" t="s">
        <v>0</v>
      </c>
      <c r="B2" s="1810" t="s">
        <v>461</v>
      </c>
      <c r="C2" s="2538"/>
      <c r="D2" s="2539"/>
      <c r="E2" s="110"/>
      <c r="F2" s="110"/>
      <c r="G2" s="111" t="s">
        <v>462</v>
      </c>
      <c r="H2" s="112" t="s">
        <v>53</v>
      </c>
      <c r="J2" s="11" t="s">
        <v>73</v>
      </c>
    </row>
    <row r="3" spans="1:23" ht="15.75" thickBot="1">
      <c r="A3" s="113" t="s">
        <v>344</v>
      </c>
      <c r="B3" s="1822" t="s">
        <v>463</v>
      </c>
      <c r="C3" s="2538"/>
      <c r="D3" s="2539"/>
      <c r="E3" s="110"/>
      <c r="F3" s="110"/>
      <c r="G3" s="114" t="s">
        <v>10</v>
      </c>
      <c r="H3" s="112" t="s">
        <v>16</v>
      </c>
    </row>
    <row r="4" spans="1:23" ht="15.75" customHeight="1" thickBot="1">
      <c r="A4" s="114" t="s">
        <v>3</v>
      </c>
      <c r="B4" s="1810" t="s">
        <v>1610</v>
      </c>
      <c r="C4" s="2538"/>
      <c r="D4" s="2539"/>
      <c r="E4" s="115"/>
      <c r="F4" s="110"/>
      <c r="G4" s="116" t="s">
        <v>26</v>
      </c>
      <c r="H4" s="117">
        <v>10</v>
      </c>
      <c r="J4" s="13" t="s">
        <v>381</v>
      </c>
    </row>
    <row r="5" spans="1:23" ht="15.75" customHeight="1" thickBot="1">
      <c r="A5" s="110"/>
      <c r="B5" s="110"/>
      <c r="C5" s="110"/>
      <c r="D5" s="110"/>
      <c r="E5" s="110"/>
      <c r="F5" s="110"/>
      <c r="G5" s="110"/>
      <c r="H5" s="110"/>
    </row>
    <row r="6" spans="1:23" ht="301.5" customHeight="1" thickBot="1">
      <c r="A6" s="118" t="s">
        <v>465</v>
      </c>
      <c r="B6" s="1810" t="s">
        <v>1652</v>
      </c>
      <c r="C6" s="2103"/>
      <c r="D6" s="2104"/>
      <c r="E6" s="110"/>
      <c r="F6" s="110"/>
      <c r="G6" s="118" t="s">
        <v>466</v>
      </c>
      <c r="H6" s="119" t="s">
        <v>1654</v>
      </c>
    </row>
    <row r="7" spans="1:23" ht="15.75" thickBot="1">
      <c r="A7" s="1610"/>
      <c r="B7" s="110"/>
      <c r="C7" s="110"/>
      <c r="D7" s="110"/>
      <c r="E7" s="110"/>
      <c r="F7" s="110"/>
      <c r="G7" s="120"/>
      <c r="H7" s="110"/>
    </row>
    <row r="8" spans="1:23" ht="87.75" customHeight="1" thickBot="1">
      <c r="A8" s="121" t="s">
        <v>7</v>
      </c>
      <c r="B8" s="1823" t="s">
        <v>467</v>
      </c>
      <c r="C8" s="2674"/>
      <c r="D8" s="2675"/>
      <c r="E8" s="115" t="s">
        <v>468</v>
      </c>
      <c r="F8" s="122"/>
      <c r="G8" s="121" t="s">
        <v>469</v>
      </c>
      <c r="H8" s="123" t="s">
        <v>508</v>
      </c>
    </row>
    <row r="9" spans="1:23">
      <c r="A9" s="1610"/>
      <c r="B9" s="110"/>
      <c r="C9" s="110"/>
      <c r="D9" s="110"/>
      <c r="E9" s="110"/>
      <c r="F9" s="110"/>
      <c r="G9" s="120"/>
      <c r="H9" s="110"/>
    </row>
    <row r="10" spans="1:23" ht="110.25" customHeight="1">
      <c r="A10" s="2174" t="s">
        <v>471</v>
      </c>
      <c r="B10" s="2663"/>
      <c r="C10" s="2075" t="s">
        <v>472</v>
      </c>
      <c r="D10" s="2075"/>
      <c r="E10" s="2075"/>
      <c r="F10" s="2075"/>
      <c r="G10" s="2075"/>
      <c r="H10" s="2075"/>
    </row>
    <row r="11" spans="1:23">
      <c r="A11" s="126"/>
      <c r="B11" s="115"/>
      <c r="C11" s="115"/>
      <c r="D11" s="115"/>
      <c r="E11" s="115"/>
      <c r="F11" s="122"/>
      <c r="G11" s="125"/>
      <c r="H11" s="125"/>
    </row>
    <row r="12" spans="1:23" ht="15" customHeight="1">
      <c r="A12" s="126"/>
      <c r="B12" s="115"/>
      <c r="C12" s="115"/>
      <c r="D12" s="115"/>
      <c r="E12" s="2181" t="s">
        <v>473</v>
      </c>
      <c r="F12" s="2663"/>
      <c r="G12" s="2663"/>
      <c r="H12" s="2663"/>
      <c r="I12" s="127"/>
    </row>
    <row r="13" spans="1:23" ht="15" customHeight="1">
      <c r="A13" s="110"/>
      <c r="B13" s="110"/>
      <c r="C13" s="110"/>
      <c r="D13" s="110"/>
      <c r="E13" s="2672"/>
      <c r="F13" s="2672"/>
      <c r="G13" s="2672"/>
      <c r="H13" s="2672"/>
      <c r="I13" s="1613">
        <v>2025</v>
      </c>
      <c r="J13" s="1614"/>
      <c r="K13" s="1614"/>
      <c r="L13" s="1614"/>
      <c r="M13" s="1618"/>
      <c r="N13" s="1613">
        <v>2026</v>
      </c>
      <c r="O13" s="1614"/>
      <c r="P13" s="1614"/>
      <c r="Q13" s="1614"/>
      <c r="R13" s="1618"/>
      <c r="S13" s="1613">
        <v>2027</v>
      </c>
      <c r="T13" s="1614"/>
      <c r="U13" s="1614"/>
      <c r="V13" s="1614"/>
      <c r="W13" s="1618"/>
    </row>
    <row r="14" spans="1:23" ht="15.75" customHeight="1" thickBot="1">
      <c r="A14" s="2184" t="s">
        <v>5</v>
      </c>
      <c r="B14" s="2671"/>
      <c r="C14" s="128" t="s">
        <v>1</v>
      </c>
      <c r="D14" s="128" t="s">
        <v>260</v>
      </c>
      <c r="E14" s="129" t="s">
        <v>474</v>
      </c>
      <c r="F14" s="2182" t="s">
        <v>6</v>
      </c>
      <c r="G14" s="2656"/>
      <c r="H14" s="2657"/>
      <c r="I14" s="615" t="s">
        <v>474</v>
      </c>
      <c r="J14" s="616" t="s">
        <v>944</v>
      </c>
      <c r="K14" s="617" t="s">
        <v>945</v>
      </c>
      <c r="L14" s="616" t="s">
        <v>946</v>
      </c>
      <c r="M14" s="618" t="s">
        <v>947</v>
      </c>
      <c r="N14" s="615" t="s">
        <v>474</v>
      </c>
      <c r="O14" s="616" t="s">
        <v>944</v>
      </c>
      <c r="P14" s="617" t="s">
        <v>945</v>
      </c>
      <c r="Q14" s="616" t="s">
        <v>946</v>
      </c>
      <c r="R14" s="618" t="s">
        <v>947</v>
      </c>
      <c r="S14" s="615" t="s">
        <v>474</v>
      </c>
      <c r="T14" s="616" t="s">
        <v>944</v>
      </c>
      <c r="U14" s="617" t="s">
        <v>945</v>
      </c>
      <c r="V14" s="616" t="s">
        <v>946</v>
      </c>
      <c r="W14" s="618" t="s">
        <v>947</v>
      </c>
    </row>
    <row r="15" spans="1:23" ht="30" customHeight="1">
      <c r="A15" s="2183" t="s">
        <v>17</v>
      </c>
      <c r="B15" s="2662"/>
      <c r="C15" s="130" t="s">
        <v>59</v>
      </c>
      <c r="D15" s="131" t="s">
        <v>251</v>
      </c>
      <c r="E15" s="132"/>
      <c r="F15" s="1828" t="s">
        <v>475</v>
      </c>
      <c r="G15" s="2662"/>
      <c r="H15" s="2671"/>
      <c r="I15" s="619"/>
      <c r="J15" s="620"/>
      <c r="K15" s="620"/>
      <c r="L15" s="620"/>
      <c r="M15" s="621"/>
      <c r="N15" s="619"/>
      <c r="O15" s="620"/>
      <c r="P15" s="620"/>
      <c r="Q15" s="620"/>
      <c r="R15" s="621"/>
      <c r="S15" s="619"/>
      <c r="T15" s="620"/>
      <c r="U15" s="620"/>
      <c r="V15" s="620"/>
      <c r="W15" s="622"/>
    </row>
    <row r="16" spans="1:23" ht="57.75" customHeight="1">
      <c r="A16" s="2663"/>
      <c r="B16" s="2663"/>
      <c r="C16" s="133" t="s">
        <v>18</v>
      </c>
      <c r="D16" s="134" t="s">
        <v>168</v>
      </c>
      <c r="E16" s="135"/>
      <c r="F16" s="2436"/>
      <c r="G16" s="2436"/>
      <c r="H16" s="2677"/>
      <c r="I16" s="623"/>
      <c r="J16" s="624"/>
      <c r="K16" s="624"/>
      <c r="L16" s="624"/>
      <c r="M16" s="624"/>
      <c r="N16" s="623"/>
      <c r="O16" s="624"/>
      <c r="P16" s="624"/>
      <c r="Q16" s="624"/>
      <c r="R16" s="624"/>
      <c r="S16" s="623"/>
      <c r="T16" s="624"/>
      <c r="U16" s="624"/>
      <c r="V16" s="624"/>
      <c r="W16" s="625"/>
    </row>
    <row r="17" spans="1:23" ht="20.25" customHeight="1" thickBot="1">
      <c r="A17" s="2672"/>
      <c r="B17" s="2672"/>
      <c r="C17" s="136" t="s">
        <v>19</v>
      </c>
      <c r="D17" s="137" t="s">
        <v>233</v>
      </c>
      <c r="E17" s="138"/>
      <c r="F17" s="2672"/>
      <c r="G17" s="2672"/>
      <c r="H17" s="2673"/>
      <c r="I17" s="326"/>
      <c r="J17" s="624"/>
      <c r="K17" s="624"/>
      <c r="L17" s="624"/>
      <c r="M17" s="624"/>
      <c r="N17" s="326"/>
      <c r="O17" s="624"/>
      <c r="P17" s="624"/>
      <c r="Q17" s="624"/>
      <c r="R17" s="624"/>
      <c r="S17" s="326"/>
      <c r="T17" s="624"/>
      <c r="U17" s="624"/>
      <c r="V17" s="624"/>
      <c r="W17" s="625"/>
    </row>
    <row r="18" spans="1:23" ht="29.25" customHeight="1">
      <c r="A18" s="2183" t="s">
        <v>20</v>
      </c>
      <c r="B18" s="2662"/>
      <c r="C18" s="130" t="s">
        <v>54</v>
      </c>
      <c r="D18" s="137" t="s">
        <v>261</v>
      </c>
      <c r="E18" s="138" t="s">
        <v>277</v>
      </c>
      <c r="F18" s="1828" t="s">
        <v>476</v>
      </c>
      <c r="G18" s="2662"/>
      <c r="H18" s="2671"/>
      <c r="I18" s="326"/>
      <c r="J18" s="624"/>
      <c r="K18" s="624"/>
      <c r="L18" s="624"/>
      <c r="M18" s="624"/>
      <c r="N18" s="326"/>
      <c r="O18" s="624"/>
      <c r="P18" s="624"/>
      <c r="Q18" s="624"/>
      <c r="R18" s="624"/>
      <c r="S18" s="326"/>
      <c r="T18" s="624"/>
      <c r="U18" s="624"/>
      <c r="V18" s="624"/>
      <c r="W18" s="625"/>
    </row>
    <row r="19" spans="1:23" ht="29.25" customHeight="1">
      <c r="A19" s="2663"/>
      <c r="B19" s="2663"/>
      <c r="C19" s="139" t="s">
        <v>21</v>
      </c>
      <c r="D19" s="137" t="s">
        <v>234</v>
      </c>
      <c r="E19" s="138"/>
      <c r="F19" s="2436"/>
      <c r="G19" s="2436"/>
      <c r="H19" s="2677"/>
      <c r="I19" s="326"/>
      <c r="J19" s="624"/>
      <c r="K19" s="624"/>
      <c r="L19" s="624"/>
      <c r="M19" s="624"/>
      <c r="N19" s="326"/>
      <c r="O19" s="624"/>
      <c r="P19" s="624"/>
      <c r="Q19" s="624"/>
      <c r="R19" s="624"/>
      <c r="S19" s="326"/>
      <c r="T19" s="624"/>
      <c r="U19" s="624"/>
      <c r="V19" s="624"/>
      <c r="W19" s="625"/>
    </row>
    <row r="20" spans="1:23" ht="29.25" customHeight="1" thickBot="1">
      <c r="A20" s="2663"/>
      <c r="B20" s="2663"/>
      <c r="C20" s="136" t="s">
        <v>22</v>
      </c>
      <c r="D20" s="137" t="s">
        <v>235</v>
      </c>
      <c r="E20" s="138" t="s">
        <v>277</v>
      </c>
      <c r="F20" s="2672"/>
      <c r="G20" s="2672"/>
      <c r="H20" s="2673"/>
      <c r="I20" s="326"/>
      <c r="J20" s="624"/>
      <c r="K20" s="624"/>
      <c r="L20" s="624"/>
      <c r="M20" s="624"/>
      <c r="N20" s="326"/>
      <c r="O20" s="624"/>
      <c r="P20" s="624"/>
      <c r="Q20" s="624"/>
      <c r="R20" s="624"/>
      <c r="S20" s="326"/>
      <c r="T20" s="624"/>
      <c r="U20" s="624"/>
      <c r="V20" s="624"/>
      <c r="W20" s="625"/>
    </row>
    <row r="21" spans="1:23" ht="29.25" customHeight="1">
      <c r="A21" s="2183" t="s">
        <v>23</v>
      </c>
      <c r="B21" s="2662"/>
      <c r="C21" s="140" t="s">
        <v>69</v>
      </c>
      <c r="D21" s="137" t="s">
        <v>267</v>
      </c>
      <c r="E21" s="138"/>
      <c r="F21" s="1828" t="s">
        <v>477</v>
      </c>
      <c r="G21" s="2662"/>
      <c r="H21" s="2671"/>
      <c r="I21" s="326"/>
      <c r="J21" s="624"/>
      <c r="K21" s="624"/>
      <c r="L21" s="624"/>
      <c r="M21" s="624"/>
      <c r="N21" s="326"/>
      <c r="O21" s="624"/>
      <c r="P21" s="624"/>
      <c r="Q21" s="624"/>
      <c r="R21" s="624"/>
      <c r="S21" s="326"/>
      <c r="T21" s="624"/>
      <c r="U21" s="624"/>
      <c r="V21" s="624"/>
      <c r="W21" s="625"/>
    </row>
    <row r="22" spans="1:23" ht="15" customHeight="1" thickBot="1">
      <c r="A22" s="2672"/>
      <c r="B22" s="2672"/>
      <c r="C22" s="141" t="s">
        <v>24</v>
      </c>
      <c r="D22" s="142" t="s">
        <v>236</v>
      </c>
      <c r="E22" s="138"/>
      <c r="F22" s="2672"/>
      <c r="G22" s="2672"/>
      <c r="H22" s="2673"/>
      <c r="I22" s="326"/>
      <c r="J22" s="624"/>
      <c r="K22" s="624"/>
      <c r="L22" s="624"/>
      <c r="M22" s="624"/>
      <c r="N22" s="326"/>
      <c r="O22" s="624"/>
      <c r="P22" s="624"/>
      <c r="Q22" s="624"/>
      <c r="R22" s="624"/>
      <c r="S22" s="326"/>
      <c r="T22" s="624"/>
      <c r="U22" s="624"/>
      <c r="V22" s="624"/>
      <c r="W22" s="625"/>
    </row>
    <row r="23" spans="1:23" ht="15" customHeight="1">
      <c r="A23" s="2136" t="s">
        <v>478</v>
      </c>
      <c r="B23" s="2671"/>
      <c r="C23" s="143" t="s">
        <v>360</v>
      </c>
      <c r="D23" s="142" t="s">
        <v>265</v>
      </c>
      <c r="E23" s="138"/>
      <c r="F23" s="1828" t="s">
        <v>477</v>
      </c>
      <c r="G23" s="2662"/>
      <c r="H23" s="2671"/>
      <c r="I23" s="326"/>
      <c r="J23" s="624"/>
      <c r="K23" s="624"/>
      <c r="L23" s="624"/>
      <c r="M23" s="624"/>
      <c r="N23" s="326"/>
      <c r="O23" s="624"/>
      <c r="P23" s="624"/>
      <c r="Q23" s="624"/>
      <c r="R23" s="624"/>
      <c r="S23" s="326"/>
      <c r="T23" s="624"/>
      <c r="U23" s="624"/>
      <c r="V23" s="624"/>
      <c r="W23" s="625"/>
    </row>
    <row r="24" spans="1:23" ht="15" customHeight="1">
      <c r="A24" s="2676"/>
      <c r="B24" s="2677"/>
      <c r="C24" s="144" t="s">
        <v>361</v>
      </c>
      <c r="D24" s="142" t="s">
        <v>362</v>
      </c>
      <c r="E24" s="138"/>
      <c r="F24" s="2436"/>
      <c r="G24" s="2436"/>
      <c r="H24" s="2677"/>
      <c r="I24" s="326"/>
      <c r="J24" s="624"/>
      <c r="K24" s="624"/>
      <c r="L24" s="624"/>
      <c r="M24" s="624"/>
      <c r="N24" s="326"/>
      <c r="O24" s="624"/>
      <c r="P24" s="624"/>
      <c r="Q24" s="624"/>
      <c r="R24" s="624"/>
      <c r="S24" s="326"/>
      <c r="T24" s="624"/>
      <c r="U24" s="624"/>
      <c r="V24" s="624"/>
      <c r="W24" s="625"/>
    </row>
    <row r="25" spans="1:23" ht="30" customHeight="1" thickBot="1">
      <c r="A25" s="2676"/>
      <c r="B25" s="2677"/>
      <c r="C25" s="145" t="s">
        <v>479</v>
      </c>
      <c r="D25" s="142" t="s">
        <v>480</v>
      </c>
      <c r="E25" s="138"/>
      <c r="F25" s="2672"/>
      <c r="G25" s="2672"/>
      <c r="H25" s="2673"/>
      <c r="I25" s="326"/>
      <c r="J25" s="624"/>
      <c r="K25" s="624"/>
      <c r="L25" s="624"/>
      <c r="M25" s="624"/>
      <c r="N25" s="326"/>
      <c r="O25" s="624"/>
      <c r="P25" s="624"/>
      <c r="Q25" s="624"/>
      <c r="R25" s="624"/>
      <c r="S25" s="326"/>
      <c r="T25" s="624"/>
      <c r="U25" s="624"/>
      <c r="V25" s="624"/>
      <c r="W25" s="625"/>
    </row>
    <row r="26" spans="1:23" ht="30" customHeight="1" thickBot="1">
      <c r="A26" s="2143" t="s">
        <v>25</v>
      </c>
      <c r="B26" s="2674"/>
      <c r="C26" s="2675"/>
      <c r="D26" s="146" t="s">
        <v>270</v>
      </c>
      <c r="E26" s="138"/>
      <c r="F26" s="1818" t="s">
        <v>481</v>
      </c>
      <c r="G26" s="2656"/>
      <c r="H26" s="2657"/>
      <c r="I26" s="326"/>
      <c r="J26" s="624"/>
      <c r="K26" s="624"/>
      <c r="L26" s="624"/>
      <c r="M26" s="624"/>
      <c r="N26" s="326"/>
      <c r="O26" s="624"/>
      <c r="P26" s="624"/>
      <c r="Q26" s="624"/>
      <c r="R26" s="624"/>
      <c r="S26" s="326"/>
      <c r="T26" s="624"/>
      <c r="U26" s="624"/>
      <c r="V26" s="624"/>
      <c r="W26" s="625"/>
    </row>
    <row r="27" spans="1:23" ht="30" customHeight="1">
      <c r="A27" s="2157" t="s">
        <v>153</v>
      </c>
      <c r="B27" s="2668"/>
      <c r="C27" s="147" t="s">
        <v>152</v>
      </c>
      <c r="D27" s="148" t="s">
        <v>268</v>
      </c>
      <c r="E27" s="138"/>
      <c r="F27" s="1828" t="s">
        <v>475</v>
      </c>
      <c r="G27" s="2662"/>
      <c r="H27" s="2671"/>
      <c r="I27" s="326"/>
      <c r="J27" s="624"/>
      <c r="K27" s="624"/>
      <c r="L27" s="624"/>
      <c r="M27" s="624"/>
      <c r="N27" s="326"/>
      <c r="O27" s="624"/>
      <c r="P27" s="624"/>
      <c r="Q27" s="624"/>
      <c r="R27" s="624"/>
      <c r="S27" s="326"/>
      <c r="T27" s="624"/>
      <c r="U27" s="624"/>
      <c r="V27" s="624"/>
      <c r="W27" s="625"/>
    </row>
    <row r="28" spans="1:23" ht="15.75">
      <c r="A28" s="2676"/>
      <c r="B28" s="2668"/>
      <c r="C28" s="149" t="s">
        <v>154</v>
      </c>
      <c r="D28" s="148" t="s">
        <v>392</v>
      </c>
      <c r="E28" s="138"/>
      <c r="F28" s="2436"/>
      <c r="G28" s="2436"/>
      <c r="H28" s="2677"/>
      <c r="I28" s="326"/>
      <c r="J28" s="624"/>
      <c r="K28" s="624"/>
      <c r="L28" s="624"/>
      <c r="M28" s="624"/>
      <c r="N28" s="326"/>
      <c r="O28" s="624"/>
      <c r="P28" s="624"/>
      <c r="Q28" s="624"/>
      <c r="R28" s="624"/>
      <c r="S28" s="326"/>
      <c r="T28" s="624"/>
      <c r="U28" s="624"/>
      <c r="V28" s="624"/>
      <c r="W28" s="625"/>
    </row>
    <row r="29" spans="1:23" ht="16.5" thickBot="1">
      <c r="A29" s="2665"/>
      <c r="B29" s="2666"/>
      <c r="C29" s="150" t="s">
        <v>400</v>
      </c>
      <c r="D29" s="148" t="s">
        <v>393</v>
      </c>
      <c r="E29" s="138"/>
      <c r="F29" s="2672"/>
      <c r="G29" s="2672"/>
      <c r="H29" s="2673"/>
      <c r="I29" s="326"/>
      <c r="J29" s="624"/>
      <c r="K29" s="624"/>
      <c r="L29" s="624"/>
      <c r="M29" s="624"/>
      <c r="N29" s="326"/>
      <c r="O29" s="624"/>
      <c r="P29" s="624"/>
      <c r="Q29" s="624"/>
      <c r="R29" s="624"/>
      <c r="S29" s="326"/>
      <c r="T29" s="624"/>
      <c r="U29" s="624"/>
      <c r="V29" s="624"/>
      <c r="W29" s="625"/>
    </row>
    <row r="30" spans="1:23" ht="15.75">
      <c r="A30" s="2159" t="s">
        <v>153</v>
      </c>
      <c r="B30" s="2664"/>
      <c r="C30" s="151" t="s">
        <v>155</v>
      </c>
      <c r="D30" s="148" t="s">
        <v>266</v>
      </c>
      <c r="E30" s="138"/>
      <c r="F30" s="1828" t="s">
        <v>475</v>
      </c>
      <c r="G30" s="2662"/>
      <c r="H30" s="2671"/>
      <c r="I30" s="326"/>
      <c r="J30" s="624"/>
      <c r="K30" s="624"/>
      <c r="L30" s="624"/>
      <c r="M30" s="624"/>
      <c r="N30" s="326"/>
      <c r="O30" s="624"/>
      <c r="P30" s="624"/>
      <c r="Q30" s="624"/>
      <c r="R30" s="624"/>
      <c r="S30" s="326"/>
      <c r="T30" s="624"/>
      <c r="U30" s="624"/>
      <c r="V30" s="624"/>
      <c r="W30" s="625"/>
    </row>
    <row r="31" spans="1:23" ht="15.75">
      <c r="A31" s="2676"/>
      <c r="B31" s="2668"/>
      <c r="C31" s="149" t="s">
        <v>156</v>
      </c>
      <c r="D31" s="148" t="s">
        <v>394</v>
      </c>
      <c r="E31" s="138"/>
      <c r="F31" s="2436"/>
      <c r="G31" s="2436"/>
      <c r="H31" s="2677"/>
      <c r="I31" s="326"/>
      <c r="J31" s="624"/>
      <c r="K31" s="624"/>
      <c r="L31" s="624"/>
      <c r="M31" s="624"/>
      <c r="N31" s="326"/>
      <c r="O31" s="624"/>
      <c r="P31" s="624"/>
      <c r="Q31" s="624"/>
      <c r="R31" s="624"/>
      <c r="S31" s="326"/>
      <c r="T31" s="624"/>
      <c r="U31" s="624"/>
      <c r="V31" s="624"/>
      <c r="W31" s="625"/>
    </row>
    <row r="32" spans="1:23" ht="16.5" thickBot="1">
      <c r="A32" s="2665"/>
      <c r="B32" s="2666"/>
      <c r="C32" s="150" t="s">
        <v>399</v>
      </c>
      <c r="D32" s="148" t="s">
        <v>395</v>
      </c>
      <c r="E32" s="138"/>
      <c r="F32" s="2672"/>
      <c r="G32" s="2672"/>
      <c r="H32" s="2673"/>
      <c r="I32" s="326"/>
      <c r="J32" s="624"/>
      <c r="K32" s="624"/>
      <c r="L32" s="624"/>
      <c r="M32" s="624"/>
      <c r="N32" s="326"/>
      <c r="O32" s="624"/>
      <c r="P32" s="624"/>
      <c r="Q32" s="624"/>
      <c r="R32" s="624"/>
      <c r="S32" s="326"/>
      <c r="T32" s="624"/>
      <c r="U32" s="624"/>
      <c r="V32" s="624"/>
      <c r="W32" s="625"/>
    </row>
    <row r="33" spans="1:23" ht="16.5" thickBot="1">
      <c r="A33" s="2159" t="s">
        <v>482</v>
      </c>
      <c r="B33" s="2664"/>
      <c r="C33" s="151" t="s">
        <v>365</v>
      </c>
      <c r="D33" s="148" t="s">
        <v>252</v>
      </c>
      <c r="E33" s="138"/>
      <c r="F33" s="1828" t="s">
        <v>483</v>
      </c>
      <c r="G33" s="2662"/>
      <c r="H33" s="2671"/>
      <c r="I33" s="326"/>
      <c r="J33" s="624"/>
      <c r="K33" s="624"/>
      <c r="L33" s="624"/>
      <c r="M33" s="624"/>
      <c r="N33" s="326"/>
      <c r="O33" s="624"/>
      <c r="P33" s="624"/>
      <c r="Q33" s="624"/>
      <c r="R33" s="624"/>
      <c r="S33" s="326"/>
      <c r="T33" s="624"/>
      <c r="U33" s="624"/>
      <c r="V33" s="624"/>
      <c r="W33" s="625"/>
    </row>
    <row r="34" spans="1:23" ht="16.5" thickBot="1">
      <c r="A34" s="2159" t="s">
        <v>484</v>
      </c>
      <c r="B34" s="2664"/>
      <c r="C34" s="151" t="s">
        <v>485</v>
      </c>
      <c r="D34" s="148" t="s">
        <v>264</v>
      </c>
      <c r="E34" s="138"/>
      <c r="F34" s="2160"/>
      <c r="G34" s="2662"/>
      <c r="H34" s="2671"/>
      <c r="I34" s="326"/>
      <c r="J34" s="624"/>
      <c r="K34" s="624"/>
      <c r="L34" s="624"/>
      <c r="M34" s="624"/>
      <c r="N34" s="326"/>
      <c r="O34" s="624"/>
      <c r="P34" s="624"/>
      <c r="Q34" s="624"/>
      <c r="R34" s="624"/>
      <c r="S34" s="326"/>
      <c r="T34" s="624"/>
      <c r="U34" s="624"/>
      <c r="V34" s="624"/>
      <c r="W34" s="625"/>
    </row>
    <row r="35" spans="1:23" ht="15.75">
      <c r="A35" s="2161" t="s">
        <v>486</v>
      </c>
      <c r="B35" s="2664"/>
      <c r="C35" s="152" t="s">
        <v>43</v>
      </c>
      <c r="D35" s="153" t="s">
        <v>256</v>
      </c>
      <c r="E35" s="138"/>
      <c r="F35" s="1828" t="s">
        <v>487</v>
      </c>
      <c r="G35" s="2662"/>
      <c r="H35" s="2671"/>
      <c r="I35" s="326"/>
      <c r="J35" s="624"/>
      <c r="K35" s="624"/>
      <c r="L35" s="624"/>
      <c r="M35" s="624"/>
      <c r="N35" s="326"/>
      <c r="O35" s="624"/>
      <c r="P35" s="624"/>
      <c r="Q35" s="624"/>
      <c r="R35" s="624"/>
      <c r="S35" s="326"/>
      <c r="T35" s="624"/>
      <c r="U35" s="624"/>
      <c r="V35" s="624"/>
      <c r="W35" s="625"/>
    </row>
    <row r="36" spans="1:23" ht="16.5" thickBot="1">
      <c r="A36" s="2665"/>
      <c r="B36" s="2666"/>
      <c r="C36" s="154" t="s">
        <v>60</v>
      </c>
      <c r="D36" s="153" t="s">
        <v>257</v>
      </c>
      <c r="E36" s="138"/>
      <c r="F36" s="2672"/>
      <c r="G36" s="2672"/>
      <c r="H36" s="2673"/>
      <c r="I36" s="326"/>
      <c r="J36" s="624"/>
      <c r="K36" s="624"/>
      <c r="L36" s="624"/>
      <c r="M36" s="624"/>
      <c r="N36" s="326"/>
      <c r="O36" s="624"/>
      <c r="P36" s="624"/>
      <c r="Q36" s="624"/>
      <c r="R36" s="624"/>
      <c r="S36" s="326"/>
      <c r="T36" s="624"/>
      <c r="U36" s="624"/>
      <c r="V36" s="624"/>
      <c r="W36" s="625"/>
    </row>
    <row r="37" spans="1:23" ht="30">
      <c r="A37" s="2165" t="s">
        <v>33</v>
      </c>
      <c r="B37" s="2662"/>
      <c r="C37" s="155" t="s">
        <v>30</v>
      </c>
      <c r="D37" s="156" t="s">
        <v>170</v>
      </c>
      <c r="E37" s="138" t="s">
        <v>277</v>
      </c>
      <c r="F37" s="2381" t="s">
        <v>488</v>
      </c>
      <c r="G37" s="2381"/>
      <c r="H37" s="2381"/>
      <c r="I37" s="326"/>
      <c r="J37" s="624"/>
      <c r="K37" s="624"/>
      <c r="L37" s="624"/>
      <c r="M37" s="624"/>
      <c r="N37" s="326"/>
      <c r="O37" s="624"/>
      <c r="P37" s="624"/>
      <c r="Q37" s="624"/>
      <c r="R37" s="624"/>
      <c r="S37" s="326"/>
      <c r="T37" s="624"/>
      <c r="U37" s="624"/>
      <c r="V37" s="624"/>
      <c r="W37" s="625"/>
    </row>
    <row r="38" spans="1:23" ht="30">
      <c r="A38" s="2676"/>
      <c r="B38" s="2663"/>
      <c r="C38" s="157" t="s">
        <v>31</v>
      </c>
      <c r="D38" s="156" t="s">
        <v>169</v>
      </c>
      <c r="E38" s="138" t="s">
        <v>277</v>
      </c>
      <c r="F38" s="2381" t="s">
        <v>489</v>
      </c>
      <c r="G38" s="2381"/>
      <c r="H38" s="2381"/>
      <c r="I38" s="326"/>
      <c r="J38" s="624"/>
      <c r="K38" s="624"/>
      <c r="L38" s="624"/>
      <c r="M38" s="624"/>
      <c r="N38" s="326"/>
      <c r="O38" s="624"/>
      <c r="P38" s="624"/>
      <c r="Q38" s="624"/>
      <c r="R38" s="624"/>
      <c r="S38" s="326"/>
      <c r="T38" s="624"/>
      <c r="U38" s="624"/>
      <c r="V38" s="624"/>
      <c r="W38" s="625"/>
    </row>
    <row r="39" spans="1:23" ht="30.75" thickBot="1">
      <c r="A39" s="2676"/>
      <c r="B39" s="2663"/>
      <c r="C39" s="158" t="s">
        <v>32</v>
      </c>
      <c r="D39" s="156" t="s">
        <v>250</v>
      </c>
      <c r="E39" s="138" t="s">
        <v>277</v>
      </c>
      <c r="F39" s="2381" t="s">
        <v>490</v>
      </c>
      <c r="G39" s="2381"/>
      <c r="H39" s="2381"/>
      <c r="I39" s="326"/>
      <c r="J39" s="624"/>
      <c r="K39" s="624"/>
      <c r="L39" s="624"/>
      <c r="M39" s="624"/>
      <c r="N39" s="326"/>
      <c r="O39" s="624"/>
      <c r="P39" s="624"/>
      <c r="Q39" s="624"/>
      <c r="R39" s="624"/>
      <c r="S39" s="326"/>
      <c r="T39" s="624"/>
      <c r="U39" s="624"/>
      <c r="V39" s="624"/>
      <c r="W39" s="625"/>
    </row>
    <row r="40" spans="1:23" ht="15.75">
      <c r="A40" s="2169" t="s">
        <v>491</v>
      </c>
      <c r="B40" s="2667"/>
      <c r="C40" s="159" t="s">
        <v>144</v>
      </c>
      <c r="D40" s="160" t="s">
        <v>253</v>
      </c>
      <c r="E40" s="138"/>
      <c r="F40" s="1828" t="s">
        <v>492</v>
      </c>
      <c r="G40" s="2662"/>
      <c r="H40" s="2671"/>
      <c r="I40" s="326"/>
      <c r="J40" s="624"/>
      <c r="K40" s="624"/>
      <c r="L40" s="624"/>
      <c r="M40" s="624"/>
      <c r="N40" s="326"/>
      <c r="O40" s="624"/>
      <c r="P40" s="624"/>
      <c r="Q40" s="624"/>
      <c r="R40" s="624"/>
      <c r="S40" s="326"/>
      <c r="T40" s="624"/>
      <c r="U40" s="624"/>
      <c r="V40" s="624"/>
      <c r="W40" s="625"/>
    </row>
    <row r="41" spans="1:23" ht="16.5" thickBot="1">
      <c r="A41" s="2663"/>
      <c r="B41" s="2668"/>
      <c r="C41" s="161" t="s">
        <v>145</v>
      </c>
      <c r="D41" s="160" t="s">
        <v>254</v>
      </c>
      <c r="E41" s="138"/>
      <c r="F41" s="2672"/>
      <c r="G41" s="2672"/>
      <c r="H41" s="2673"/>
      <c r="I41" s="326"/>
      <c r="J41" s="624"/>
      <c r="K41" s="624"/>
      <c r="L41" s="624"/>
      <c r="M41" s="624"/>
      <c r="N41" s="326"/>
      <c r="O41" s="624"/>
      <c r="P41" s="624"/>
      <c r="Q41" s="624"/>
      <c r="R41" s="624"/>
      <c r="S41" s="326"/>
      <c r="T41" s="624"/>
      <c r="U41" s="624"/>
      <c r="V41" s="624"/>
      <c r="W41" s="625"/>
    </row>
    <row r="42" spans="1:23" ht="32.25" thickBot="1">
      <c r="A42" s="2669"/>
      <c r="B42" s="2670"/>
      <c r="C42" s="162" t="s">
        <v>128</v>
      </c>
      <c r="D42" s="160" t="s">
        <v>262</v>
      </c>
      <c r="E42" s="138" t="s">
        <v>277</v>
      </c>
      <c r="F42" s="2173"/>
      <c r="G42" s="2656"/>
      <c r="H42" s="2657"/>
      <c r="I42" s="326"/>
      <c r="J42" s="624"/>
      <c r="K42" s="624"/>
      <c r="L42" s="624"/>
      <c r="M42" s="624"/>
      <c r="N42" s="326"/>
      <c r="O42" s="624"/>
      <c r="P42" s="624"/>
      <c r="Q42" s="624"/>
      <c r="R42" s="624"/>
      <c r="S42" s="326"/>
      <c r="T42" s="624"/>
      <c r="U42" s="624"/>
      <c r="V42" s="624"/>
      <c r="W42" s="625"/>
    </row>
    <row r="43" spans="1:23" ht="64.5" customHeight="1" thickBot="1">
      <c r="A43" s="2146" t="s">
        <v>493</v>
      </c>
      <c r="B43" s="2674"/>
      <c r="C43" s="2675"/>
      <c r="D43" s="163" t="s">
        <v>237</v>
      </c>
      <c r="E43" s="138" t="s">
        <v>277</v>
      </c>
      <c r="F43" s="1818" t="s">
        <v>494</v>
      </c>
      <c r="G43" s="2656"/>
      <c r="H43" s="2657"/>
      <c r="I43" s="326"/>
      <c r="J43" s="624"/>
      <c r="K43" s="624"/>
      <c r="L43" s="624"/>
      <c r="M43" s="624"/>
      <c r="N43" s="326"/>
      <c r="O43" s="624"/>
      <c r="P43" s="624"/>
      <c r="Q43" s="624"/>
      <c r="R43" s="624"/>
      <c r="S43" s="326"/>
      <c r="T43" s="624"/>
      <c r="U43" s="624"/>
      <c r="V43" s="624"/>
      <c r="W43" s="625"/>
    </row>
    <row r="44" spans="1:23" ht="15.75" thickBot="1">
      <c r="A44" s="2146" t="s">
        <v>133</v>
      </c>
      <c r="B44" s="2674"/>
      <c r="C44" s="2675"/>
      <c r="D44" s="163" t="s">
        <v>238</v>
      </c>
      <c r="E44" s="138"/>
      <c r="F44" s="1818" t="s">
        <v>495</v>
      </c>
      <c r="G44" s="2656"/>
      <c r="H44" s="2657"/>
      <c r="I44" s="326"/>
      <c r="J44" s="624"/>
      <c r="K44" s="624"/>
      <c r="L44" s="624"/>
      <c r="M44" s="624"/>
      <c r="N44" s="326"/>
      <c r="O44" s="624"/>
      <c r="P44" s="624"/>
      <c r="Q44" s="624"/>
      <c r="R44" s="624"/>
      <c r="S44" s="326"/>
      <c r="T44" s="624"/>
      <c r="U44" s="624"/>
      <c r="V44" s="624"/>
      <c r="W44" s="625"/>
    </row>
    <row r="45" spans="1:23" ht="42" customHeight="1">
      <c r="A45" s="2147" t="s">
        <v>41</v>
      </c>
      <c r="B45" s="2663"/>
      <c r="C45" s="164" t="s">
        <v>50</v>
      </c>
      <c r="D45" s="165" t="s">
        <v>246</v>
      </c>
      <c r="E45" s="138" t="s">
        <v>277</v>
      </c>
      <c r="F45" s="1785" t="s">
        <v>502</v>
      </c>
      <c r="G45" s="2656"/>
      <c r="H45" s="2657"/>
      <c r="I45" s="326"/>
      <c r="J45" s="624"/>
      <c r="K45" s="624"/>
      <c r="L45" s="624"/>
      <c r="M45" s="624"/>
      <c r="N45" s="326"/>
      <c r="O45" s="624"/>
      <c r="P45" s="624"/>
      <c r="Q45" s="624"/>
      <c r="R45" s="624"/>
      <c r="S45" s="326"/>
      <c r="T45" s="624"/>
      <c r="U45" s="624"/>
      <c r="V45" s="624"/>
      <c r="W45" s="625"/>
    </row>
    <row r="46" spans="1:23" ht="54.75" customHeight="1">
      <c r="A46" s="2676"/>
      <c r="B46" s="2663"/>
      <c r="C46" s="166" t="s">
        <v>51</v>
      </c>
      <c r="D46" s="165" t="s">
        <v>247</v>
      </c>
      <c r="E46" s="138" t="s">
        <v>277</v>
      </c>
      <c r="F46" s="1785" t="s">
        <v>496</v>
      </c>
      <c r="G46" s="2656"/>
      <c r="H46" s="2657"/>
      <c r="I46" s="326"/>
      <c r="J46" s="624"/>
      <c r="K46" s="624"/>
      <c r="L46" s="624"/>
      <c r="M46" s="624"/>
      <c r="N46" s="326"/>
      <c r="O46" s="624"/>
      <c r="P46" s="624"/>
      <c r="Q46" s="624"/>
      <c r="R46" s="624"/>
      <c r="S46" s="326"/>
      <c r="T46" s="624"/>
      <c r="U46" s="624"/>
      <c r="V46" s="624"/>
      <c r="W46" s="625"/>
    </row>
    <row r="47" spans="1:23" ht="54" customHeight="1">
      <c r="A47" s="2676"/>
      <c r="B47" s="2663"/>
      <c r="C47" s="166" t="s">
        <v>39</v>
      </c>
      <c r="D47" s="165" t="s">
        <v>248</v>
      </c>
      <c r="E47" s="138" t="s">
        <v>277</v>
      </c>
      <c r="F47" s="1785" t="s">
        <v>497</v>
      </c>
      <c r="G47" s="2656"/>
      <c r="H47" s="2657"/>
      <c r="I47" s="326"/>
      <c r="J47" s="624"/>
      <c r="K47" s="624"/>
      <c r="L47" s="624"/>
      <c r="M47" s="624"/>
      <c r="N47" s="326"/>
      <c r="O47" s="624"/>
      <c r="P47" s="624"/>
      <c r="Q47" s="624"/>
      <c r="R47" s="624"/>
      <c r="S47" s="326"/>
      <c r="T47" s="624"/>
      <c r="U47" s="624"/>
      <c r="V47" s="624"/>
      <c r="W47" s="625"/>
    </row>
    <row r="48" spans="1:23" ht="40.5" customHeight="1" thickBot="1">
      <c r="A48" s="2665"/>
      <c r="B48" s="2672"/>
      <c r="C48" s="167" t="s">
        <v>40</v>
      </c>
      <c r="D48" s="165" t="s">
        <v>249</v>
      </c>
      <c r="E48" s="138"/>
      <c r="F48" s="1785" t="s">
        <v>498</v>
      </c>
      <c r="G48" s="2656"/>
      <c r="H48" s="2657"/>
      <c r="I48" s="326"/>
      <c r="J48" s="624"/>
      <c r="K48" s="624"/>
      <c r="L48" s="624"/>
      <c r="M48" s="624"/>
      <c r="N48" s="326"/>
      <c r="O48" s="624"/>
      <c r="P48" s="624"/>
      <c r="Q48" s="624"/>
      <c r="R48" s="624"/>
      <c r="S48" s="326"/>
      <c r="T48" s="624"/>
      <c r="U48" s="624"/>
      <c r="V48" s="624"/>
      <c r="W48" s="625"/>
    </row>
    <row r="49" spans="1:23" ht="15.75">
      <c r="A49" s="2150" t="s">
        <v>130</v>
      </c>
      <c r="B49" s="2664"/>
      <c r="C49" s="159" t="s">
        <v>131</v>
      </c>
      <c r="D49" s="160" t="s">
        <v>255</v>
      </c>
      <c r="E49" s="138"/>
      <c r="F49" s="2153"/>
      <c r="G49" s="2656"/>
      <c r="H49" s="2657"/>
      <c r="I49" s="326"/>
      <c r="J49" s="624"/>
      <c r="K49" s="624"/>
      <c r="L49" s="624"/>
      <c r="M49" s="624"/>
      <c r="N49" s="326"/>
      <c r="O49" s="624"/>
      <c r="P49" s="624"/>
      <c r="Q49" s="624"/>
      <c r="R49" s="624"/>
      <c r="S49" s="326"/>
      <c r="T49" s="624"/>
      <c r="U49" s="624"/>
      <c r="V49" s="624"/>
      <c r="W49" s="625"/>
    </row>
    <row r="50" spans="1:23" ht="32.25" thickBot="1">
      <c r="A50" s="2665"/>
      <c r="B50" s="2666"/>
      <c r="C50" s="168" t="s">
        <v>132</v>
      </c>
      <c r="D50" s="160" t="s">
        <v>263</v>
      </c>
      <c r="E50" s="138"/>
      <c r="F50" s="2153"/>
      <c r="G50" s="2656"/>
      <c r="H50" s="2657"/>
      <c r="I50" s="326"/>
      <c r="J50" s="624"/>
      <c r="K50" s="624"/>
      <c r="L50" s="624"/>
      <c r="M50" s="624"/>
      <c r="N50" s="326"/>
      <c r="O50" s="624"/>
      <c r="P50" s="624"/>
      <c r="Q50" s="624"/>
      <c r="R50" s="624"/>
      <c r="S50" s="326"/>
      <c r="T50" s="624"/>
      <c r="U50" s="624"/>
      <c r="V50" s="624"/>
      <c r="W50" s="625"/>
    </row>
    <row r="51" spans="1:23">
      <c r="A51" s="2154" t="s">
        <v>42</v>
      </c>
      <c r="B51" s="2662"/>
      <c r="C51" s="169" t="s">
        <v>38</v>
      </c>
      <c r="D51" s="170" t="s">
        <v>239</v>
      </c>
      <c r="E51" s="138"/>
      <c r="F51" s="1818" t="s">
        <v>499</v>
      </c>
      <c r="G51" s="2656"/>
      <c r="H51" s="2657"/>
      <c r="I51" s="326"/>
      <c r="J51" s="624"/>
      <c r="K51" s="624"/>
      <c r="L51" s="624"/>
      <c r="M51" s="624"/>
      <c r="N51" s="326"/>
      <c r="O51" s="624"/>
      <c r="P51" s="624"/>
      <c r="Q51" s="624"/>
      <c r="R51" s="624"/>
      <c r="S51" s="326"/>
      <c r="T51" s="624"/>
      <c r="U51" s="624"/>
      <c r="V51" s="624"/>
      <c r="W51" s="625"/>
    </row>
    <row r="52" spans="1:23">
      <c r="A52" s="2663"/>
      <c r="B52" s="2663"/>
      <c r="C52" s="171" t="s">
        <v>55</v>
      </c>
      <c r="D52" s="170" t="s">
        <v>240</v>
      </c>
      <c r="E52" s="138"/>
      <c r="F52" s="2155"/>
      <c r="G52" s="2656"/>
      <c r="H52" s="2657"/>
      <c r="I52" s="326"/>
      <c r="J52" s="624"/>
      <c r="K52" s="624"/>
      <c r="L52" s="624"/>
      <c r="M52" s="624"/>
      <c r="N52" s="326"/>
      <c r="O52" s="624"/>
      <c r="P52" s="624"/>
      <c r="Q52" s="624"/>
      <c r="R52" s="624"/>
      <c r="S52" s="326"/>
      <c r="T52" s="624"/>
      <c r="U52" s="624"/>
      <c r="V52" s="624"/>
      <c r="W52" s="625"/>
    </row>
    <row r="53" spans="1:23" ht="16.5" thickBot="1">
      <c r="A53" s="2663"/>
      <c r="B53" s="2663"/>
      <c r="C53" s="161" t="s">
        <v>48</v>
      </c>
      <c r="D53" s="172" t="s">
        <v>241</v>
      </c>
      <c r="E53" s="138"/>
      <c r="F53" s="2156"/>
      <c r="G53" s="2656"/>
      <c r="H53" s="2657"/>
      <c r="I53" s="326"/>
      <c r="J53" s="624"/>
      <c r="K53" s="624"/>
      <c r="L53" s="624"/>
      <c r="M53" s="624"/>
      <c r="N53" s="326"/>
      <c r="O53" s="624"/>
      <c r="P53" s="624"/>
      <c r="Q53" s="624"/>
      <c r="R53" s="624"/>
      <c r="S53" s="326"/>
      <c r="T53" s="624"/>
      <c r="U53" s="624"/>
      <c r="V53" s="624"/>
      <c r="W53" s="625"/>
    </row>
    <row r="54" spans="1:23" ht="16.5" thickBot="1">
      <c r="A54" s="2135" t="s">
        <v>500</v>
      </c>
      <c r="B54" s="2656"/>
      <c r="C54" s="173" t="s">
        <v>134</v>
      </c>
      <c r="D54" s="174" t="s">
        <v>269</v>
      </c>
      <c r="E54" s="175"/>
      <c r="F54" s="1818" t="s">
        <v>501</v>
      </c>
      <c r="G54" s="2656"/>
      <c r="H54" s="2657"/>
      <c r="I54" s="626"/>
      <c r="J54" s="627"/>
      <c r="K54" s="627"/>
      <c r="L54" s="627"/>
      <c r="M54" s="627"/>
      <c r="N54" s="626"/>
      <c r="O54" s="627"/>
      <c r="P54" s="627"/>
      <c r="Q54" s="627"/>
      <c r="R54" s="627"/>
      <c r="S54" s="626"/>
      <c r="T54" s="627"/>
      <c r="U54" s="627"/>
      <c r="V54" s="627"/>
      <c r="W54" s="628"/>
    </row>
    <row r="57" spans="1:23" ht="60">
      <c r="A57" s="630" t="s">
        <v>948</v>
      </c>
      <c r="B57" s="630" t="s">
        <v>949</v>
      </c>
      <c r="C57" s="630" t="s">
        <v>950</v>
      </c>
      <c r="D57" s="630" t="s">
        <v>951</v>
      </c>
      <c r="E57" s="630" t="s">
        <v>952</v>
      </c>
    </row>
    <row r="58" spans="1:23">
      <c r="A58" s="631" t="s">
        <v>953</v>
      </c>
      <c r="B58" s="632" t="s">
        <v>954</v>
      </c>
      <c r="C58" s="632">
        <v>6</v>
      </c>
      <c r="D58" s="632">
        <v>5</v>
      </c>
      <c r="E58" s="633" t="s">
        <v>955</v>
      </c>
    </row>
    <row r="59" spans="1:23">
      <c r="A59" s="631" t="s">
        <v>956</v>
      </c>
      <c r="B59" s="632" t="s">
        <v>954</v>
      </c>
      <c r="C59" s="632">
        <v>10</v>
      </c>
      <c r="D59" s="632">
        <v>8</v>
      </c>
      <c r="E59" s="633" t="s">
        <v>955</v>
      </c>
    </row>
    <row r="60" spans="1:23">
      <c r="A60" s="631" t="s">
        <v>957</v>
      </c>
      <c r="B60" s="632" t="s">
        <v>954</v>
      </c>
      <c r="C60" s="632"/>
      <c r="D60" s="632"/>
      <c r="E60" s="633" t="s">
        <v>958</v>
      </c>
    </row>
    <row r="61" spans="1:23">
      <c r="A61" s="631" t="s">
        <v>959</v>
      </c>
      <c r="B61" s="632" t="s">
        <v>954</v>
      </c>
      <c r="C61" s="632">
        <v>180</v>
      </c>
      <c r="D61" s="632">
        <v>20</v>
      </c>
      <c r="E61" s="633" t="s">
        <v>960</v>
      </c>
    </row>
    <row r="62" spans="1:23">
      <c r="A62" s="631" t="s">
        <v>961</v>
      </c>
      <c r="B62" s="632" t="s">
        <v>954</v>
      </c>
      <c r="C62" s="632">
        <v>50</v>
      </c>
      <c r="D62" s="632">
        <v>50</v>
      </c>
      <c r="E62" s="633" t="s">
        <v>962</v>
      </c>
    </row>
    <row r="63" spans="1:23">
      <c r="A63" s="631" t="s">
        <v>963</v>
      </c>
      <c r="B63" s="632" t="s">
        <v>954</v>
      </c>
      <c r="C63" s="632">
        <v>25</v>
      </c>
      <c r="D63" s="632">
        <v>25</v>
      </c>
      <c r="E63" s="633" t="s">
        <v>964</v>
      </c>
    </row>
    <row r="64" spans="1:23">
      <c r="A64" s="631" t="s">
        <v>965</v>
      </c>
      <c r="B64" s="632" t="s">
        <v>954</v>
      </c>
      <c r="C64" s="632">
        <v>10</v>
      </c>
      <c r="D64" s="632">
        <v>2</v>
      </c>
      <c r="E64" s="633" t="s">
        <v>966</v>
      </c>
    </row>
    <row r="65" spans="1:11">
      <c r="A65" s="631" t="s">
        <v>967</v>
      </c>
      <c r="B65" s="632" t="s">
        <v>954</v>
      </c>
      <c r="C65" s="632"/>
      <c r="D65" s="632"/>
      <c r="E65" s="633" t="s">
        <v>968</v>
      </c>
    </row>
    <row r="66" spans="1:11">
      <c r="A66" s="631" t="s">
        <v>969</v>
      </c>
      <c r="B66" s="632" t="s">
        <v>954</v>
      </c>
      <c r="C66" s="632">
        <v>4</v>
      </c>
      <c r="D66" s="632">
        <v>3</v>
      </c>
      <c r="E66" s="633" t="s">
        <v>970</v>
      </c>
    </row>
    <row r="67" spans="1:11">
      <c r="A67" s="631" t="s">
        <v>971</v>
      </c>
      <c r="B67" s="632" t="s">
        <v>954</v>
      </c>
      <c r="C67" s="632">
        <v>25</v>
      </c>
      <c r="D67" s="632">
        <v>15</v>
      </c>
      <c r="E67" s="633" t="s">
        <v>972</v>
      </c>
    </row>
    <row r="68" spans="1:11">
      <c r="A68" s="631" t="s">
        <v>973</v>
      </c>
      <c r="B68" s="632" t="s">
        <v>954</v>
      </c>
      <c r="C68" s="632">
        <v>6</v>
      </c>
      <c r="D68" s="632">
        <v>9</v>
      </c>
      <c r="E68" s="633" t="s">
        <v>974</v>
      </c>
    </row>
    <row r="69" spans="1:11">
      <c r="A69" s="634"/>
      <c r="B69" s="624"/>
      <c r="C69" s="624"/>
      <c r="D69" s="624"/>
      <c r="E69" s="635"/>
    </row>
    <row r="70" spans="1:11">
      <c r="A70" s="634"/>
      <c r="B70" s="624"/>
      <c r="C70" s="624"/>
      <c r="D70" s="624"/>
      <c r="E70" s="635"/>
    </row>
    <row r="73" spans="1:11">
      <c r="C73" s="2654" t="s">
        <v>1171</v>
      </c>
      <c r="D73" s="2436"/>
      <c r="E73" s="2436"/>
      <c r="F73" s="2436"/>
      <c r="G73" s="2436"/>
      <c r="H73" s="2436"/>
      <c r="I73" s="2436"/>
      <c r="J73" s="2436"/>
      <c r="K73" s="2436"/>
    </row>
    <row r="74" spans="1:11">
      <c r="C74" s="2655" t="s">
        <v>1172</v>
      </c>
      <c r="D74" s="2656"/>
      <c r="E74" s="2656"/>
      <c r="F74" s="2656"/>
      <c r="G74" s="2656"/>
      <c r="H74" s="2656"/>
      <c r="I74" s="2656"/>
      <c r="J74" s="2656"/>
      <c r="K74" s="2657"/>
    </row>
    <row r="75" spans="1:11" ht="254.25" customHeight="1">
      <c r="C75" s="2658" t="s">
        <v>1173</v>
      </c>
      <c r="D75" s="2656"/>
      <c r="E75" s="2656"/>
      <c r="F75" s="2656"/>
      <c r="G75" s="2656"/>
      <c r="H75" s="2656"/>
      <c r="I75" s="2656"/>
      <c r="J75" s="2656"/>
      <c r="K75" s="2657"/>
    </row>
    <row r="78" spans="1:11">
      <c r="A78" s="2266" t="s">
        <v>1270</v>
      </c>
      <c r="B78" s="2656"/>
      <c r="C78" s="2656"/>
      <c r="D78" s="2656"/>
      <c r="E78" s="2656"/>
      <c r="F78" s="2656"/>
    </row>
    <row r="79" spans="1:11" ht="75">
      <c r="A79" s="1253" t="s">
        <v>1271</v>
      </c>
      <c r="B79" s="1253" t="s">
        <v>1272</v>
      </c>
      <c r="C79" s="1253" t="s">
        <v>1273</v>
      </c>
      <c r="D79" s="1253" t="s">
        <v>1274</v>
      </c>
      <c r="E79" s="1253" t="s">
        <v>1275</v>
      </c>
      <c r="F79" s="1253" t="s">
        <v>1276</v>
      </c>
    </row>
    <row r="80" spans="1:11" ht="60">
      <c r="A80" s="1616" t="s">
        <v>1277</v>
      </c>
      <c r="B80" s="1616" t="s">
        <v>1278</v>
      </c>
      <c r="C80" s="1617" t="s">
        <v>1279</v>
      </c>
      <c r="D80" s="1617" t="s">
        <v>954</v>
      </c>
      <c r="E80" s="1254" t="s">
        <v>1280</v>
      </c>
      <c r="F80" s="1254">
        <v>1</v>
      </c>
    </row>
    <row r="81" spans="1:6">
      <c r="A81" s="2659" t="s">
        <v>1281</v>
      </c>
      <c r="B81" s="2660" t="s">
        <v>1282</v>
      </c>
      <c r="C81" s="2661" t="s">
        <v>1283</v>
      </c>
      <c r="D81" s="2661" t="s">
        <v>954</v>
      </c>
      <c r="E81" s="1617" t="s">
        <v>1284</v>
      </c>
      <c r="F81" s="1617">
        <v>4</v>
      </c>
    </row>
    <row r="82" spans="1:6">
      <c r="A82" s="2659"/>
      <c r="B82" s="2660"/>
      <c r="C82" s="2661"/>
      <c r="D82" s="2661"/>
      <c r="E82" s="1617" t="s">
        <v>1285</v>
      </c>
      <c r="F82" s="1617">
        <v>10</v>
      </c>
    </row>
    <row r="83" spans="1:6" ht="60">
      <c r="A83" s="1615" t="s">
        <v>1286</v>
      </c>
      <c r="B83" s="1616" t="s">
        <v>1287</v>
      </c>
      <c r="C83" s="1617" t="s">
        <v>1283</v>
      </c>
      <c r="D83" s="1617" t="s">
        <v>954</v>
      </c>
      <c r="E83" s="1617" t="s">
        <v>237</v>
      </c>
      <c r="F83" s="1617">
        <v>4</v>
      </c>
    </row>
    <row r="84" spans="1:6" ht="60">
      <c r="A84" s="1615" t="s">
        <v>1288</v>
      </c>
      <c r="B84" s="1616" t="s">
        <v>1287</v>
      </c>
      <c r="C84" s="1617" t="s">
        <v>1289</v>
      </c>
      <c r="D84" s="1617" t="s">
        <v>954</v>
      </c>
      <c r="E84" s="1617" t="s">
        <v>237</v>
      </c>
      <c r="F84" s="1617">
        <v>10</v>
      </c>
    </row>
    <row r="85" spans="1:6" ht="60">
      <c r="A85" s="1256" t="s">
        <v>1290</v>
      </c>
      <c r="B85" s="1616" t="s">
        <v>1291</v>
      </c>
      <c r="C85" s="1617" t="s">
        <v>1292</v>
      </c>
      <c r="D85" s="1617" t="s">
        <v>954</v>
      </c>
      <c r="E85" s="1617" t="s">
        <v>1280</v>
      </c>
      <c r="F85" s="1617">
        <v>5</v>
      </c>
    </row>
    <row r="86" spans="1:6" ht="90">
      <c r="A86" s="19" t="s">
        <v>1293</v>
      </c>
      <c r="B86" s="1257" t="s">
        <v>1294</v>
      </c>
      <c r="C86" s="1258">
        <v>1</v>
      </c>
      <c r="D86" s="635" t="s">
        <v>1084</v>
      </c>
      <c r="E86" s="635" t="s">
        <v>1295</v>
      </c>
      <c r="F86" s="1258">
        <v>10</v>
      </c>
    </row>
    <row r="87" spans="1:6" ht="45">
      <c r="A87" s="19" t="s">
        <v>1296</v>
      </c>
      <c r="B87" s="1257" t="s">
        <v>1294</v>
      </c>
      <c r="C87" s="1258">
        <v>1</v>
      </c>
      <c r="D87" s="635" t="s">
        <v>1297</v>
      </c>
      <c r="E87" s="635" t="s">
        <v>1295</v>
      </c>
      <c r="F87" s="1258">
        <v>10</v>
      </c>
    </row>
    <row r="88" spans="1:6" ht="75">
      <c r="A88" s="19" t="s">
        <v>1298</v>
      </c>
      <c r="B88" s="1257" t="s">
        <v>1294</v>
      </c>
      <c r="C88" s="1258">
        <v>1</v>
      </c>
      <c r="D88" s="635" t="s">
        <v>1297</v>
      </c>
      <c r="E88" s="635" t="s">
        <v>1299</v>
      </c>
      <c r="F88" s="1258">
        <v>10</v>
      </c>
    </row>
    <row r="89" spans="1:6" ht="75">
      <c r="A89" s="19" t="s">
        <v>1300</v>
      </c>
      <c r="B89" s="1257" t="s">
        <v>1294</v>
      </c>
      <c r="C89" s="1258">
        <v>1</v>
      </c>
      <c r="D89" s="635" t="s">
        <v>1297</v>
      </c>
      <c r="E89" s="635" t="s">
        <v>1301</v>
      </c>
      <c r="F89" s="1258">
        <v>10</v>
      </c>
    </row>
    <row r="90" spans="1:6" ht="60">
      <c r="A90" s="19" t="s">
        <v>1302</v>
      </c>
      <c r="B90" s="1257" t="s">
        <v>1294</v>
      </c>
      <c r="C90" s="1258">
        <v>1</v>
      </c>
      <c r="D90" s="635" t="s">
        <v>1297</v>
      </c>
      <c r="E90" s="635" t="s">
        <v>1301</v>
      </c>
      <c r="F90" s="1258">
        <v>10</v>
      </c>
    </row>
    <row r="91" spans="1:6">
      <c r="A91" s="1258" t="s">
        <v>1303</v>
      </c>
      <c r="B91" s="1258"/>
      <c r="C91" s="1258">
        <v>0.5</v>
      </c>
      <c r="D91" s="1258"/>
      <c r="E91" s="1258"/>
      <c r="F91" s="1258"/>
    </row>
    <row r="92" spans="1:6">
      <c r="A92" s="1258" t="s">
        <v>1304</v>
      </c>
      <c r="B92" s="1258"/>
      <c r="C92" s="1258">
        <v>0.5</v>
      </c>
      <c r="D92" s="1258"/>
      <c r="E92" s="1258"/>
      <c r="F92" s="1258"/>
    </row>
  </sheetData>
  <mergeCells count="63">
    <mergeCell ref="A18:B20"/>
    <mergeCell ref="F18:H20"/>
    <mergeCell ref="B2:D2"/>
    <mergeCell ref="B3:D3"/>
    <mergeCell ref="B4:D4"/>
    <mergeCell ref="B6:D6"/>
    <mergeCell ref="B8:D8"/>
    <mergeCell ref="A10:B10"/>
    <mergeCell ref="C10:H10"/>
    <mergeCell ref="E12:H13"/>
    <mergeCell ref="A14:B14"/>
    <mergeCell ref="F14:H14"/>
    <mergeCell ref="A15:B17"/>
    <mergeCell ref="F15:H17"/>
    <mergeCell ref="A21:B22"/>
    <mergeCell ref="F21:H22"/>
    <mergeCell ref="A23:B25"/>
    <mergeCell ref="F23:H25"/>
    <mergeCell ref="A26:C26"/>
    <mergeCell ref="F26:H26"/>
    <mergeCell ref="A27:B29"/>
    <mergeCell ref="F27:H29"/>
    <mergeCell ref="A30:B32"/>
    <mergeCell ref="F30:H32"/>
    <mergeCell ref="A33:B33"/>
    <mergeCell ref="F33:H33"/>
    <mergeCell ref="A34:B34"/>
    <mergeCell ref="F34:H34"/>
    <mergeCell ref="A35:B36"/>
    <mergeCell ref="F35:H36"/>
    <mergeCell ref="A37:B39"/>
    <mergeCell ref="F37:H37"/>
    <mergeCell ref="F38:H38"/>
    <mergeCell ref="F39:H39"/>
    <mergeCell ref="A49:B50"/>
    <mergeCell ref="F49:H49"/>
    <mergeCell ref="F50:H50"/>
    <mergeCell ref="A40:B42"/>
    <mergeCell ref="F40:H41"/>
    <mergeCell ref="F42:H42"/>
    <mergeCell ref="A43:C43"/>
    <mergeCell ref="F43:H43"/>
    <mergeCell ref="A44:C44"/>
    <mergeCell ref="F44:H44"/>
    <mergeCell ref="A45:B48"/>
    <mergeCell ref="F45:H45"/>
    <mergeCell ref="F46:H46"/>
    <mergeCell ref="F47:H47"/>
    <mergeCell ref="F48:H48"/>
    <mergeCell ref="A51:B53"/>
    <mergeCell ref="F51:H51"/>
    <mergeCell ref="F52:H52"/>
    <mergeCell ref="F53:H53"/>
    <mergeCell ref="A54:B54"/>
    <mergeCell ref="F54:H54"/>
    <mergeCell ref="C73:K73"/>
    <mergeCell ref="C74:K74"/>
    <mergeCell ref="C75:K75"/>
    <mergeCell ref="A78:F78"/>
    <mergeCell ref="A81:A82"/>
    <mergeCell ref="B81:B82"/>
    <mergeCell ref="C81:C82"/>
    <mergeCell ref="D81:D82"/>
  </mergeCells>
  <conditionalFormatting sqref="A79:F79">
    <cfRule type="notContainsBlanks" dxfId="1" priority="1">
      <formula>LEN(TRIM(A79))&gt;0</formula>
    </cfRule>
  </conditionalFormatting>
  <dataValidations count="3">
    <dataValidation type="list" allowBlank="1" showErrorMessage="1" sqref="H3">
      <formula1>$N$4:$N$5</formula1>
    </dataValidation>
    <dataValidation type="list" allowBlank="1" showErrorMessage="1" sqref="H2">
      <formula1>$N$2:$N$3</formula1>
    </dataValidation>
    <dataValidation type="list" allowBlank="1" showErrorMessage="1" sqref="H8">
      <formula1>"Enjeu EAU AESN,Enjeu EAU AEAP,Enjeu ZH et prairies AEAP,Enjeu Erosion AEAP,Enjeu Biodiversité MASA"</formula1>
    </dataValidation>
  </dataValidations>
  <hyperlinks>
    <hyperlink ref="J5" location="SYNTHESE!A1" display="Retour synthèse"/>
    <hyperlink ref="J2" location="SOMMAIRE!A1" display="Retour sommaire"/>
    <hyperlink ref="J4" location="SYNTHESE!A1" display="Retour synthèse"/>
  </hyperlinks>
  <pageMargins left="0.25" right="0.25" top="0.75" bottom="0.75" header="0.3" footer="0.3"/>
  <pageSetup paperSize="9" scale="78" orientation="landscape"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W92"/>
  <sheetViews>
    <sheetView zoomScale="80" zoomScaleNormal="80" workbookViewId="0">
      <selection activeCell="B6" sqref="B6:D6"/>
    </sheetView>
  </sheetViews>
  <sheetFormatPr baseColWidth="10" defaultRowHeight="15"/>
  <cols>
    <col min="1" max="1" width="20.42578125" style="1" bestFit="1" customWidth="1"/>
    <col min="2" max="2" width="15.7109375" style="1" customWidth="1"/>
    <col min="3" max="3" width="68.5703125" style="1" customWidth="1"/>
    <col min="4" max="4" width="9" style="1" customWidth="1"/>
    <col min="5" max="5" width="7.5703125" style="1" customWidth="1"/>
    <col min="6" max="6" width="16.28515625" style="1" bestFit="1" customWidth="1"/>
    <col min="7" max="7" width="20.140625" style="1" customWidth="1"/>
    <col min="8" max="8" width="28.5703125" customWidth="1"/>
    <col min="10" max="10" width="16.42578125" bestFit="1" customWidth="1"/>
  </cols>
  <sheetData>
    <row r="1" spans="1:23" ht="15.75" thickBot="1">
      <c r="A1"/>
      <c r="B1"/>
      <c r="C1"/>
      <c r="D1"/>
      <c r="E1"/>
      <c r="F1"/>
      <c r="G1"/>
    </row>
    <row r="2" spans="1:23" ht="15.75" customHeight="1" thickBot="1">
      <c r="A2" s="109" t="s">
        <v>0</v>
      </c>
      <c r="B2" s="1810" t="s">
        <v>461</v>
      </c>
      <c r="C2" s="2538"/>
      <c r="D2" s="2539"/>
      <c r="E2" s="110"/>
      <c r="F2" s="110"/>
      <c r="G2" s="111" t="s">
        <v>462</v>
      </c>
      <c r="H2" s="112" t="s">
        <v>53</v>
      </c>
      <c r="J2" s="11" t="s">
        <v>73</v>
      </c>
    </row>
    <row r="3" spans="1:23" ht="15.75" thickBot="1">
      <c r="A3" s="113" t="s">
        <v>344</v>
      </c>
      <c r="B3" s="1822" t="s">
        <v>463</v>
      </c>
      <c r="C3" s="2538"/>
      <c r="D3" s="2539"/>
      <c r="E3" s="110"/>
      <c r="F3" s="110"/>
      <c r="G3" s="114" t="s">
        <v>10</v>
      </c>
      <c r="H3" s="112" t="s">
        <v>16</v>
      </c>
      <c r="J3" s="1251"/>
    </row>
    <row r="4" spans="1:23" ht="15.75" customHeight="1" thickBot="1">
      <c r="A4" s="114" t="s">
        <v>3</v>
      </c>
      <c r="B4" s="1810" t="s">
        <v>464</v>
      </c>
      <c r="C4" s="2538"/>
      <c r="D4" s="2539"/>
      <c r="E4" s="115"/>
      <c r="F4" s="110"/>
      <c r="G4" s="116" t="s">
        <v>26</v>
      </c>
      <c r="H4" s="117">
        <v>10</v>
      </c>
      <c r="J4" s="13" t="s">
        <v>381</v>
      </c>
    </row>
    <row r="5" spans="1:23" ht="15.75" customHeight="1" thickBot="1">
      <c r="A5" s="110"/>
      <c r="B5" s="110"/>
      <c r="C5" s="110"/>
      <c r="D5" s="110"/>
      <c r="E5" s="110"/>
      <c r="F5" s="110"/>
      <c r="G5" s="110"/>
      <c r="H5" s="110"/>
    </row>
    <row r="6" spans="1:23" ht="120.75" thickBot="1">
      <c r="A6" s="118" t="s">
        <v>465</v>
      </c>
      <c r="B6" s="1810" t="s">
        <v>1606</v>
      </c>
      <c r="C6" s="2103"/>
      <c r="D6" s="2104"/>
      <c r="E6" s="110"/>
      <c r="F6" s="110"/>
      <c r="G6" s="118" t="s">
        <v>466</v>
      </c>
      <c r="H6" s="119" t="s">
        <v>1654</v>
      </c>
    </row>
    <row r="7" spans="1:23" ht="15.75" thickBot="1">
      <c r="A7"/>
      <c r="B7" s="110"/>
      <c r="C7" s="110"/>
      <c r="D7" s="110"/>
      <c r="E7" s="110"/>
      <c r="F7" s="110"/>
      <c r="G7" s="120"/>
      <c r="H7" s="110"/>
    </row>
    <row r="8" spans="1:23" ht="87.75" customHeight="1" thickBot="1">
      <c r="A8" s="121" t="s">
        <v>7</v>
      </c>
      <c r="B8" s="1823" t="s">
        <v>467</v>
      </c>
      <c r="C8" s="2674"/>
      <c r="D8" s="2675"/>
      <c r="E8" s="115" t="s">
        <v>468</v>
      </c>
      <c r="F8" s="122"/>
      <c r="G8" s="121" t="s">
        <v>469</v>
      </c>
      <c r="H8" s="123" t="s">
        <v>470</v>
      </c>
    </row>
    <row r="9" spans="1:23">
      <c r="A9"/>
      <c r="B9" s="110"/>
      <c r="C9" s="110"/>
      <c r="D9" s="110"/>
      <c r="E9" s="110"/>
      <c r="F9" s="110"/>
      <c r="G9" s="120"/>
      <c r="H9" s="110"/>
    </row>
    <row r="10" spans="1:23" ht="110.25" customHeight="1">
      <c r="A10" s="2174" t="s">
        <v>471</v>
      </c>
      <c r="B10" s="2663"/>
      <c r="C10" s="2075" t="s">
        <v>472</v>
      </c>
      <c r="D10" s="2075"/>
      <c r="E10" s="2075"/>
      <c r="F10" s="2075"/>
      <c r="G10" s="2075"/>
      <c r="H10" s="2075"/>
    </row>
    <row r="11" spans="1:23">
      <c r="A11" s="126"/>
      <c r="B11" s="115"/>
      <c r="C11" s="115"/>
      <c r="D11" s="115"/>
      <c r="E11" s="115"/>
      <c r="F11" s="122"/>
      <c r="G11" s="125"/>
      <c r="H11" s="125"/>
    </row>
    <row r="12" spans="1:23" ht="15" customHeight="1">
      <c r="A12" s="126"/>
      <c r="B12" s="115"/>
      <c r="C12" s="115"/>
      <c r="D12" s="115"/>
      <c r="E12" s="2181" t="s">
        <v>473</v>
      </c>
      <c r="F12" s="2663"/>
      <c r="G12" s="2663"/>
      <c r="H12" s="2663"/>
      <c r="I12" s="127"/>
    </row>
    <row r="13" spans="1:23" ht="15" customHeight="1">
      <c r="A13" s="110"/>
      <c r="B13" s="110"/>
      <c r="C13" s="110"/>
      <c r="D13" s="110"/>
      <c r="E13" s="2672"/>
      <c r="F13" s="2672"/>
      <c r="G13" s="2672"/>
      <c r="H13" s="2672"/>
      <c r="I13" s="629">
        <v>2025</v>
      </c>
      <c r="J13" s="573"/>
      <c r="K13" s="573"/>
      <c r="L13" s="573"/>
      <c r="M13" s="574"/>
      <c r="N13" s="629">
        <v>2026</v>
      </c>
      <c r="O13" s="573"/>
      <c r="P13" s="573"/>
      <c r="Q13" s="573"/>
      <c r="R13" s="574"/>
      <c r="S13" s="629">
        <v>2027</v>
      </c>
      <c r="T13" s="573"/>
      <c r="U13" s="573"/>
      <c r="V13" s="573"/>
      <c r="W13" s="574"/>
    </row>
    <row r="14" spans="1:23" ht="15.75" customHeight="1" thickBot="1">
      <c r="A14" s="2184" t="s">
        <v>5</v>
      </c>
      <c r="B14" s="2671"/>
      <c r="C14" s="128" t="s">
        <v>1</v>
      </c>
      <c r="D14" s="128" t="s">
        <v>260</v>
      </c>
      <c r="E14" s="129" t="s">
        <v>474</v>
      </c>
      <c r="F14" s="2182" t="s">
        <v>6</v>
      </c>
      <c r="G14" s="2656"/>
      <c r="H14" s="2657"/>
      <c r="I14" s="615" t="s">
        <v>474</v>
      </c>
      <c r="J14" s="616" t="s">
        <v>944</v>
      </c>
      <c r="K14" s="617" t="s">
        <v>945</v>
      </c>
      <c r="L14" s="616" t="s">
        <v>946</v>
      </c>
      <c r="M14" s="618" t="s">
        <v>947</v>
      </c>
      <c r="N14" s="615" t="s">
        <v>474</v>
      </c>
      <c r="O14" s="616" t="s">
        <v>944</v>
      </c>
      <c r="P14" s="617" t="s">
        <v>945</v>
      </c>
      <c r="Q14" s="616" t="s">
        <v>946</v>
      </c>
      <c r="R14" s="618" t="s">
        <v>947</v>
      </c>
      <c r="S14" s="615" t="s">
        <v>474</v>
      </c>
      <c r="T14" s="616" t="s">
        <v>944</v>
      </c>
      <c r="U14" s="617" t="s">
        <v>945</v>
      </c>
      <c r="V14" s="616" t="s">
        <v>946</v>
      </c>
      <c r="W14" s="618" t="s">
        <v>947</v>
      </c>
    </row>
    <row r="15" spans="1:23" ht="30" customHeight="1">
      <c r="A15" s="2183" t="s">
        <v>17</v>
      </c>
      <c r="B15" s="2662"/>
      <c r="C15" s="130" t="s">
        <v>59</v>
      </c>
      <c r="D15" s="131" t="s">
        <v>251</v>
      </c>
      <c r="E15" s="132"/>
      <c r="F15" s="1828" t="s">
        <v>475</v>
      </c>
      <c r="G15" s="2662"/>
      <c r="H15" s="2671"/>
      <c r="I15" s="619"/>
      <c r="J15" s="620"/>
      <c r="K15" s="620"/>
      <c r="L15" s="620"/>
      <c r="M15" s="621"/>
      <c r="N15" s="619"/>
      <c r="O15" s="620"/>
      <c r="P15" s="620"/>
      <c r="Q15" s="620"/>
      <c r="R15" s="621"/>
      <c r="S15" s="619"/>
      <c r="T15" s="620"/>
      <c r="U15" s="620"/>
      <c r="V15" s="620"/>
      <c r="W15" s="622"/>
    </row>
    <row r="16" spans="1:23" ht="57.75" customHeight="1">
      <c r="A16" s="2663"/>
      <c r="B16" s="2663"/>
      <c r="C16" s="133" t="s">
        <v>18</v>
      </c>
      <c r="D16" s="134" t="s">
        <v>168</v>
      </c>
      <c r="E16" s="135"/>
      <c r="F16" s="2436"/>
      <c r="G16" s="2436"/>
      <c r="H16" s="2677"/>
      <c r="I16" s="623"/>
      <c r="J16" s="624"/>
      <c r="K16" s="624"/>
      <c r="L16" s="624"/>
      <c r="M16" s="624"/>
      <c r="N16" s="623"/>
      <c r="O16" s="624"/>
      <c r="P16" s="624"/>
      <c r="Q16" s="624"/>
      <c r="R16" s="624"/>
      <c r="S16" s="623"/>
      <c r="T16" s="624"/>
      <c r="U16" s="624"/>
      <c r="V16" s="624"/>
      <c r="W16" s="625"/>
    </row>
    <row r="17" spans="1:23" ht="20.25" customHeight="1" thickBot="1">
      <c r="A17" s="2672"/>
      <c r="B17" s="2672"/>
      <c r="C17" s="136" t="s">
        <v>19</v>
      </c>
      <c r="D17" s="137" t="s">
        <v>233</v>
      </c>
      <c r="E17" s="138"/>
      <c r="F17" s="2672"/>
      <c r="G17" s="2672"/>
      <c r="H17" s="2673"/>
      <c r="I17" s="326"/>
      <c r="J17" s="624"/>
      <c r="K17" s="624"/>
      <c r="L17" s="624"/>
      <c r="M17" s="624"/>
      <c r="N17" s="326"/>
      <c r="O17" s="624"/>
      <c r="P17" s="624"/>
      <c r="Q17" s="624"/>
      <c r="R17" s="624"/>
      <c r="S17" s="326"/>
      <c r="T17" s="624"/>
      <c r="U17" s="624"/>
      <c r="V17" s="624"/>
      <c r="W17" s="625"/>
    </row>
    <row r="18" spans="1:23" ht="29.25" customHeight="1">
      <c r="A18" s="2183" t="s">
        <v>20</v>
      </c>
      <c r="B18" s="2662"/>
      <c r="C18" s="130" t="s">
        <v>54</v>
      </c>
      <c r="D18" s="137" t="s">
        <v>261</v>
      </c>
      <c r="E18" s="138" t="s">
        <v>277</v>
      </c>
      <c r="F18" s="1828" t="s">
        <v>476</v>
      </c>
      <c r="G18" s="2662"/>
      <c r="H18" s="2671"/>
      <c r="I18" s="326" t="s">
        <v>277</v>
      </c>
      <c r="J18" s="624">
        <v>2</v>
      </c>
      <c r="K18" s="624"/>
      <c r="L18" s="624">
        <v>160</v>
      </c>
      <c r="M18" s="624">
        <f>160*137*5</f>
        <v>109600</v>
      </c>
      <c r="N18" s="326" t="s">
        <v>277</v>
      </c>
      <c r="O18" s="624">
        <v>3</v>
      </c>
      <c r="P18" s="624"/>
      <c r="Q18" s="624">
        <v>240</v>
      </c>
      <c r="R18" s="624">
        <f>240*5*137</f>
        <v>164400</v>
      </c>
      <c r="S18" s="326" t="s">
        <v>277</v>
      </c>
      <c r="T18" s="624">
        <v>2</v>
      </c>
      <c r="U18" s="624"/>
      <c r="V18" s="624">
        <v>160</v>
      </c>
      <c r="W18" s="625">
        <f>160*5*137</f>
        <v>109600</v>
      </c>
    </row>
    <row r="19" spans="1:23" ht="29.25" customHeight="1">
      <c r="A19" s="2663"/>
      <c r="B19" s="2663"/>
      <c r="C19" s="139" t="s">
        <v>21</v>
      </c>
      <c r="D19" s="137" t="s">
        <v>234</v>
      </c>
      <c r="E19" s="138"/>
      <c r="F19" s="2436"/>
      <c r="G19" s="2436"/>
      <c r="H19" s="2677"/>
      <c r="I19" s="326"/>
      <c r="J19" s="624"/>
      <c r="K19" s="624"/>
      <c r="L19" s="624"/>
      <c r="M19" s="624"/>
      <c r="N19" s="326"/>
      <c r="O19" s="624"/>
      <c r="P19" s="624"/>
      <c r="Q19" s="624"/>
      <c r="R19" s="624"/>
      <c r="S19" s="326"/>
      <c r="T19" s="624"/>
      <c r="U19" s="624"/>
      <c r="V19" s="624"/>
      <c r="W19" s="625"/>
    </row>
    <row r="20" spans="1:23" ht="29.25" customHeight="1" thickBot="1">
      <c r="A20" s="2663"/>
      <c r="B20" s="2663"/>
      <c r="C20" s="136" t="s">
        <v>22</v>
      </c>
      <c r="D20" s="137" t="s">
        <v>235</v>
      </c>
      <c r="E20" s="138" t="s">
        <v>277</v>
      </c>
      <c r="F20" s="2672"/>
      <c r="G20" s="2672"/>
      <c r="H20" s="2673"/>
      <c r="I20" s="326" t="s">
        <v>277</v>
      </c>
      <c r="J20" s="624">
        <v>15</v>
      </c>
      <c r="K20" s="624">
        <v>15</v>
      </c>
      <c r="L20" s="624">
        <v>1400</v>
      </c>
      <c r="M20" s="624">
        <f>L20*5*306</f>
        <v>2142000</v>
      </c>
      <c r="N20" s="326" t="s">
        <v>277</v>
      </c>
      <c r="O20" s="624">
        <v>6</v>
      </c>
      <c r="P20" s="624">
        <v>6</v>
      </c>
      <c r="Q20" s="624">
        <v>650</v>
      </c>
      <c r="R20" s="624">
        <f>Q20*5*306</f>
        <v>994500</v>
      </c>
      <c r="S20" s="326"/>
      <c r="T20" s="624"/>
      <c r="U20" s="624"/>
      <c r="V20" s="624"/>
      <c r="W20" s="625"/>
    </row>
    <row r="21" spans="1:23" ht="29.25" customHeight="1">
      <c r="A21" s="2183" t="s">
        <v>23</v>
      </c>
      <c r="B21" s="2662"/>
      <c r="C21" s="140" t="s">
        <v>69</v>
      </c>
      <c r="D21" s="137" t="s">
        <v>267</v>
      </c>
      <c r="E21" s="138"/>
      <c r="F21" s="1828" t="s">
        <v>477</v>
      </c>
      <c r="G21" s="2662"/>
      <c r="H21" s="2671"/>
      <c r="I21" s="326"/>
      <c r="J21" s="624"/>
      <c r="K21" s="624"/>
      <c r="L21" s="624"/>
      <c r="M21" s="624"/>
      <c r="N21" s="326"/>
      <c r="O21" s="624"/>
      <c r="P21" s="624"/>
      <c r="Q21" s="624"/>
      <c r="R21" s="624"/>
      <c r="S21" s="326"/>
      <c r="T21" s="624"/>
      <c r="U21" s="624"/>
      <c r="V21" s="624"/>
      <c r="W21" s="625"/>
    </row>
    <row r="22" spans="1:23" ht="15" customHeight="1" thickBot="1">
      <c r="A22" s="2672"/>
      <c r="B22" s="2672"/>
      <c r="C22" s="141" t="s">
        <v>24</v>
      </c>
      <c r="D22" s="142" t="s">
        <v>236</v>
      </c>
      <c r="E22" s="138"/>
      <c r="F22" s="2672"/>
      <c r="G22" s="2672"/>
      <c r="H22" s="2673"/>
      <c r="I22" s="326"/>
      <c r="J22" s="624"/>
      <c r="K22" s="624"/>
      <c r="L22" s="624"/>
      <c r="M22" s="624"/>
      <c r="N22" s="326"/>
      <c r="O22" s="624"/>
      <c r="P22" s="624"/>
      <c r="Q22" s="624"/>
      <c r="R22" s="624"/>
      <c r="S22" s="326"/>
      <c r="T22" s="624"/>
      <c r="U22" s="624"/>
      <c r="V22" s="624"/>
      <c r="W22" s="625"/>
    </row>
    <row r="23" spans="1:23" ht="15" customHeight="1">
      <c r="A23" s="2136" t="s">
        <v>478</v>
      </c>
      <c r="B23" s="2671"/>
      <c r="C23" s="143" t="s">
        <v>360</v>
      </c>
      <c r="D23" s="142" t="s">
        <v>265</v>
      </c>
      <c r="E23" s="138"/>
      <c r="F23" s="1828" t="s">
        <v>477</v>
      </c>
      <c r="G23" s="2662"/>
      <c r="H23" s="2671"/>
      <c r="I23" s="326"/>
      <c r="J23" s="624"/>
      <c r="K23" s="624"/>
      <c r="L23" s="624"/>
      <c r="M23" s="624"/>
      <c r="N23" s="326"/>
      <c r="O23" s="624"/>
      <c r="P23" s="624"/>
      <c r="Q23" s="624"/>
      <c r="R23" s="624"/>
      <c r="S23" s="326"/>
      <c r="T23" s="624"/>
      <c r="U23" s="624"/>
      <c r="V23" s="624"/>
      <c r="W23" s="625"/>
    </row>
    <row r="24" spans="1:23" ht="15" customHeight="1">
      <c r="A24" s="2676"/>
      <c r="B24" s="2677"/>
      <c r="C24" s="144" t="s">
        <v>361</v>
      </c>
      <c r="D24" s="142" t="s">
        <v>362</v>
      </c>
      <c r="E24" s="138"/>
      <c r="F24" s="2436"/>
      <c r="G24" s="2436"/>
      <c r="H24" s="2677"/>
      <c r="I24" s="326"/>
      <c r="J24" s="624"/>
      <c r="K24" s="624"/>
      <c r="L24" s="624"/>
      <c r="M24" s="624"/>
      <c r="N24" s="326"/>
      <c r="O24" s="624"/>
      <c r="P24" s="624"/>
      <c r="Q24" s="624"/>
      <c r="R24" s="624"/>
      <c r="S24" s="326"/>
      <c r="T24" s="624"/>
      <c r="U24" s="624"/>
      <c r="V24" s="624"/>
      <c r="W24" s="625"/>
    </row>
    <row r="25" spans="1:23" ht="30" customHeight="1" thickBot="1">
      <c r="A25" s="2676"/>
      <c r="B25" s="2677"/>
      <c r="C25" s="145" t="s">
        <v>479</v>
      </c>
      <c r="D25" s="142" t="s">
        <v>480</v>
      </c>
      <c r="E25" s="138"/>
      <c r="F25" s="2672"/>
      <c r="G25" s="2672"/>
      <c r="H25" s="2673"/>
      <c r="I25" s="326"/>
      <c r="J25" s="624"/>
      <c r="K25" s="624"/>
      <c r="L25" s="624"/>
      <c r="M25" s="624"/>
      <c r="N25" s="326"/>
      <c r="O25" s="624"/>
      <c r="P25" s="624"/>
      <c r="Q25" s="624"/>
      <c r="R25" s="624"/>
      <c r="S25" s="326"/>
      <c r="T25" s="624"/>
      <c r="U25" s="624"/>
      <c r="V25" s="624"/>
      <c r="W25" s="625"/>
    </row>
    <row r="26" spans="1:23" ht="30" customHeight="1" thickBot="1">
      <c r="A26" s="2143" t="s">
        <v>25</v>
      </c>
      <c r="B26" s="2674"/>
      <c r="C26" s="2675"/>
      <c r="D26" s="146" t="s">
        <v>270</v>
      </c>
      <c r="E26" s="138"/>
      <c r="F26" s="1818" t="s">
        <v>481</v>
      </c>
      <c r="G26" s="2656"/>
      <c r="H26" s="2657"/>
      <c r="I26" s="326"/>
      <c r="J26" s="624"/>
      <c r="K26" s="624"/>
      <c r="L26" s="624"/>
      <c r="M26" s="624"/>
      <c r="N26" s="326"/>
      <c r="O26" s="624"/>
      <c r="P26" s="624"/>
      <c r="Q26" s="624"/>
      <c r="R26" s="624"/>
      <c r="S26" s="326"/>
      <c r="T26" s="624"/>
      <c r="U26" s="624"/>
      <c r="V26" s="624"/>
      <c r="W26" s="625"/>
    </row>
    <row r="27" spans="1:23" ht="30" customHeight="1">
      <c r="A27" s="2157" t="s">
        <v>153</v>
      </c>
      <c r="B27" s="2668"/>
      <c r="C27" s="147" t="s">
        <v>152</v>
      </c>
      <c r="D27" s="148" t="s">
        <v>268</v>
      </c>
      <c r="E27" s="138"/>
      <c r="F27" s="1828" t="s">
        <v>475</v>
      </c>
      <c r="G27" s="2662"/>
      <c r="H27" s="2671"/>
      <c r="I27" s="326"/>
      <c r="J27" s="624"/>
      <c r="K27" s="624"/>
      <c r="L27" s="624"/>
      <c r="M27" s="624"/>
      <c r="N27" s="326"/>
      <c r="O27" s="624"/>
      <c r="P27" s="624"/>
      <c r="Q27" s="624"/>
      <c r="R27" s="624"/>
      <c r="S27" s="326"/>
      <c r="T27" s="624"/>
      <c r="U27" s="624"/>
      <c r="V27" s="624"/>
      <c r="W27" s="625"/>
    </row>
    <row r="28" spans="1:23" ht="15.75">
      <c r="A28" s="2676"/>
      <c r="B28" s="2668"/>
      <c r="C28" s="149" t="s">
        <v>154</v>
      </c>
      <c r="D28" s="148" t="s">
        <v>392</v>
      </c>
      <c r="E28" s="138"/>
      <c r="F28" s="2436"/>
      <c r="G28" s="2436"/>
      <c r="H28" s="2677"/>
      <c r="I28" s="326"/>
      <c r="J28" s="624"/>
      <c r="K28" s="624"/>
      <c r="L28" s="624"/>
      <c r="M28" s="624"/>
      <c r="N28" s="326"/>
      <c r="O28" s="624"/>
      <c r="P28" s="624"/>
      <c r="Q28" s="624"/>
      <c r="R28" s="624"/>
      <c r="S28" s="326"/>
      <c r="T28" s="624"/>
      <c r="U28" s="624"/>
      <c r="V28" s="624"/>
      <c r="W28" s="625"/>
    </row>
    <row r="29" spans="1:23" ht="16.5" thickBot="1">
      <c r="A29" s="2665"/>
      <c r="B29" s="2666"/>
      <c r="C29" s="150" t="s">
        <v>400</v>
      </c>
      <c r="D29" s="148" t="s">
        <v>393</v>
      </c>
      <c r="E29" s="138"/>
      <c r="F29" s="2672"/>
      <c r="G29" s="2672"/>
      <c r="H29" s="2673"/>
      <c r="I29" s="326"/>
      <c r="J29" s="624"/>
      <c r="K29" s="624"/>
      <c r="L29" s="624"/>
      <c r="M29" s="624"/>
      <c r="N29" s="326"/>
      <c r="O29" s="624"/>
      <c r="P29" s="624"/>
      <c r="Q29" s="624"/>
      <c r="R29" s="624"/>
      <c r="S29" s="326"/>
      <c r="T29" s="624"/>
      <c r="U29" s="624"/>
      <c r="V29" s="624"/>
      <c r="W29" s="625"/>
    </row>
    <row r="30" spans="1:23" ht="15.75">
      <c r="A30" s="2159" t="s">
        <v>153</v>
      </c>
      <c r="B30" s="2664"/>
      <c r="C30" s="151" t="s">
        <v>155</v>
      </c>
      <c r="D30" s="148" t="s">
        <v>266</v>
      </c>
      <c r="E30" s="138"/>
      <c r="F30" s="1828" t="s">
        <v>475</v>
      </c>
      <c r="G30" s="2662"/>
      <c r="H30" s="2671"/>
      <c r="I30" s="326"/>
      <c r="J30" s="624"/>
      <c r="K30" s="624"/>
      <c r="L30" s="624"/>
      <c r="M30" s="624"/>
      <c r="N30" s="326"/>
      <c r="O30" s="624"/>
      <c r="P30" s="624"/>
      <c r="Q30" s="624"/>
      <c r="R30" s="624"/>
      <c r="S30" s="326"/>
      <c r="T30" s="624"/>
      <c r="U30" s="624"/>
      <c r="V30" s="624"/>
      <c r="W30" s="625"/>
    </row>
    <row r="31" spans="1:23" ht="15.75">
      <c r="A31" s="2676"/>
      <c r="B31" s="2668"/>
      <c r="C31" s="149" t="s">
        <v>156</v>
      </c>
      <c r="D31" s="148" t="s">
        <v>394</v>
      </c>
      <c r="E31" s="138"/>
      <c r="F31" s="2436"/>
      <c r="G31" s="2436"/>
      <c r="H31" s="2677"/>
      <c r="I31" s="326"/>
      <c r="J31" s="624"/>
      <c r="K31" s="624"/>
      <c r="L31" s="624"/>
      <c r="M31" s="624"/>
      <c r="N31" s="326"/>
      <c r="O31" s="624"/>
      <c r="P31" s="624"/>
      <c r="Q31" s="624"/>
      <c r="R31" s="624"/>
      <c r="S31" s="326"/>
      <c r="T31" s="624"/>
      <c r="U31" s="624"/>
      <c r="V31" s="624"/>
      <c r="W31" s="625"/>
    </row>
    <row r="32" spans="1:23" ht="16.5" thickBot="1">
      <c r="A32" s="2665"/>
      <c r="B32" s="2666"/>
      <c r="C32" s="150" t="s">
        <v>399</v>
      </c>
      <c r="D32" s="148" t="s">
        <v>395</v>
      </c>
      <c r="E32" s="138"/>
      <c r="F32" s="2672"/>
      <c r="G32" s="2672"/>
      <c r="H32" s="2673"/>
      <c r="I32" s="326"/>
      <c r="J32" s="624"/>
      <c r="K32" s="624"/>
      <c r="L32" s="624"/>
      <c r="M32" s="624"/>
      <c r="N32" s="326"/>
      <c r="O32" s="624"/>
      <c r="P32" s="624"/>
      <c r="Q32" s="624"/>
      <c r="R32" s="624"/>
      <c r="S32" s="326"/>
      <c r="T32" s="624"/>
      <c r="U32" s="624"/>
      <c r="V32" s="624"/>
      <c r="W32" s="625"/>
    </row>
    <row r="33" spans="1:23" ht="16.5" thickBot="1">
      <c r="A33" s="2159" t="s">
        <v>482</v>
      </c>
      <c r="B33" s="2664"/>
      <c r="C33" s="151" t="s">
        <v>365</v>
      </c>
      <c r="D33" s="148" t="s">
        <v>252</v>
      </c>
      <c r="E33" s="138"/>
      <c r="F33" s="1828" t="s">
        <v>483</v>
      </c>
      <c r="G33" s="2662"/>
      <c r="H33" s="2671"/>
      <c r="I33" s="326"/>
      <c r="J33" s="624"/>
      <c r="K33" s="624"/>
      <c r="L33" s="624"/>
      <c r="M33" s="624"/>
      <c r="N33" s="326"/>
      <c r="O33" s="624"/>
      <c r="P33" s="624"/>
      <c r="Q33" s="624"/>
      <c r="R33" s="624"/>
      <c r="S33" s="326"/>
      <c r="T33" s="624"/>
      <c r="U33" s="624"/>
      <c r="V33" s="624"/>
      <c r="W33" s="625"/>
    </row>
    <row r="34" spans="1:23" ht="16.5" thickBot="1">
      <c r="A34" s="2159" t="s">
        <v>484</v>
      </c>
      <c r="B34" s="2664"/>
      <c r="C34" s="151" t="s">
        <v>485</v>
      </c>
      <c r="D34" s="148" t="s">
        <v>264</v>
      </c>
      <c r="E34" s="138"/>
      <c r="F34" s="2160"/>
      <c r="G34" s="2662"/>
      <c r="H34" s="2671"/>
      <c r="I34" s="326"/>
      <c r="J34" s="624"/>
      <c r="K34" s="624"/>
      <c r="L34" s="624"/>
      <c r="M34" s="624"/>
      <c r="N34" s="326"/>
      <c r="O34" s="624"/>
      <c r="P34" s="624"/>
      <c r="Q34" s="624"/>
      <c r="R34" s="624"/>
      <c r="S34" s="326"/>
      <c r="T34" s="624"/>
      <c r="U34" s="624"/>
      <c r="V34" s="624"/>
      <c r="W34" s="625"/>
    </row>
    <row r="35" spans="1:23" ht="15.75">
      <c r="A35" s="2161" t="s">
        <v>486</v>
      </c>
      <c r="B35" s="2664"/>
      <c r="C35" s="152" t="s">
        <v>43</v>
      </c>
      <c r="D35" s="153" t="s">
        <v>256</v>
      </c>
      <c r="E35" s="138"/>
      <c r="F35" s="1828" t="s">
        <v>487</v>
      </c>
      <c r="G35" s="2662"/>
      <c r="H35" s="2671"/>
      <c r="I35" s="326"/>
      <c r="J35" s="624"/>
      <c r="K35" s="624"/>
      <c r="L35" s="624"/>
      <c r="M35" s="624"/>
      <c r="N35" s="326"/>
      <c r="O35" s="624"/>
      <c r="P35" s="624"/>
      <c r="Q35" s="624"/>
      <c r="R35" s="624"/>
      <c r="S35" s="326"/>
      <c r="T35" s="624"/>
      <c r="U35" s="624"/>
      <c r="V35" s="624"/>
      <c r="W35" s="625"/>
    </row>
    <row r="36" spans="1:23" ht="16.5" thickBot="1">
      <c r="A36" s="2665"/>
      <c r="B36" s="2666"/>
      <c r="C36" s="154" t="s">
        <v>60</v>
      </c>
      <c r="D36" s="153" t="s">
        <v>257</v>
      </c>
      <c r="E36" s="138"/>
      <c r="F36" s="2672"/>
      <c r="G36" s="2672"/>
      <c r="H36" s="2673"/>
      <c r="I36" s="326"/>
      <c r="J36" s="624"/>
      <c r="K36" s="624"/>
      <c r="L36" s="624"/>
      <c r="M36" s="624"/>
      <c r="N36" s="326"/>
      <c r="O36" s="624"/>
      <c r="P36" s="624"/>
      <c r="Q36" s="624"/>
      <c r="R36" s="624"/>
      <c r="S36" s="326"/>
      <c r="T36" s="624"/>
      <c r="U36" s="624"/>
      <c r="V36" s="624"/>
      <c r="W36" s="625"/>
    </row>
    <row r="37" spans="1:23" ht="30">
      <c r="A37" s="2165" t="s">
        <v>33</v>
      </c>
      <c r="B37" s="2662"/>
      <c r="C37" s="155" t="s">
        <v>30</v>
      </c>
      <c r="D37" s="156" t="s">
        <v>170</v>
      </c>
      <c r="E37" s="138" t="s">
        <v>277</v>
      </c>
      <c r="F37" s="2381" t="s">
        <v>488</v>
      </c>
      <c r="G37" s="2381"/>
      <c r="H37" s="2381"/>
      <c r="I37" s="326" t="s">
        <v>277</v>
      </c>
      <c r="J37" s="624">
        <v>4</v>
      </c>
      <c r="K37" s="624">
        <v>2</v>
      </c>
      <c r="L37" s="624">
        <v>350</v>
      </c>
      <c r="M37" s="624">
        <f>L37*121*5</f>
        <v>211750</v>
      </c>
      <c r="N37" s="326" t="s">
        <v>277</v>
      </c>
      <c r="O37" s="624">
        <v>5</v>
      </c>
      <c r="P37" s="624">
        <v>3</v>
      </c>
      <c r="Q37" s="624">
        <v>420</v>
      </c>
      <c r="R37" s="624">
        <f>Q37*5*121</f>
        <v>254100</v>
      </c>
      <c r="S37" s="326" t="s">
        <v>277</v>
      </c>
      <c r="T37" s="624">
        <v>4</v>
      </c>
      <c r="U37" s="624">
        <v>2</v>
      </c>
      <c r="V37" s="624">
        <v>350</v>
      </c>
      <c r="W37" s="625">
        <f>V37*121*5</f>
        <v>211750</v>
      </c>
    </row>
    <row r="38" spans="1:23" ht="30">
      <c r="A38" s="2676"/>
      <c r="B38" s="2663"/>
      <c r="C38" s="157" t="s">
        <v>31</v>
      </c>
      <c r="D38" s="156" t="s">
        <v>169</v>
      </c>
      <c r="E38" s="138" t="s">
        <v>277</v>
      </c>
      <c r="F38" s="2381" t="s">
        <v>489</v>
      </c>
      <c r="G38" s="2381"/>
      <c r="H38" s="2381"/>
      <c r="I38" s="326" t="s">
        <v>277</v>
      </c>
      <c r="J38" s="624">
        <v>5</v>
      </c>
      <c r="K38" s="624"/>
      <c r="L38" s="624">
        <f>170+280</f>
        <v>450</v>
      </c>
      <c r="M38" s="624">
        <f>L38*177*5</f>
        <v>398250</v>
      </c>
      <c r="N38" s="326" t="s">
        <v>277</v>
      </c>
      <c r="O38" s="624">
        <v>3</v>
      </c>
      <c r="P38" s="624"/>
      <c r="Q38" s="624">
        <v>280</v>
      </c>
      <c r="R38" s="624">
        <f>Q38*177*5</f>
        <v>247800</v>
      </c>
      <c r="S38" s="326" t="s">
        <v>277</v>
      </c>
      <c r="T38" s="624">
        <v>4</v>
      </c>
      <c r="U38" s="624"/>
      <c r="V38" s="624">
        <v>360</v>
      </c>
      <c r="W38" s="625">
        <f>V38*5*177</f>
        <v>318600</v>
      </c>
    </row>
    <row r="39" spans="1:23" ht="30.75" thickBot="1">
      <c r="A39" s="2676"/>
      <c r="B39" s="2663"/>
      <c r="C39" s="158" t="s">
        <v>32</v>
      </c>
      <c r="D39" s="156" t="s">
        <v>250</v>
      </c>
      <c r="E39" s="138" t="s">
        <v>277</v>
      </c>
      <c r="F39" s="2381" t="s">
        <v>490</v>
      </c>
      <c r="G39" s="2381"/>
      <c r="H39" s="2381"/>
      <c r="I39" s="326" t="s">
        <v>277</v>
      </c>
      <c r="J39" s="624">
        <v>5</v>
      </c>
      <c r="K39" s="624">
        <v>2</v>
      </c>
      <c r="L39" s="624">
        <v>380</v>
      </c>
      <c r="M39" s="624">
        <f>L39*5*233</f>
        <v>442700</v>
      </c>
      <c r="N39" s="326" t="s">
        <v>277</v>
      </c>
      <c r="O39" s="624">
        <v>3</v>
      </c>
      <c r="P39" s="624">
        <v>1</v>
      </c>
      <c r="Q39" s="624">
        <v>380</v>
      </c>
      <c r="R39" s="624">
        <f>Q39*233*5</f>
        <v>442700</v>
      </c>
      <c r="S39" s="326" t="s">
        <v>277</v>
      </c>
      <c r="T39" s="624">
        <v>2</v>
      </c>
      <c r="U39" s="624"/>
      <c r="V39" s="624">
        <v>180</v>
      </c>
      <c r="W39" s="625">
        <f>V39*233*5</f>
        <v>209700</v>
      </c>
    </row>
    <row r="40" spans="1:23" ht="15.75">
      <c r="A40" s="2169" t="s">
        <v>491</v>
      </c>
      <c r="B40" s="2667"/>
      <c r="C40" s="159" t="s">
        <v>144</v>
      </c>
      <c r="D40" s="160" t="s">
        <v>253</v>
      </c>
      <c r="E40" s="138"/>
      <c r="F40" s="1828" t="s">
        <v>492</v>
      </c>
      <c r="G40" s="2662"/>
      <c r="H40" s="2671"/>
      <c r="I40" s="326"/>
      <c r="J40" s="624"/>
      <c r="K40" s="624"/>
      <c r="L40" s="624"/>
      <c r="M40" s="624"/>
      <c r="N40" s="326"/>
      <c r="O40" s="624"/>
      <c r="P40" s="624"/>
      <c r="Q40" s="624"/>
      <c r="R40" s="624"/>
      <c r="S40" s="326"/>
      <c r="T40" s="624"/>
      <c r="U40" s="624"/>
      <c r="V40" s="624"/>
      <c r="W40" s="625"/>
    </row>
    <row r="41" spans="1:23" ht="16.5" thickBot="1">
      <c r="A41" s="2663"/>
      <c r="B41" s="2668"/>
      <c r="C41" s="161" t="s">
        <v>145</v>
      </c>
      <c r="D41" s="160" t="s">
        <v>254</v>
      </c>
      <c r="E41" s="138"/>
      <c r="F41" s="2672"/>
      <c r="G41" s="2672"/>
      <c r="H41" s="2673"/>
      <c r="I41" s="326"/>
      <c r="J41" s="624"/>
      <c r="K41" s="624"/>
      <c r="L41" s="624"/>
      <c r="M41" s="624"/>
      <c r="N41" s="326"/>
      <c r="O41" s="624"/>
      <c r="P41" s="624"/>
      <c r="Q41" s="624"/>
      <c r="R41" s="624"/>
      <c r="S41" s="326"/>
      <c r="T41" s="624"/>
      <c r="U41" s="624"/>
      <c r="V41" s="624"/>
      <c r="W41" s="625"/>
    </row>
    <row r="42" spans="1:23" ht="32.25" thickBot="1">
      <c r="A42" s="2669"/>
      <c r="B42" s="2670"/>
      <c r="C42" s="162" t="s">
        <v>128</v>
      </c>
      <c r="D42" s="160" t="s">
        <v>262</v>
      </c>
      <c r="E42" s="138" t="s">
        <v>277</v>
      </c>
      <c r="F42" s="2173"/>
      <c r="G42" s="2656"/>
      <c r="H42" s="2657"/>
      <c r="I42" s="326" t="s">
        <v>277</v>
      </c>
      <c r="J42" s="624">
        <v>7</v>
      </c>
      <c r="K42" s="624">
        <v>1</v>
      </c>
      <c r="L42" s="624">
        <v>100</v>
      </c>
      <c r="M42" s="624">
        <f>L42*72*5</f>
        <v>36000</v>
      </c>
      <c r="N42" s="326" t="s">
        <v>277</v>
      </c>
      <c r="O42" s="624">
        <v>8</v>
      </c>
      <c r="P42" s="624">
        <v>1</v>
      </c>
      <c r="Q42" s="624">
        <v>115</v>
      </c>
      <c r="R42" s="624">
        <f>Q42*72*5</f>
        <v>41400</v>
      </c>
      <c r="S42" s="326" t="s">
        <v>277</v>
      </c>
      <c r="T42" s="624">
        <v>8</v>
      </c>
      <c r="U42" s="624"/>
      <c r="V42" s="624">
        <v>100</v>
      </c>
      <c r="W42" s="625">
        <f>V42*72*5</f>
        <v>36000</v>
      </c>
    </row>
    <row r="43" spans="1:23" ht="64.5" customHeight="1" thickBot="1">
      <c r="A43" s="2146" t="s">
        <v>493</v>
      </c>
      <c r="B43" s="2674"/>
      <c r="C43" s="2675"/>
      <c r="D43" s="163" t="s">
        <v>237</v>
      </c>
      <c r="E43" s="138" t="s">
        <v>277</v>
      </c>
      <c r="F43" s="1818" t="s">
        <v>494</v>
      </c>
      <c r="G43" s="2656"/>
      <c r="H43" s="2657"/>
      <c r="I43" s="326" t="s">
        <v>277</v>
      </c>
      <c r="J43" s="624">
        <f>K3325+30+15</f>
        <v>45</v>
      </c>
      <c r="K43" s="624">
        <v>10</v>
      </c>
      <c r="L43" s="624">
        <f>60+45+50</f>
        <v>155</v>
      </c>
      <c r="M43" s="624">
        <f>L43*652*5</f>
        <v>505300</v>
      </c>
      <c r="N43" s="326" t="s">
        <v>277</v>
      </c>
      <c r="O43" s="624">
        <v>35</v>
      </c>
      <c r="P43" s="624">
        <v>5</v>
      </c>
      <c r="Q43" s="624">
        <f>40+15+50</f>
        <v>105</v>
      </c>
      <c r="R43" s="624">
        <f>Q43*652*5</f>
        <v>342300</v>
      </c>
      <c r="S43" s="326" t="s">
        <v>277</v>
      </c>
      <c r="T43" s="624">
        <v>35</v>
      </c>
      <c r="U43" s="624">
        <v>5</v>
      </c>
      <c r="V43" s="624">
        <f>40+15+50</f>
        <v>105</v>
      </c>
      <c r="W43" s="625">
        <f>V43*652*5</f>
        <v>342300</v>
      </c>
    </row>
    <row r="44" spans="1:23" ht="15.75" thickBot="1">
      <c r="A44" s="2146" t="s">
        <v>133</v>
      </c>
      <c r="B44" s="2674"/>
      <c r="C44" s="2675"/>
      <c r="D44" s="163" t="s">
        <v>238</v>
      </c>
      <c r="E44" s="138"/>
      <c r="F44" s="1818" t="s">
        <v>495</v>
      </c>
      <c r="G44" s="2656"/>
      <c r="H44" s="2657"/>
      <c r="I44" s="326"/>
      <c r="J44" s="624"/>
      <c r="K44" s="624"/>
      <c r="L44" s="624"/>
      <c r="M44" s="624"/>
      <c r="N44" s="326"/>
      <c r="O44" s="624"/>
      <c r="P44" s="624"/>
      <c r="Q44" s="624"/>
      <c r="R44" s="624"/>
      <c r="S44" s="326"/>
      <c r="T44" s="624"/>
      <c r="U44" s="624"/>
      <c r="V44" s="624"/>
      <c r="W44" s="625"/>
    </row>
    <row r="45" spans="1:23" ht="42" customHeight="1">
      <c r="A45" s="2147" t="s">
        <v>41</v>
      </c>
      <c r="B45" s="2663"/>
      <c r="C45" s="164" t="s">
        <v>50</v>
      </c>
      <c r="D45" s="165" t="s">
        <v>246</v>
      </c>
      <c r="E45" s="138" t="s">
        <v>277</v>
      </c>
      <c r="F45" s="1785" t="s">
        <v>502</v>
      </c>
      <c r="G45" s="2656"/>
      <c r="H45" s="2657"/>
      <c r="I45" s="326" t="s">
        <v>277</v>
      </c>
      <c r="J45" s="624">
        <v>3</v>
      </c>
      <c r="K45" s="624"/>
      <c r="L45" s="624">
        <v>15</v>
      </c>
      <c r="M45" s="624">
        <f>L45*82*5</f>
        <v>6150</v>
      </c>
      <c r="N45" s="326" t="s">
        <v>277</v>
      </c>
      <c r="O45" s="624">
        <v>4</v>
      </c>
      <c r="P45" s="624">
        <v>1</v>
      </c>
      <c r="Q45" s="624">
        <v>20</v>
      </c>
      <c r="R45" s="624">
        <f>Q45*82*5</f>
        <v>8200</v>
      </c>
      <c r="S45" s="326" t="s">
        <v>277</v>
      </c>
      <c r="T45" s="624">
        <v>2</v>
      </c>
      <c r="U45" s="624"/>
      <c r="V45" s="624">
        <v>15</v>
      </c>
      <c r="W45" s="625">
        <f>V45*82*5</f>
        <v>6150</v>
      </c>
    </row>
    <row r="46" spans="1:23" ht="54.75" customHeight="1">
      <c r="A46" s="2676"/>
      <c r="B46" s="2663"/>
      <c r="C46" s="166" t="s">
        <v>51</v>
      </c>
      <c r="D46" s="165" t="s">
        <v>247</v>
      </c>
      <c r="E46" s="138" t="s">
        <v>277</v>
      </c>
      <c r="F46" s="1785" t="s">
        <v>496</v>
      </c>
      <c r="G46" s="2656"/>
      <c r="H46" s="2657"/>
      <c r="I46" s="326" t="s">
        <v>277</v>
      </c>
      <c r="J46" s="624">
        <v>19</v>
      </c>
      <c r="K46" s="624">
        <v>5</v>
      </c>
      <c r="L46" s="624">
        <v>195</v>
      </c>
      <c r="M46" s="624">
        <f>L46*145*5</f>
        <v>141375</v>
      </c>
      <c r="N46" s="326" t="s">
        <v>277</v>
      </c>
      <c r="O46" s="624">
        <v>17</v>
      </c>
      <c r="P46" s="624">
        <v>2</v>
      </c>
      <c r="Q46" s="624">
        <f>30+25+130</f>
        <v>185</v>
      </c>
      <c r="R46" s="624">
        <f>Q46*5*145</f>
        <v>134125</v>
      </c>
      <c r="S46" s="326" t="s">
        <v>277</v>
      </c>
      <c r="T46" s="624">
        <v>17</v>
      </c>
      <c r="U46" s="624">
        <v>1</v>
      </c>
      <c r="V46" s="624">
        <f>30+25+130</f>
        <v>185</v>
      </c>
      <c r="W46" s="625">
        <f>V46*145*5</f>
        <v>134125</v>
      </c>
    </row>
    <row r="47" spans="1:23" ht="54" customHeight="1">
      <c r="A47" s="2676"/>
      <c r="B47" s="2663"/>
      <c r="C47" s="166" t="s">
        <v>39</v>
      </c>
      <c r="D47" s="165" t="s">
        <v>248</v>
      </c>
      <c r="E47" s="138" t="s">
        <v>277</v>
      </c>
      <c r="F47" s="1785" t="s">
        <v>497</v>
      </c>
      <c r="G47" s="2656"/>
      <c r="H47" s="2657"/>
      <c r="I47" s="326" t="s">
        <v>277</v>
      </c>
      <c r="J47" s="624">
        <v>12</v>
      </c>
      <c r="K47" s="624">
        <v>5</v>
      </c>
      <c r="L47" s="624">
        <f>10+15+50</f>
        <v>75</v>
      </c>
      <c r="M47" s="624">
        <f>L47*200*5</f>
        <v>75000</v>
      </c>
      <c r="N47" s="326" t="s">
        <v>277</v>
      </c>
      <c r="O47" s="624">
        <v>8</v>
      </c>
      <c r="P47" s="624">
        <v>2</v>
      </c>
      <c r="Q47" s="624">
        <v>65</v>
      </c>
      <c r="R47" s="624">
        <f>Q47*200*5</f>
        <v>65000</v>
      </c>
      <c r="S47" s="326" t="s">
        <v>277</v>
      </c>
      <c r="T47" s="624">
        <v>10</v>
      </c>
      <c r="U47" s="624">
        <v>1</v>
      </c>
      <c r="V47" s="624">
        <v>75</v>
      </c>
      <c r="W47" s="625">
        <f>V47*200*5</f>
        <v>75000</v>
      </c>
    </row>
    <row r="48" spans="1:23" ht="40.5" customHeight="1" thickBot="1">
      <c r="A48" s="2665"/>
      <c r="B48" s="2672"/>
      <c r="C48" s="167" t="s">
        <v>40</v>
      </c>
      <c r="D48" s="165" t="s">
        <v>249</v>
      </c>
      <c r="E48" s="138"/>
      <c r="F48" s="1785" t="s">
        <v>498</v>
      </c>
      <c r="G48" s="2656"/>
      <c r="H48" s="2657"/>
      <c r="I48" s="326"/>
      <c r="J48" s="624"/>
      <c r="K48" s="624"/>
      <c r="L48" s="624"/>
      <c r="M48" s="624"/>
      <c r="N48" s="326"/>
      <c r="O48" s="624"/>
      <c r="P48" s="624"/>
      <c r="Q48" s="624"/>
      <c r="R48" s="624"/>
      <c r="S48" s="326"/>
      <c r="T48" s="624"/>
      <c r="U48" s="624"/>
      <c r="V48" s="624"/>
      <c r="W48" s="625"/>
    </row>
    <row r="49" spans="1:23" ht="15.75">
      <c r="A49" s="2150" t="s">
        <v>130</v>
      </c>
      <c r="B49" s="2664"/>
      <c r="C49" s="159" t="s">
        <v>131</v>
      </c>
      <c r="D49" s="160" t="s">
        <v>255</v>
      </c>
      <c r="E49" s="138"/>
      <c r="F49" s="2153"/>
      <c r="G49" s="2656"/>
      <c r="H49" s="2657"/>
      <c r="I49" s="326"/>
      <c r="J49" s="624"/>
      <c r="K49" s="624"/>
      <c r="L49" s="624"/>
      <c r="M49" s="624"/>
      <c r="N49" s="326"/>
      <c r="O49" s="624"/>
      <c r="P49" s="624"/>
      <c r="Q49" s="624"/>
      <c r="R49" s="624"/>
      <c r="S49" s="326"/>
      <c r="T49" s="624"/>
      <c r="U49" s="624"/>
      <c r="V49" s="624"/>
      <c r="W49" s="625"/>
    </row>
    <row r="50" spans="1:23" ht="32.25" thickBot="1">
      <c r="A50" s="2665"/>
      <c r="B50" s="2666"/>
      <c r="C50" s="168" t="s">
        <v>132</v>
      </c>
      <c r="D50" s="160" t="s">
        <v>263</v>
      </c>
      <c r="E50" s="138"/>
      <c r="F50" s="2153"/>
      <c r="G50" s="2656"/>
      <c r="H50" s="2657"/>
      <c r="I50" s="326"/>
      <c r="J50" s="624"/>
      <c r="K50" s="624"/>
      <c r="L50" s="624"/>
      <c r="M50" s="624"/>
      <c r="N50" s="326"/>
      <c r="O50" s="624"/>
      <c r="P50" s="624"/>
      <c r="Q50" s="624"/>
      <c r="R50" s="624"/>
      <c r="S50" s="326"/>
      <c r="T50" s="624"/>
      <c r="U50" s="624"/>
      <c r="V50" s="624"/>
      <c r="W50" s="625"/>
    </row>
    <row r="51" spans="1:23">
      <c r="A51" s="2154" t="s">
        <v>42</v>
      </c>
      <c r="B51" s="2662"/>
      <c r="C51" s="169" t="s">
        <v>38</v>
      </c>
      <c r="D51" s="170" t="s">
        <v>239</v>
      </c>
      <c r="E51" s="138"/>
      <c r="F51" s="1818" t="s">
        <v>499</v>
      </c>
      <c r="G51" s="2656"/>
      <c r="H51" s="2657"/>
      <c r="I51" s="326"/>
      <c r="J51" s="624"/>
      <c r="K51" s="624"/>
      <c r="L51" s="624"/>
      <c r="M51" s="624"/>
      <c r="N51" s="326"/>
      <c r="O51" s="624"/>
      <c r="P51" s="624"/>
      <c r="Q51" s="624"/>
      <c r="R51" s="624"/>
      <c r="S51" s="326"/>
      <c r="T51" s="624"/>
      <c r="U51" s="624"/>
      <c r="V51" s="624"/>
      <c r="W51" s="625"/>
    </row>
    <row r="52" spans="1:23">
      <c r="A52" s="2663"/>
      <c r="B52" s="2663"/>
      <c r="C52" s="171" t="s">
        <v>55</v>
      </c>
      <c r="D52" s="170" t="s">
        <v>240</v>
      </c>
      <c r="E52" s="138"/>
      <c r="F52" s="2155"/>
      <c r="G52" s="2656"/>
      <c r="H52" s="2657"/>
      <c r="I52" s="326"/>
      <c r="J52" s="624"/>
      <c r="K52" s="624"/>
      <c r="L52" s="624"/>
      <c r="M52" s="624"/>
      <c r="N52" s="326"/>
      <c r="O52" s="624"/>
      <c r="P52" s="624"/>
      <c r="Q52" s="624"/>
      <c r="R52" s="624"/>
      <c r="S52" s="326"/>
      <c r="T52" s="624"/>
      <c r="U52" s="624"/>
      <c r="V52" s="624"/>
      <c r="W52" s="625"/>
    </row>
    <row r="53" spans="1:23" ht="16.5" thickBot="1">
      <c r="A53" s="2663"/>
      <c r="B53" s="2663"/>
      <c r="C53" s="161" t="s">
        <v>48</v>
      </c>
      <c r="D53" s="172" t="s">
        <v>241</v>
      </c>
      <c r="E53" s="138"/>
      <c r="F53" s="2156"/>
      <c r="G53" s="2656"/>
      <c r="H53" s="2657"/>
      <c r="I53" s="326"/>
      <c r="J53" s="624"/>
      <c r="K53" s="624"/>
      <c r="L53" s="624"/>
      <c r="M53" s="624"/>
      <c r="N53" s="326"/>
      <c r="O53" s="624"/>
      <c r="P53" s="624"/>
      <c r="Q53" s="624"/>
      <c r="R53" s="624"/>
      <c r="S53" s="326"/>
      <c r="T53" s="624"/>
      <c r="U53" s="624"/>
      <c r="V53" s="624"/>
      <c r="W53" s="625"/>
    </row>
    <row r="54" spans="1:23" ht="16.5" thickBot="1">
      <c r="A54" s="2135" t="s">
        <v>500</v>
      </c>
      <c r="B54" s="2656"/>
      <c r="C54" s="173" t="s">
        <v>134</v>
      </c>
      <c r="D54" s="174" t="s">
        <v>269</v>
      </c>
      <c r="E54" s="175"/>
      <c r="F54" s="1818" t="s">
        <v>501</v>
      </c>
      <c r="G54" s="2656"/>
      <c r="H54" s="2657"/>
      <c r="I54" s="626"/>
      <c r="J54" s="627"/>
      <c r="K54" s="627"/>
      <c r="L54" s="627"/>
      <c r="M54" s="627"/>
      <c r="N54" s="626"/>
      <c r="O54" s="627"/>
      <c r="P54" s="627"/>
      <c r="Q54" s="627"/>
      <c r="R54" s="627"/>
      <c r="S54" s="626"/>
      <c r="T54" s="627"/>
      <c r="U54" s="627"/>
      <c r="V54" s="627"/>
      <c r="W54" s="628"/>
    </row>
    <row r="56" spans="1:23">
      <c r="M56">
        <f>SUM(M16:M50)</f>
        <v>4068125</v>
      </c>
    </row>
    <row r="57" spans="1:23" ht="60">
      <c r="A57" s="630" t="s">
        <v>948</v>
      </c>
      <c r="B57" s="630" t="s">
        <v>949</v>
      </c>
      <c r="C57" s="630" t="s">
        <v>950</v>
      </c>
      <c r="D57" s="630" t="s">
        <v>951</v>
      </c>
      <c r="E57" s="630" t="s">
        <v>952</v>
      </c>
    </row>
    <row r="58" spans="1:23">
      <c r="A58" s="631" t="s">
        <v>953</v>
      </c>
      <c r="B58" s="632" t="s">
        <v>954</v>
      </c>
      <c r="C58" s="632">
        <v>6</v>
      </c>
      <c r="D58" s="632">
        <v>5</v>
      </c>
      <c r="E58" s="633" t="s">
        <v>955</v>
      </c>
    </row>
    <row r="59" spans="1:23">
      <c r="A59" s="631" t="s">
        <v>956</v>
      </c>
      <c r="B59" s="632" t="s">
        <v>954</v>
      </c>
      <c r="C59" s="632">
        <v>10</v>
      </c>
      <c r="D59" s="632">
        <v>8</v>
      </c>
      <c r="E59" s="633" t="s">
        <v>955</v>
      </c>
    </row>
    <row r="60" spans="1:23">
      <c r="A60" s="631" t="s">
        <v>957</v>
      </c>
      <c r="B60" s="632" t="s">
        <v>954</v>
      </c>
      <c r="C60" s="632"/>
      <c r="D60" s="632"/>
      <c r="E60" s="633" t="s">
        <v>958</v>
      </c>
    </row>
    <row r="61" spans="1:23">
      <c r="A61" s="631" t="s">
        <v>959</v>
      </c>
      <c r="B61" s="632" t="s">
        <v>954</v>
      </c>
      <c r="C61" s="632">
        <v>180</v>
      </c>
      <c r="D61" s="632">
        <v>20</v>
      </c>
      <c r="E61" s="633" t="s">
        <v>960</v>
      </c>
    </row>
    <row r="62" spans="1:23">
      <c r="A62" s="631" t="s">
        <v>961</v>
      </c>
      <c r="B62" s="632" t="s">
        <v>954</v>
      </c>
      <c r="C62" s="632">
        <v>50</v>
      </c>
      <c r="D62" s="632">
        <v>50</v>
      </c>
      <c r="E62" s="633" t="s">
        <v>962</v>
      </c>
    </row>
    <row r="63" spans="1:23">
      <c r="A63" s="631" t="s">
        <v>963</v>
      </c>
      <c r="B63" s="632" t="s">
        <v>954</v>
      </c>
      <c r="C63" s="632">
        <v>25</v>
      </c>
      <c r="D63" s="632">
        <v>25</v>
      </c>
      <c r="E63" s="633" t="s">
        <v>964</v>
      </c>
    </row>
    <row r="64" spans="1:23">
      <c r="A64" s="631" t="s">
        <v>965</v>
      </c>
      <c r="B64" s="632" t="s">
        <v>954</v>
      </c>
      <c r="C64" s="632">
        <v>10</v>
      </c>
      <c r="D64" s="632">
        <v>2</v>
      </c>
      <c r="E64" s="633" t="s">
        <v>966</v>
      </c>
    </row>
    <row r="65" spans="1:11">
      <c r="A65" s="631" t="s">
        <v>967</v>
      </c>
      <c r="B65" s="632" t="s">
        <v>954</v>
      </c>
      <c r="C65" s="632"/>
      <c r="D65" s="632"/>
      <c r="E65" s="633" t="s">
        <v>968</v>
      </c>
    </row>
    <row r="66" spans="1:11">
      <c r="A66" s="631" t="s">
        <v>969</v>
      </c>
      <c r="B66" s="632" t="s">
        <v>954</v>
      </c>
      <c r="C66" s="632">
        <v>4</v>
      </c>
      <c r="D66" s="632">
        <v>3</v>
      </c>
      <c r="E66" s="633" t="s">
        <v>970</v>
      </c>
    </row>
    <row r="67" spans="1:11">
      <c r="A67" s="631" t="s">
        <v>971</v>
      </c>
      <c r="B67" s="632" t="s">
        <v>954</v>
      </c>
      <c r="C67" s="632">
        <v>25</v>
      </c>
      <c r="D67" s="632">
        <v>15</v>
      </c>
      <c r="E67" s="633" t="s">
        <v>972</v>
      </c>
    </row>
    <row r="68" spans="1:11">
      <c r="A68" s="631" t="s">
        <v>973</v>
      </c>
      <c r="B68" s="632" t="s">
        <v>954</v>
      </c>
      <c r="C68" s="632">
        <v>6</v>
      </c>
      <c r="D68" s="632">
        <v>9</v>
      </c>
      <c r="E68" s="633" t="s">
        <v>974</v>
      </c>
    </row>
    <row r="69" spans="1:11">
      <c r="A69" s="634"/>
      <c r="B69" s="624"/>
      <c r="C69" s="624"/>
      <c r="D69" s="624"/>
      <c r="E69" s="635"/>
    </row>
    <row r="70" spans="1:11">
      <c r="A70" s="634"/>
      <c r="B70" s="624"/>
      <c r="C70" s="624"/>
      <c r="D70" s="624"/>
      <c r="E70" s="635"/>
    </row>
    <row r="73" spans="1:11">
      <c r="C73" s="2654" t="s">
        <v>1171</v>
      </c>
      <c r="D73" s="2436"/>
      <c r="E73" s="2436"/>
      <c r="F73" s="2436"/>
      <c r="G73" s="2436"/>
      <c r="H73" s="2436"/>
      <c r="I73" s="2436"/>
      <c r="J73" s="2436"/>
      <c r="K73" s="2436"/>
    </row>
    <row r="74" spans="1:11">
      <c r="C74" s="2655" t="s">
        <v>1172</v>
      </c>
      <c r="D74" s="2656"/>
      <c r="E74" s="2656"/>
      <c r="F74" s="2656"/>
      <c r="G74" s="2656"/>
      <c r="H74" s="2656"/>
      <c r="I74" s="2656"/>
      <c r="J74" s="2656"/>
      <c r="K74" s="2657"/>
    </row>
    <row r="75" spans="1:11" ht="254.25" customHeight="1">
      <c r="C75" s="2658" t="s">
        <v>1173</v>
      </c>
      <c r="D75" s="2656"/>
      <c r="E75" s="2656"/>
      <c r="F75" s="2656"/>
      <c r="G75" s="2656"/>
      <c r="H75" s="2656"/>
      <c r="I75" s="2656"/>
      <c r="J75" s="2656"/>
      <c r="K75" s="2657"/>
    </row>
    <row r="78" spans="1:11">
      <c r="A78" s="2266" t="s">
        <v>1270</v>
      </c>
      <c r="B78" s="2656"/>
      <c r="C78" s="2656"/>
      <c r="D78" s="2656"/>
      <c r="E78" s="2656"/>
      <c r="F78" s="2656"/>
    </row>
    <row r="79" spans="1:11" ht="75">
      <c r="A79" s="1253" t="s">
        <v>1271</v>
      </c>
      <c r="B79" s="1253" t="s">
        <v>1272</v>
      </c>
      <c r="C79" s="1253" t="s">
        <v>1273</v>
      </c>
      <c r="D79" s="1253" t="s">
        <v>1274</v>
      </c>
      <c r="E79" s="1253" t="s">
        <v>1275</v>
      </c>
      <c r="F79" s="1253" t="s">
        <v>1276</v>
      </c>
    </row>
    <row r="80" spans="1:11" ht="60">
      <c r="A80" s="1248" t="s">
        <v>1277</v>
      </c>
      <c r="B80" s="1248" t="s">
        <v>1278</v>
      </c>
      <c r="C80" s="1131" t="s">
        <v>1279</v>
      </c>
      <c r="D80" s="1131" t="s">
        <v>954</v>
      </c>
      <c r="E80" s="1254" t="s">
        <v>1280</v>
      </c>
      <c r="F80" s="1254">
        <v>1</v>
      </c>
    </row>
    <row r="81" spans="1:6">
      <c r="A81" s="2659" t="s">
        <v>1281</v>
      </c>
      <c r="B81" s="2660" t="s">
        <v>1282</v>
      </c>
      <c r="C81" s="2661" t="s">
        <v>1283</v>
      </c>
      <c r="D81" s="2661" t="s">
        <v>954</v>
      </c>
      <c r="E81" s="1131" t="s">
        <v>1284</v>
      </c>
      <c r="F81" s="1131">
        <v>4</v>
      </c>
    </row>
    <row r="82" spans="1:6">
      <c r="A82" s="2659"/>
      <c r="B82" s="2660"/>
      <c r="C82" s="2661"/>
      <c r="D82" s="2661"/>
      <c r="E82" s="1131" t="s">
        <v>1285</v>
      </c>
      <c r="F82" s="1131">
        <v>10</v>
      </c>
    </row>
    <row r="83" spans="1:6" ht="60">
      <c r="A83" s="1255" t="s">
        <v>1286</v>
      </c>
      <c r="B83" s="1248" t="s">
        <v>1287</v>
      </c>
      <c r="C83" s="1131" t="s">
        <v>1283</v>
      </c>
      <c r="D83" s="1131" t="s">
        <v>954</v>
      </c>
      <c r="E83" s="1131" t="s">
        <v>237</v>
      </c>
      <c r="F83" s="1131">
        <v>4</v>
      </c>
    </row>
    <row r="84" spans="1:6" ht="60">
      <c r="A84" s="1255" t="s">
        <v>1288</v>
      </c>
      <c r="B84" s="1248" t="s">
        <v>1287</v>
      </c>
      <c r="C84" s="1131" t="s">
        <v>1289</v>
      </c>
      <c r="D84" s="1131" t="s">
        <v>954</v>
      </c>
      <c r="E84" s="1131" t="s">
        <v>237</v>
      </c>
      <c r="F84" s="1131">
        <v>10</v>
      </c>
    </row>
    <row r="85" spans="1:6" ht="60">
      <c r="A85" s="1256" t="s">
        <v>1290</v>
      </c>
      <c r="B85" s="1248" t="s">
        <v>1291</v>
      </c>
      <c r="C85" s="1131" t="s">
        <v>1292</v>
      </c>
      <c r="D85" s="1131" t="s">
        <v>954</v>
      </c>
      <c r="E85" s="1131" t="s">
        <v>1280</v>
      </c>
      <c r="F85" s="1131">
        <v>5</v>
      </c>
    </row>
    <row r="86" spans="1:6" ht="90">
      <c r="A86" s="19" t="s">
        <v>1293</v>
      </c>
      <c r="B86" s="1257" t="s">
        <v>1294</v>
      </c>
      <c r="C86" s="1258">
        <v>1</v>
      </c>
      <c r="D86" s="635" t="s">
        <v>1084</v>
      </c>
      <c r="E86" s="635" t="s">
        <v>1295</v>
      </c>
      <c r="F86" s="1258">
        <v>10</v>
      </c>
    </row>
    <row r="87" spans="1:6" ht="45">
      <c r="A87" s="19" t="s">
        <v>1296</v>
      </c>
      <c r="B87" s="1257" t="s">
        <v>1294</v>
      </c>
      <c r="C87" s="1258">
        <v>1</v>
      </c>
      <c r="D87" s="635" t="s">
        <v>1297</v>
      </c>
      <c r="E87" s="635" t="s">
        <v>1295</v>
      </c>
      <c r="F87" s="1258">
        <v>10</v>
      </c>
    </row>
    <row r="88" spans="1:6" ht="75">
      <c r="A88" s="19" t="s">
        <v>1298</v>
      </c>
      <c r="B88" s="1257" t="s">
        <v>1294</v>
      </c>
      <c r="C88" s="1258">
        <v>1</v>
      </c>
      <c r="D88" s="635" t="s">
        <v>1297</v>
      </c>
      <c r="E88" s="635" t="s">
        <v>1299</v>
      </c>
      <c r="F88" s="1258">
        <v>10</v>
      </c>
    </row>
    <row r="89" spans="1:6" ht="75">
      <c r="A89" s="19" t="s">
        <v>1300</v>
      </c>
      <c r="B89" s="1257" t="s">
        <v>1294</v>
      </c>
      <c r="C89" s="1258">
        <v>1</v>
      </c>
      <c r="D89" s="635" t="s">
        <v>1297</v>
      </c>
      <c r="E89" s="635" t="s">
        <v>1301</v>
      </c>
      <c r="F89" s="1258">
        <v>10</v>
      </c>
    </row>
    <row r="90" spans="1:6" ht="60">
      <c r="A90" s="19" t="s">
        <v>1302</v>
      </c>
      <c r="B90" s="1257" t="s">
        <v>1294</v>
      </c>
      <c r="C90" s="1258">
        <v>1</v>
      </c>
      <c r="D90" s="635" t="s">
        <v>1297</v>
      </c>
      <c r="E90" s="635" t="s">
        <v>1301</v>
      </c>
      <c r="F90" s="1258">
        <v>10</v>
      </c>
    </row>
    <row r="91" spans="1:6">
      <c r="A91" s="1258" t="s">
        <v>1303</v>
      </c>
      <c r="B91" s="1258"/>
      <c r="C91" s="1258">
        <v>0.5</v>
      </c>
      <c r="D91" s="1258"/>
      <c r="E91" s="1258"/>
      <c r="F91" s="1258"/>
    </row>
    <row r="92" spans="1:6">
      <c r="A92" s="1258" t="s">
        <v>1304</v>
      </c>
      <c r="B92" s="1258"/>
      <c r="C92" s="1258">
        <v>0.5</v>
      </c>
      <c r="D92" s="1258"/>
      <c r="E92" s="1258"/>
      <c r="F92" s="1258"/>
    </row>
  </sheetData>
  <mergeCells count="63">
    <mergeCell ref="C73:K73"/>
    <mergeCell ref="C74:K74"/>
    <mergeCell ref="C75:K75"/>
    <mergeCell ref="A23:B25"/>
    <mergeCell ref="F23:H25"/>
    <mergeCell ref="A26:C26"/>
    <mergeCell ref="F26:H26"/>
    <mergeCell ref="A27:B29"/>
    <mergeCell ref="F27:H29"/>
    <mergeCell ref="A30:B32"/>
    <mergeCell ref="F30:H32"/>
    <mergeCell ref="A33:B33"/>
    <mergeCell ref="F33:H33"/>
    <mergeCell ref="A34:B34"/>
    <mergeCell ref="F34:H34"/>
    <mergeCell ref="A35:B36"/>
    <mergeCell ref="C10:H10"/>
    <mergeCell ref="A10:B10"/>
    <mergeCell ref="E12:H13"/>
    <mergeCell ref="A14:B14"/>
    <mergeCell ref="F14:H14"/>
    <mergeCell ref="A15:B17"/>
    <mergeCell ref="F15:H17"/>
    <mergeCell ref="A18:B20"/>
    <mergeCell ref="F18:H20"/>
    <mergeCell ref="A21:B22"/>
    <mergeCell ref="F21:H22"/>
    <mergeCell ref="B2:D2"/>
    <mergeCell ref="B3:D3"/>
    <mergeCell ref="B8:D8"/>
    <mergeCell ref="B4:D4"/>
    <mergeCell ref="B6:D6"/>
    <mergeCell ref="F35:H36"/>
    <mergeCell ref="A37:B39"/>
    <mergeCell ref="F37:H37"/>
    <mergeCell ref="F38:H38"/>
    <mergeCell ref="F39:H39"/>
    <mergeCell ref="A40:B42"/>
    <mergeCell ref="F40:H41"/>
    <mergeCell ref="F42:H42"/>
    <mergeCell ref="A43:C43"/>
    <mergeCell ref="F43:H43"/>
    <mergeCell ref="A44:C44"/>
    <mergeCell ref="F44:H44"/>
    <mergeCell ref="A45:B48"/>
    <mergeCell ref="F45:H45"/>
    <mergeCell ref="F46:H46"/>
    <mergeCell ref="F47:H47"/>
    <mergeCell ref="F48:H48"/>
    <mergeCell ref="A54:B54"/>
    <mergeCell ref="F54:H54"/>
    <mergeCell ref="A49:B50"/>
    <mergeCell ref="F49:H49"/>
    <mergeCell ref="F50:H50"/>
    <mergeCell ref="A51:B53"/>
    <mergeCell ref="F51:H51"/>
    <mergeCell ref="F52:H52"/>
    <mergeCell ref="F53:H53"/>
    <mergeCell ref="A78:F78"/>
    <mergeCell ref="A81:A82"/>
    <mergeCell ref="B81:B82"/>
    <mergeCell ref="C81:C82"/>
    <mergeCell ref="D81:D82"/>
  </mergeCells>
  <conditionalFormatting sqref="A79:F79">
    <cfRule type="notContainsBlanks" dxfId="0" priority="1">
      <formula>LEN(TRIM(A79))&gt;0</formula>
    </cfRule>
  </conditionalFormatting>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5" location="SYNTHESE!A1" display="Retour synthèse"/>
    <hyperlink ref="J2" location="SOMMAIRE!A1" display="Retour sommaire"/>
    <hyperlink ref="J4" location="SYNTHESE!A1" display="Retour synthèse"/>
  </hyperlinks>
  <pageMargins left="0.25" right="0.25" top="0.75" bottom="0.75" header="0.3" footer="0.3"/>
  <pageSetup paperSize="9" scale="78" orientation="landscape"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XFB64"/>
  <sheetViews>
    <sheetView zoomScale="70" zoomScaleNormal="70" workbookViewId="0">
      <selection activeCell="F44" sqref="F44:H44"/>
    </sheetView>
  </sheetViews>
  <sheetFormatPr baseColWidth="10" defaultRowHeight="15"/>
  <cols>
    <col min="1" max="1" width="20.42578125" style="8" bestFit="1" customWidth="1"/>
    <col min="2" max="2" width="15.7109375" style="8" customWidth="1"/>
    <col min="3" max="3" width="45.140625" style="8" customWidth="1"/>
    <col min="4" max="4" width="6.85546875" style="8" bestFit="1" customWidth="1"/>
    <col min="5" max="5" width="7.5703125" style="8" customWidth="1"/>
    <col min="6" max="6" width="16.28515625" style="8" bestFit="1" customWidth="1"/>
    <col min="7" max="7" width="20" style="8" customWidth="1"/>
    <col min="8" max="8" width="16.5703125" bestFit="1" customWidth="1"/>
    <col min="9" max="9" width="6.5703125" customWidth="1"/>
  </cols>
  <sheetData>
    <row r="1" spans="1:23">
      <c r="A1" s="327"/>
      <c r="B1" s="327"/>
      <c r="C1" s="327"/>
      <c r="D1" s="327"/>
      <c r="E1" s="566"/>
      <c r="F1" s="327"/>
      <c r="G1" s="327"/>
      <c r="H1" s="327"/>
      <c r="I1" s="327"/>
    </row>
    <row r="2" spans="1:23" ht="15.75" thickBot="1">
      <c r="A2" s="327"/>
      <c r="B2" s="327"/>
      <c r="C2" s="327"/>
      <c r="D2" s="327"/>
      <c r="E2" s="566"/>
      <c r="F2" s="327"/>
      <c r="G2" s="327"/>
      <c r="H2" s="327"/>
      <c r="I2" s="327"/>
    </row>
    <row r="3" spans="1:23" ht="15.75" customHeight="1" thickBot="1">
      <c r="A3" s="109" t="s">
        <v>0</v>
      </c>
      <c r="B3" s="2029" t="s">
        <v>885</v>
      </c>
      <c r="C3" s="2144"/>
      <c r="D3" s="2145"/>
      <c r="E3" s="554"/>
      <c r="F3" s="110"/>
      <c r="G3" s="111" t="s">
        <v>462</v>
      </c>
      <c r="H3" s="499" t="s">
        <v>53</v>
      </c>
      <c r="I3" s="567" t="s">
        <v>53</v>
      </c>
      <c r="J3" s="13"/>
      <c r="K3" s="11" t="s">
        <v>73</v>
      </c>
    </row>
    <row r="4" spans="1:23" ht="15.75" thickBot="1">
      <c r="A4" s="113" t="s">
        <v>344</v>
      </c>
      <c r="B4" s="1822" t="s">
        <v>886</v>
      </c>
      <c r="C4" s="2144"/>
      <c r="D4" s="2145"/>
      <c r="E4" s="554"/>
      <c r="F4" s="110"/>
      <c r="G4" s="114" t="s">
        <v>10</v>
      </c>
      <c r="H4" s="499" t="s">
        <v>16</v>
      </c>
      <c r="I4" s="567" t="s">
        <v>887</v>
      </c>
      <c r="K4" s="1251"/>
    </row>
    <row r="5" spans="1:23" ht="15.75" customHeight="1" thickBot="1">
      <c r="A5" s="114" t="s">
        <v>3</v>
      </c>
      <c r="B5" s="1823" t="s">
        <v>220</v>
      </c>
      <c r="C5" s="2144"/>
      <c r="D5" s="2145"/>
      <c r="E5" s="555"/>
      <c r="F5" s="110"/>
      <c r="G5" s="116" t="s">
        <v>26</v>
      </c>
      <c r="H5" s="568">
        <v>10</v>
      </c>
      <c r="I5" s="327"/>
      <c r="K5" s="13" t="s">
        <v>381</v>
      </c>
    </row>
    <row r="6" spans="1:23" ht="15.75" thickBot="1">
      <c r="A6" s="110"/>
      <c r="B6" s="110"/>
      <c r="C6" s="110"/>
      <c r="D6" s="110"/>
      <c r="E6" s="554"/>
      <c r="F6" s="110"/>
      <c r="G6" s="110"/>
      <c r="H6" s="110"/>
      <c r="I6" s="327"/>
    </row>
    <row r="7" spans="1:23" ht="90.75" thickBot="1">
      <c r="A7" s="109" t="s">
        <v>465</v>
      </c>
      <c r="B7" s="1810" t="s">
        <v>1607</v>
      </c>
      <c r="C7" s="2103"/>
      <c r="D7" s="2104"/>
      <c r="E7" s="554"/>
      <c r="F7" s="110"/>
      <c r="G7" s="118" t="s">
        <v>466</v>
      </c>
      <c r="H7" s="178" t="s">
        <v>888</v>
      </c>
      <c r="I7" s="327"/>
    </row>
    <row r="8" spans="1:23" ht="15.75" thickBot="1">
      <c r="A8" s="327"/>
      <c r="B8" s="110"/>
      <c r="C8" s="110"/>
      <c r="D8" s="110"/>
      <c r="E8" s="554"/>
      <c r="F8" s="110"/>
      <c r="G8" s="120"/>
      <c r="H8" s="110"/>
      <c r="I8" s="327"/>
    </row>
    <row r="9" spans="1:23" ht="30.75" customHeight="1" thickBot="1">
      <c r="A9" s="121" t="s">
        <v>7</v>
      </c>
      <c r="B9" s="1823" t="s">
        <v>889</v>
      </c>
      <c r="C9" s="2144"/>
      <c r="D9" s="2145"/>
      <c r="E9" s="555"/>
      <c r="F9" s="122"/>
      <c r="G9" s="121" t="s">
        <v>469</v>
      </c>
      <c r="H9" s="123" t="s">
        <v>508</v>
      </c>
      <c r="I9" s="567"/>
    </row>
    <row r="10" spans="1:23">
      <c r="A10" s="327"/>
      <c r="B10" s="110"/>
      <c r="C10" s="110"/>
      <c r="D10" s="110"/>
      <c r="E10" s="554"/>
      <c r="F10" s="110"/>
      <c r="G10" s="120"/>
      <c r="H10" s="110"/>
      <c r="I10" s="327"/>
      <c r="J10" s="1259"/>
    </row>
    <row r="11" spans="1:23" ht="42" customHeight="1">
      <c r="A11" s="2174" t="s">
        <v>471</v>
      </c>
      <c r="B11" s="2148"/>
      <c r="C11" s="1805" t="s">
        <v>1267</v>
      </c>
      <c r="D11" s="1805"/>
      <c r="E11" s="1805"/>
      <c r="F11" s="1805"/>
      <c r="G11" s="1805"/>
      <c r="H11" s="1805"/>
      <c r="I11" s="327"/>
      <c r="J11" s="61"/>
    </row>
    <row r="12" spans="1:23" ht="15" customHeight="1">
      <c r="A12" s="126"/>
      <c r="B12" s="115"/>
      <c r="C12" s="115"/>
      <c r="D12" s="115"/>
      <c r="E12" s="2181" t="s">
        <v>473</v>
      </c>
      <c r="F12" s="2148"/>
      <c r="G12" s="2148"/>
      <c r="H12" s="2148"/>
      <c r="I12" s="127"/>
      <c r="J12" s="61"/>
    </row>
    <row r="13" spans="1:23" ht="15" customHeight="1">
      <c r="A13" s="110"/>
      <c r="B13" s="110"/>
      <c r="C13" s="110"/>
      <c r="D13" s="110"/>
      <c r="E13" s="2141"/>
      <c r="F13" s="2141"/>
      <c r="G13" s="2141"/>
      <c r="H13" s="2141"/>
      <c r="I13" s="2191">
        <v>2025</v>
      </c>
      <c r="J13" s="2193"/>
      <c r="K13" s="2193"/>
      <c r="L13" s="2193"/>
      <c r="M13" s="2194"/>
      <c r="N13" s="2191">
        <v>2026</v>
      </c>
      <c r="O13" s="2193"/>
      <c r="P13" s="2193"/>
      <c r="Q13" s="2193"/>
      <c r="R13" s="2194"/>
      <c r="S13" s="2191">
        <v>2027</v>
      </c>
      <c r="T13" s="2193"/>
      <c r="U13" s="2193"/>
      <c r="V13" s="2193"/>
      <c r="W13" s="2194"/>
    </row>
    <row r="14" spans="1:23" ht="45.75" thickBot="1">
      <c r="A14" s="2184" t="s">
        <v>5</v>
      </c>
      <c r="B14" s="2137"/>
      <c r="C14" s="128" t="s">
        <v>1</v>
      </c>
      <c r="D14" s="128" t="s">
        <v>260</v>
      </c>
      <c r="E14" s="129" t="s">
        <v>474</v>
      </c>
      <c r="F14" s="2182" t="s">
        <v>6</v>
      </c>
      <c r="G14" s="2097"/>
      <c r="H14" s="2098"/>
      <c r="I14" s="1010" t="s">
        <v>474</v>
      </c>
      <c r="J14" s="1011" t="s">
        <v>944</v>
      </c>
      <c r="K14" s="1012" t="s">
        <v>945</v>
      </c>
      <c r="L14" s="1011" t="s">
        <v>946</v>
      </c>
      <c r="M14" s="1013" t="s">
        <v>947</v>
      </c>
      <c r="N14" s="1010" t="s">
        <v>474</v>
      </c>
      <c r="O14" s="1011" t="s">
        <v>944</v>
      </c>
      <c r="P14" s="1012" t="s">
        <v>945</v>
      </c>
      <c r="Q14" s="1011" t="s">
        <v>946</v>
      </c>
      <c r="R14" s="1013" t="s">
        <v>947</v>
      </c>
      <c r="S14" s="1010" t="s">
        <v>474</v>
      </c>
      <c r="T14" s="1011" t="s">
        <v>944</v>
      </c>
      <c r="U14" s="1012" t="s">
        <v>945</v>
      </c>
      <c r="V14" s="1011" t="s">
        <v>946</v>
      </c>
      <c r="W14" s="1013" t="s">
        <v>947</v>
      </c>
    </row>
    <row r="15" spans="1:23" ht="28.5" customHeight="1">
      <c r="A15" s="2183" t="s">
        <v>17</v>
      </c>
      <c r="B15" s="2140"/>
      <c r="C15" s="130" t="s">
        <v>59</v>
      </c>
      <c r="D15" s="131" t="s">
        <v>251</v>
      </c>
      <c r="E15" s="546"/>
      <c r="F15" s="2522" t="s">
        <v>890</v>
      </c>
      <c r="G15" s="2525"/>
      <c r="H15" s="2526"/>
      <c r="I15" s="722"/>
      <c r="J15" s="620"/>
      <c r="K15" s="620"/>
      <c r="L15" s="620"/>
      <c r="M15" s="621"/>
      <c r="N15" s="619"/>
      <c r="O15" s="620"/>
      <c r="P15" s="620"/>
      <c r="Q15" s="620"/>
      <c r="R15" s="621"/>
      <c r="S15" s="619"/>
      <c r="T15" s="620"/>
      <c r="U15" s="620"/>
      <c r="V15" s="620"/>
      <c r="W15" s="622"/>
    </row>
    <row r="16" spans="1:23">
      <c r="A16" s="2148"/>
      <c r="B16" s="2148"/>
      <c r="C16" s="133" t="s">
        <v>18</v>
      </c>
      <c r="D16" s="134" t="s">
        <v>168</v>
      </c>
      <c r="E16" s="547"/>
      <c r="F16" s="2691"/>
      <c r="G16" s="2691"/>
      <c r="H16" s="2692"/>
      <c r="I16" s="723"/>
      <c r="J16" s="624"/>
      <c r="K16" s="624"/>
      <c r="L16" s="624"/>
      <c r="M16" s="624"/>
      <c r="N16" s="623"/>
      <c r="O16" s="624"/>
      <c r="P16" s="624"/>
      <c r="Q16" s="624"/>
      <c r="R16" s="624"/>
      <c r="S16" s="623"/>
      <c r="T16" s="624"/>
      <c r="U16" s="624"/>
      <c r="V16" s="624"/>
      <c r="W16" s="625"/>
    </row>
    <row r="17" spans="1:16382" ht="30" customHeight="1" thickBot="1">
      <c r="A17" s="2141"/>
      <c r="B17" s="2141"/>
      <c r="C17" s="136" t="s">
        <v>19</v>
      </c>
      <c r="D17" s="137" t="s">
        <v>233</v>
      </c>
      <c r="E17" s="183" t="s">
        <v>277</v>
      </c>
      <c r="F17" s="2684"/>
      <c r="G17" s="2684"/>
      <c r="H17" s="2685"/>
      <c r="I17" s="704" t="s">
        <v>277</v>
      </c>
      <c r="J17" s="624">
        <v>2</v>
      </c>
      <c r="K17" s="624">
        <v>2</v>
      </c>
      <c r="L17" s="624">
        <v>300</v>
      </c>
      <c r="M17" s="624">
        <f>L17*281*5</f>
        <v>421500</v>
      </c>
      <c r="N17" s="326" t="s">
        <v>277</v>
      </c>
      <c r="O17" s="624">
        <v>1</v>
      </c>
      <c r="P17" s="624">
        <v>1</v>
      </c>
      <c r="Q17" s="624">
        <v>150</v>
      </c>
      <c r="R17" s="624">
        <f>281*5*Q17</f>
        <v>210750</v>
      </c>
      <c r="S17" s="326" t="s">
        <v>277</v>
      </c>
      <c r="T17" s="624">
        <v>1</v>
      </c>
      <c r="U17" s="624">
        <v>1</v>
      </c>
      <c r="V17" s="624">
        <v>150</v>
      </c>
      <c r="W17" s="625">
        <f>V17*5*281</f>
        <v>210750</v>
      </c>
    </row>
    <row r="18" spans="1:16382" ht="15" customHeight="1">
      <c r="A18" s="2183" t="s">
        <v>20</v>
      </c>
      <c r="B18" s="2140"/>
      <c r="C18" s="130" t="s">
        <v>54</v>
      </c>
      <c r="D18" s="137" t="s">
        <v>261</v>
      </c>
      <c r="E18" s="417"/>
      <c r="F18" s="1828" t="s">
        <v>475</v>
      </c>
      <c r="G18" s="2140"/>
      <c r="H18" s="2137"/>
    </row>
    <row r="19" spans="1:16382" ht="53.25" customHeight="1">
      <c r="A19" s="2148"/>
      <c r="B19" s="2148"/>
      <c r="C19" s="139" t="s">
        <v>21</v>
      </c>
      <c r="D19" s="137" t="s">
        <v>234</v>
      </c>
      <c r="E19" s="417"/>
      <c r="F19" s="1798"/>
      <c r="G19" s="1798"/>
      <c r="H19" s="2139"/>
    </row>
    <row r="20" spans="1:16382" ht="31.5" customHeight="1" thickBot="1">
      <c r="A20" s="2148"/>
      <c r="B20" s="2148"/>
      <c r="C20" s="136" t="s">
        <v>22</v>
      </c>
      <c r="D20" s="137" t="s">
        <v>235</v>
      </c>
      <c r="E20" s="417"/>
      <c r="F20" s="2141"/>
      <c r="G20" s="2141"/>
      <c r="H20" s="2142"/>
    </row>
    <row r="21" spans="1:16382" s="17" customFormat="1" ht="15.75" customHeight="1">
      <c r="A21" s="2183" t="s">
        <v>23</v>
      </c>
      <c r="B21" s="2140"/>
      <c r="C21" s="140" t="s">
        <v>69</v>
      </c>
      <c r="D21" s="137" t="s">
        <v>267</v>
      </c>
      <c r="E21" s="417"/>
      <c r="F21" s="1828" t="s">
        <v>477</v>
      </c>
      <c r="G21" s="2140"/>
      <c r="H21" s="2137"/>
      <c r="X21" s="23"/>
      <c r="Y21" s="16"/>
      <c r="Z21" s="23"/>
      <c r="AA21" s="16"/>
      <c r="AB21" s="23"/>
      <c r="AC21" s="16"/>
      <c r="AD21" s="23"/>
      <c r="AE21" s="16"/>
      <c r="AF21" s="23"/>
      <c r="AG21" s="16"/>
      <c r="AH21" s="23"/>
      <c r="AI21" s="16"/>
      <c r="AJ21" s="23"/>
      <c r="AK21" s="16"/>
      <c r="AL21" s="23"/>
      <c r="AM21" s="16"/>
      <c r="AN21" s="23"/>
      <c r="AO21" s="16"/>
      <c r="AP21" s="23"/>
      <c r="AQ21" s="16"/>
      <c r="AR21" s="23"/>
      <c r="AS21" s="16"/>
      <c r="AT21" s="23"/>
      <c r="AU21" s="16"/>
      <c r="AV21" s="23"/>
      <c r="AW21" s="16"/>
      <c r="AX21" s="23"/>
      <c r="AY21" s="16"/>
      <c r="AZ21" s="23"/>
      <c r="BA21" s="16"/>
      <c r="BB21" s="23"/>
      <c r="BC21" s="16"/>
      <c r="BD21" s="23"/>
      <c r="BE21" s="16"/>
      <c r="BF21" s="23"/>
      <c r="BG21" s="16"/>
      <c r="BH21" s="23"/>
      <c r="BI21" s="16"/>
      <c r="BJ21" s="23"/>
      <c r="BK21" s="16"/>
      <c r="BL21" s="23"/>
      <c r="BM21" s="16"/>
      <c r="BN21" s="23"/>
      <c r="BO21" s="16"/>
      <c r="BP21" s="23"/>
      <c r="BQ21" s="16"/>
      <c r="BR21" s="23"/>
      <c r="BS21" s="16"/>
      <c r="BT21" s="23"/>
      <c r="BU21" s="16"/>
      <c r="BV21" s="23"/>
      <c r="BW21" s="16"/>
      <c r="BX21" s="23"/>
      <c r="BY21" s="16"/>
      <c r="BZ21" s="23"/>
      <c r="CA21" s="16"/>
      <c r="CB21" s="23"/>
      <c r="CC21" s="16"/>
      <c r="CD21" s="23"/>
      <c r="CE21" s="16"/>
      <c r="CF21" s="23"/>
      <c r="CG21" s="16"/>
      <c r="CH21" s="23"/>
      <c r="CI21" s="16"/>
      <c r="CJ21" s="23"/>
      <c r="CK21" s="16"/>
      <c r="CL21" s="23"/>
      <c r="CM21" s="16"/>
      <c r="CN21" s="23"/>
      <c r="CO21" s="16"/>
      <c r="CP21" s="23"/>
      <c r="CQ21" s="16"/>
      <c r="CR21" s="23"/>
      <c r="CS21" s="16"/>
      <c r="CT21" s="23"/>
      <c r="CU21" s="16"/>
      <c r="CV21" s="23"/>
      <c r="CW21" s="16"/>
      <c r="CX21" s="23"/>
      <c r="CY21" s="16"/>
      <c r="CZ21" s="23"/>
      <c r="DA21" s="16"/>
      <c r="DB21" s="23"/>
      <c r="DC21" s="16"/>
      <c r="DD21" s="23"/>
      <c r="DE21" s="16"/>
      <c r="DF21" s="23"/>
      <c r="DG21" s="16"/>
      <c r="DH21" s="23"/>
      <c r="DI21" s="16"/>
      <c r="DJ21" s="23"/>
      <c r="DK21" s="16"/>
      <c r="DL21" s="23"/>
      <c r="DM21" s="16"/>
      <c r="DN21" s="23"/>
      <c r="DO21" s="16"/>
      <c r="DP21" s="23"/>
      <c r="DQ21" s="16"/>
      <c r="DR21" s="23"/>
      <c r="DS21" s="16"/>
      <c r="DT21" s="23"/>
      <c r="DU21" s="16"/>
      <c r="DV21" s="23"/>
      <c r="DW21" s="16"/>
      <c r="DX21" s="23"/>
      <c r="DY21" s="16"/>
      <c r="DZ21" s="23"/>
      <c r="EA21" s="16"/>
      <c r="EB21" s="23"/>
      <c r="EC21" s="16"/>
      <c r="ED21" s="23"/>
      <c r="EE21" s="16"/>
      <c r="EF21" s="23"/>
      <c r="EG21" s="16"/>
      <c r="EH21" s="23"/>
      <c r="EI21" s="16"/>
      <c r="EJ21" s="23"/>
      <c r="EK21" s="16"/>
      <c r="EL21" s="23"/>
      <c r="EM21" s="16"/>
      <c r="EN21" s="23"/>
      <c r="EO21" s="16"/>
      <c r="EP21" s="23"/>
      <c r="EQ21" s="16"/>
      <c r="ER21" s="23"/>
      <c r="ES21" s="16"/>
      <c r="ET21" s="23"/>
      <c r="EU21" s="16"/>
      <c r="EV21" s="23"/>
      <c r="EW21" s="16"/>
      <c r="EX21" s="23"/>
      <c r="EY21" s="16"/>
      <c r="EZ21" s="23"/>
      <c r="FA21" s="16"/>
      <c r="FB21" s="23"/>
      <c r="FC21" s="16"/>
      <c r="FD21" s="23"/>
      <c r="FE21" s="16"/>
      <c r="FF21" s="23"/>
      <c r="FG21" s="16"/>
      <c r="FH21" s="23"/>
      <c r="FI21" s="16"/>
      <c r="FJ21" s="23"/>
      <c r="FK21" s="16"/>
      <c r="FL21" s="23"/>
      <c r="FM21" s="16"/>
      <c r="FN21" s="23"/>
      <c r="FO21" s="16"/>
      <c r="FP21" s="23"/>
      <c r="FQ21" s="16"/>
      <c r="FR21" s="23"/>
      <c r="FS21" s="16"/>
      <c r="FT21" s="23"/>
      <c r="FU21" s="16"/>
      <c r="FV21" s="23"/>
      <c r="FW21" s="16"/>
      <c r="FX21" s="23"/>
      <c r="FY21" s="16"/>
      <c r="FZ21" s="23"/>
      <c r="GA21" s="16"/>
      <c r="GB21" s="23"/>
      <c r="GC21" s="16"/>
      <c r="GD21" s="23"/>
      <c r="GE21" s="16"/>
      <c r="GF21" s="23"/>
      <c r="GG21" s="16"/>
      <c r="GH21" s="23"/>
      <c r="GI21" s="16"/>
      <c r="GJ21" s="23"/>
      <c r="GK21" s="16"/>
      <c r="GL21" s="23"/>
      <c r="GM21" s="16"/>
      <c r="GN21" s="23"/>
      <c r="GO21" s="16"/>
      <c r="GP21" s="23"/>
      <c r="GQ21" s="16"/>
      <c r="GR21" s="23"/>
      <c r="GS21" s="16"/>
      <c r="GT21" s="23"/>
      <c r="GU21" s="16"/>
      <c r="GV21" s="23"/>
      <c r="GW21" s="16"/>
      <c r="GX21" s="23"/>
      <c r="GY21" s="16"/>
      <c r="GZ21" s="23"/>
      <c r="HA21" s="16"/>
      <c r="HB21" s="23"/>
      <c r="HC21" s="16"/>
      <c r="HD21" s="23"/>
      <c r="HE21" s="16"/>
      <c r="HF21" s="23"/>
      <c r="HG21" s="16"/>
      <c r="HH21" s="23"/>
      <c r="HI21" s="16"/>
      <c r="HJ21" s="23"/>
      <c r="HK21" s="16"/>
      <c r="HL21" s="23"/>
      <c r="HM21" s="16"/>
      <c r="HN21" s="23"/>
      <c r="HO21" s="16"/>
      <c r="HP21" s="23"/>
      <c r="HQ21" s="16"/>
      <c r="HR21" s="23"/>
      <c r="HS21" s="16"/>
      <c r="HT21" s="23"/>
      <c r="HU21" s="16"/>
      <c r="HV21" s="23"/>
      <c r="HW21" s="16"/>
      <c r="HX21" s="23"/>
      <c r="HY21" s="16"/>
      <c r="HZ21" s="23"/>
      <c r="IA21" s="16"/>
      <c r="IB21" s="23"/>
      <c r="IC21" s="16"/>
      <c r="ID21" s="23"/>
      <c r="IE21" s="16"/>
      <c r="IF21" s="23"/>
      <c r="IG21" s="16"/>
      <c r="IH21" s="23"/>
      <c r="II21" s="16"/>
      <c r="IJ21" s="23"/>
      <c r="IK21" s="16"/>
      <c r="IL21" s="23"/>
      <c r="IM21" s="16"/>
      <c r="IN21" s="23"/>
      <c r="IO21" s="16"/>
      <c r="IP21" s="23"/>
      <c r="IQ21" s="16"/>
      <c r="IR21" s="23"/>
      <c r="IS21" s="16"/>
      <c r="IT21" s="23"/>
      <c r="IU21" s="16"/>
      <c r="IV21" s="23"/>
      <c r="IW21" s="16"/>
      <c r="IX21" s="23"/>
      <c r="IY21" s="16"/>
      <c r="IZ21" s="23"/>
      <c r="JA21" s="16"/>
      <c r="JB21" s="23"/>
      <c r="JC21" s="16"/>
      <c r="JD21" s="23"/>
      <c r="JE21" s="16"/>
      <c r="JF21" s="23"/>
      <c r="JG21" s="16"/>
      <c r="JH21" s="23"/>
      <c r="JI21" s="16"/>
      <c r="JJ21" s="23"/>
      <c r="JK21" s="16"/>
      <c r="JL21" s="23"/>
      <c r="JM21" s="16"/>
      <c r="JN21" s="23"/>
      <c r="JO21" s="16"/>
      <c r="JP21" s="23"/>
      <c r="JQ21" s="16"/>
      <c r="JR21" s="23"/>
      <c r="JS21" s="16"/>
      <c r="JT21" s="23"/>
      <c r="JU21" s="16"/>
      <c r="JV21" s="23"/>
      <c r="JW21" s="16"/>
      <c r="JX21" s="23"/>
      <c r="JY21" s="16"/>
      <c r="JZ21" s="23"/>
      <c r="KA21" s="16"/>
      <c r="KB21" s="23"/>
      <c r="KC21" s="16"/>
      <c r="KD21" s="23"/>
      <c r="KE21" s="16"/>
      <c r="KF21" s="23"/>
      <c r="KG21" s="16"/>
      <c r="KH21" s="23"/>
      <c r="KI21" s="16"/>
      <c r="KJ21" s="23"/>
      <c r="KK21" s="16"/>
      <c r="KL21" s="23"/>
      <c r="KM21" s="16"/>
      <c r="KN21" s="23"/>
      <c r="KO21" s="16"/>
      <c r="KP21" s="23"/>
      <c r="KQ21" s="16"/>
      <c r="KR21" s="23"/>
      <c r="KS21" s="16"/>
      <c r="KT21" s="23"/>
      <c r="KU21" s="16"/>
      <c r="KV21" s="23"/>
      <c r="KW21" s="16"/>
      <c r="KX21" s="23"/>
      <c r="KY21" s="16"/>
      <c r="KZ21" s="23"/>
      <c r="LA21" s="16"/>
      <c r="LB21" s="23"/>
      <c r="LC21" s="16"/>
      <c r="LD21" s="23"/>
      <c r="LE21" s="16"/>
      <c r="LF21" s="23"/>
      <c r="LG21" s="16"/>
      <c r="LH21" s="23"/>
      <c r="LI21" s="16"/>
      <c r="LJ21" s="23"/>
      <c r="LK21" s="16"/>
      <c r="LL21" s="23"/>
      <c r="LM21" s="16"/>
      <c r="LN21" s="23"/>
      <c r="LO21" s="16"/>
      <c r="LP21" s="23"/>
      <c r="LQ21" s="16"/>
      <c r="LR21" s="23"/>
      <c r="LS21" s="16"/>
      <c r="LT21" s="23"/>
      <c r="LU21" s="16"/>
      <c r="LV21" s="23"/>
      <c r="LW21" s="16"/>
      <c r="LX21" s="23"/>
      <c r="LY21" s="16"/>
      <c r="LZ21" s="23"/>
      <c r="MA21" s="16"/>
      <c r="MB21" s="23"/>
      <c r="MC21" s="16"/>
      <c r="MD21" s="23"/>
      <c r="ME21" s="16"/>
      <c r="MF21" s="23"/>
      <c r="MG21" s="16"/>
      <c r="MH21" s="23"/>
      <c r="MI21" s="16"/>
      <c r="MJ21" s="23"/>
      <c r="MK21" s="16"/>
      <c r="ML21" s="23"/>
      <c r="MM21" s="16"/>
      <c r="MN21" s="23"/>
      <c r="MO21" s="16"/>
      <c r="MP21" s="23"/>
      <c r="MQ21" s="16"/>
      <c r="MR21" s="23"/>
      <c r="MS21" s="16"/>
      <c r="MT21" s="23"/>
      <c r="MU21" s="16"/>
      <c r="MV21" s="23"/>
      <c r="MW21" s="16"/>
      <c r="MX21" s="23"/>
      <c r="MY21" s="16"/>
      <c r="MZ21" s="23"/>
      <c r="NA21" s="16"/>
      <c r="NB21" s="23"/>
      <c r="NC21" s="16"/>
      <c r="ND21" s="23"/>
      <c r="NE21" s="16"/>
      <c r="NF21" s="23"/>
      <c r="NG21" s="16"/>
      <c r="NH21" s="23"/>
      <c r="NI21" s="16"/>
      <c r="NJ21" s="23"/>
      <c r="NK21" s="16"/>
      <c r="NL21" s="23"/>
      <c r="NM21" s="16"/>
      <c r="NN21" s="23"/>
      <c r="NO21" s="16"/>
      <c r="NP21" s="23"/>
      <c r="NQ21" s="16"/>
      <c r="NR21" s="23"/>
      <c r="NS21" s="16"/>
      <c r="NT21" s="23"/>
      <c r="NU21" s="16"/>
      <c r="NV21" s="23"/>
      <c r="NW21" s="16"/>
      <c r="NX21" s="23"/>
      <c r="NY21" s="16"/>
      <c r="NZ21" s="23"/>
      <c r="OA21" s="16"/>
      <c r="OB21" s="23"/>
      <c r="OC21" s="16"/>
      <c r="OD21" s="23"/>
      <c r="OE21" s="16"/>
      <c r="OF21" s="23"/>
      <c r="OG21" s="16"/>
      <c r="OH21" s="23"/>
      <c r="OI21" s="16"/>
      <c r="OJ21" s="23"/>
      <c r="OK21" s="16"/>
      <c r="OL21" s="23"/>
      <c r="OM21" s="16"/>
      <c r="ON21" s="23"/>
      <c r="OO21" s="16"/>
      <c r="OP21" s="23"/>
      <c r="OQ21" s="16"/>
      <c r="OR21" s="23"/>
      <c r="OS21" s="16"/>
      <c r="OT21" s="23"/>
      <c r="OU21" s="16"/>
      <c r="OV21" s="23"/>
      <c r="OW21" s="16"/>
      <c r="OX21" s="23"/>
      <c r="OY21" s="16"/>
      <c r="OZ21" s="23"/>
      <c r="PA21" s="16"/>
      <c r="PB21" s="23"/>
      <c r="PC21" s="16"/>
      <c r="PD21" s="23"/>
      <c r="PE21" s="16"/>
      <c r="PF21" s="23"/>
      <c r="PG21" s="16"/>
      <c r="PH21" s="23"/>
      <c r="PI21" s="16"/>
      <c r="PJ21" s="23"/>
      <c r="PK21" s="16"/>
      <c r="PL21" s="23"/>
      <c r="PM21" s="16"/>
      <c r="PN21" s="23"/>
      <c r="PO21" s="16"/>
      <c r="PP21" s="23"/>
      <c r="PQ21" s="16"/>
      <c r="PR21" s="23"/>
      <c r="PS21" s="16"/>
      <c r="PT21" s="23"/>
      <c r="PU21" s="16"/>
      <c r="PV21" s="23"/>
      <c r="PW21" s="16"/>
      <c r="PX21" s="23"/>
      <c r="PY21" s="16"/>
      <c r="PZ21" s="23"/>
      <c r="QA21" s="16"/>
      <c r="QB21" s="23"/>
      <c r="QC21" s="16"/>
      <c r="QD21" s="23"/>
      <c r="QE21" s="16"/>
      <c r="QF21" s="23"/>
      <c r="QG21" s="16"/>
      <c r="QH21" s="23"/>
      <c r="QI21" s="16"/>
      <c r="QJ21" s="23"/>
      <c r="QK21" s="16"/>
      <c r="QL21" s="23"/>
      <c r="QM21" s="16"/>
      <c r="QN21" s="23"/>
      <c r="QO21" s="16"/>
      <c r="QP21" s="23"/>
      <c r="QQ21" s="16"/>
      <c r="QR21" s="23"/>
      <c r="QS21" s="16"/>
      <c r="QT21" s="23"/>
      <c r="QU21" s="16"/>
      <c r="QV21" s="23"/>
      <c r="QW21" s="16"/>
      <c r="QX21" s="23"/>
      <c r="QY21" s="16"/>
      <c r="QZ21" s="23"/>
      <c r="RA21" s="16"/>
      <c r="RB21" s="23"/>
      <c r="RC21" s="16"/>
      <c r="RD21" s="23"/>
      <c r="RE21" s="16"/>
      <c r="RF21" s="23"/>
      <c r="RG21" s="16"/>
      <c r="RH21" s="23"/>
      <c r="RI21" s="16"/>
      <c r="RJ21" s="23"/>
      <c r="RK21" s="16"/>
      <c r="RL21" s="23"/>
      <c r="RM21" s="16"/>
      <c r="RN21" s="23"/>
      <c r="RO21" s="16"/>
      <c r="RP21" s="23"/>
      <c r="RQ21" s="16"/>
      <c r="RR21" s="23"/>
      <c r="RS21" s="16"/>
      <c r="RT21" s="23"/>
      <c r="RU21" s="16"/>
      <c r="RV21" s="23"/>
      <c r="RW21" s="16"/>
      <c r="RX21" s="23"/>
      <c r="RY21" s="16"/>
      <c r="RZ21" s="23"/>
      <c r="SA21" s="16"/>
      <c r="SB21" s="23"/>
      <c r="SC21" s="16"/>
      <c r="SD21" s="23"/>
      <c r="SE21" s="16"/>
      <c r="SF21" s="23"/>
      <c r="SG21" s="16"/>
      <c r="SH21" s="23"/>
      <c r="SI21" s="16"/>
      <c r="SJ21" s="23"/>
      <c r="SK21" s="16"/>
      <c r="SL21" s="23"/>
      <c r="SM21" s="16"/>
      <c r="SN21" s="23"/>
      <c r="SO21" s="16"/>
      <c r="SP21" s="23"/>
      <c r="SQ21" s="16"/>
      <c r="SR21" s="23"/>
      <c r="SS21" s="16"/>
      <c r="ST21" s="23"/>
      <c r="SU21" s="16"/>
      <c r="SV21" s="23"/>
      <c r="SW21" s="16"/>
      <c r="SX21" s="23"/>
      <c r="SY21" s="16"/>
      <c r="SZ21" s="23"/>
      <c r="TA21" s="16"/>
      <c r="TB21" s="23"/>
      <c r="TC21" s="16"/>
      <c r="TD21" s="23"/>
      <c r="TE21" s="16"/>
      <c r="TF21" s="23"/>
      <c r="TG21" s="16"/>
      <c r="TH21" s="23"/>
      <c r="TI21" s="16"/>
      <c r="TJ21" s="23"/>
      <c r="TK21" s="16"/>
      <c r="TL21" s="23"/>
      <c r="TM21" s="16"/>
      <c r="TN21" s="23"/>
      <c r="TO21" s="16"/>
      <c r="TP21" s="23"/>
      <c r="TQ21" s="16"/>
      <c r="TR21" s="23"/>
      <c r="TS21" s="16"/>
      <c r="TT21" s="23"/>
      <c r="TU21" s="16"/>
      <c r="TV21" s="23"/>
      <c r="TW21" s="16"/>
      <c r="TX21" s="23"/>
      <c r="TY21" s="16"/>
      <c r="TZ21" s="23"/>
      <c r="UA21" s="16"/>
      <c r="UB21" s="23"/>
      <c r="UC21" s="16"/>
      <c r="UD21" s="23"/>
      <c r="UE21" s="16"/>
      <c r="UF21" s="23"/>
      <c r="UG21" s="16"/>
      <c r="UH21" s="23"/>
      <c r="UI21" s="16"/>
      <c r="UJ21" s="23"/>
      <c r="UK21" s="16"/>
      <c r="UL21" s="23"/>
      <c r="UM21" s="16"/>
      <c r="UN21" s="23"/>
      <c r="UO21" s="16"/>
      <c r="UP21" s="23"/>
      <c r="UQ21" s="16"/>
      <c r="UR21" s="23"/>
      <c r="US21" s="16"/>
      <c r="UT21" s="23"/>
      <c r="UU21" s="16"/>
      <c r="UV21" s="23"/>
      <c r="UW21" s="16"/>
      <c r="UX21" s="23"/>
      <c r="UY21" s="16"/>
      <c r="UZ21" s="23"/>
      <c r="VA21" s="16"/>
      <c r="VB21" s="23"/>
      <c r="VC21" s="16"/>
      <c r="VD21" s="23"/>
      <c r="VE21" s="16"/>
      <c r="VF21" s="23"/>
      <c r="VG21" s="16"/>
      <c r="VH21" s="23"/>
      <c r="VI21" s="16"/>
      <c r="VJ21" s="23"/>
      <c r="VK21" s="16"/>
      <c r="VL21" s="23"/>
      <c r="VM21" s="16"/>
      <c r="VN21" s="23"/>
      <c r="VO21" s="16"/>
      <c r="VP21" s="23"/>
      <c r="VQ21" s="16"/>
      <c r="VR21" s="23"/>
      <c r="VS21" s="16"/>
      <c r="VT21" s="23"/>
      <c r="VU21" s="16"/>
      <c r="VV21" s="23"/>
      <c r="VW21" s="16"/>
      <c r="VX21" s="23"/>
      <c r="VY21" s="16"/>
      <c r="VZ21" s="23"/>
      <c r="WA21" s="16"/>
      <c r="WB21" s="23"/>
      <c r="WC21" s="16"/>
      <c r="WD21" s="23"/>
      <c r="WE21" s="16"/>
      <c r="WF21" s="23"/>
      <c r="WG21" s="16"/>
      <c r="WH21" s="23"/>
      <c r="WI21" s="16"/>
      <c r="WJ21" s="23"/>
      <c r="WK21" s="16"/>
      <c r="WL21" s="23"/>
      <c r="WM21" s="16"/>
      <c r="WN21" s="23"/>
      <c r="WO21" s="16"/>
      <c r="WP21" s="23"/>
      <c r="WQ21" s="16"/>
      <c r="WR21" s="23"/>
      <c r="WS21" s="16"/>
      <c r="WT21" s="23"/>
      <c r="WU21" s="16"/>
      <c r="WV21" s="23"/>
      <c r="WW21" s="16"/>
      <c r="WX21" s="23"/>
      <c r="WY21" s="16"/>
      <c r="WZ21" s="23"/>
      <c r="XA21" s="16"/>
      <c r="XB21" s="23"/>
      <c r="XC21" s="16"/>
      <c r="XD21" s="23"/>
      <c r="XE21" s="16"/>
      <c r="XF21" s="23"/>
      <c r="XG21" s="16"/>
      <c r="XH21" s="23"/>
      <c r="XI21" s="16"/>
      <c r="XJ21" s="23"/>
      <c r="XK21" s="16"/>
      <c r="XL21" s="23"/>
      <c r="XM21" s="16"/>
      <c r="XN21" s="23"/>
      <c r="XO21" s="16"/>
      <c r="XP21" s="23"/>
      <c r="XQ21" s="16"/>
      <c r="XR21" s="23"/>
      <c r="XS21" s="16"/>
      <c r="XT21" s="23"/>
      <c r="XU21" s="16"/>
      <c r="XV21" s="23"/>
      <c r="XW21" s="16"/>
      <c r="XX21" s="23"/>
      <c r="XY21" s="16"/>
      <c r="XZ21" s="23"/>
      <c r="YA21" s="16"/>
      <c r="YB21" s="23"/>
      <c r="YC21" s="16"/>
      <c r="YD21" s="23"/>
      <c r="YE21" s="16"/>
      <c r="YF21" s="23"/>
      <c r="YG21" s="16"/>
      <c r="YH21" s="23"/>
      <c r="YI21" s="16"/>
      <c r="YJ21" s="23"/>
      <c r="YK21" s="16"/>
      <c r="YL21" s="23"/>
      <c r="YM21" s="16"/>
      <c r="YN21" s="23"/>
      <c r="YO21" s="16"/>
      <c r="YP21" s="23"/>
      <c r="YQ21" s="16"/>
      <c r="YR21" s="23"/>
      <c r="YS21" s="16"/>
      <c r="YT21" s="23"/>
      <c r="YU21" s="16"/>
      <c r="YV21" s="23"/>
      <c r="YW21" s="16"/>
      <c r="YX21" s="23"/>
      <c r="YY21" s="16"/>
      <c r="YZ21" s="23"/>
      <c r="ZA21" s="16"/>
      <c r="ZB21" s="23"/>
      <c r="ZC21" s="16"/>
      <c r="ZD21" s="23"/>
      <c r="ZE21" s="16"/>
      <c r="ZF21" s="23"/>
      <c r="ZG21" s="16"/>
      <c r="ZH21" s="23"/>
      <c r="ZI21" s="16"/>
      <c r="ZJ21" s="23"/>
      <c r="ZK21" s="16"/>
      <c r="ZL21" s="23"/>
      <c r="ZM21" s="16"/>
      <c r="ZN21" s="23"/>
      <c r="ZO21" s="16"/>
      <c r="ZP21" s="23"/>
      <c r="ZQ21" s="16"/>
      <c r="ZR21" s="23"/>
      <c r="ZS21" s="16"/>
      <c r="ZT21" s="23"/>
      <c r="ZU21" s="16"/>
      <c r="ZV21" s="23"/>
      <c r="ZW21" s="16"/>
      <c r="ZX21" s="23"/>
      <c r="ZY21" s="16"/>
      <c r="ZZ21" s="23"/>
      <c r="AAA21" s="16"/>
      <c r="AAB21" s="23"/>
      <c r="AAC21" s="16"/>
      <c r="AAD21" s="23"/>
      <c r="AAE21" s="16"/>
      <c r="AAF21" s="23"/>
      <c r="AAG21" s="16"/>
      <c r="AAH21" s="23"/>
      <c r="AAI21" s="16"/>
      <c r="AAJ21" s="23"/>
      <c r="AAK21" s="16"/>
      <c r="AAL21" s="23"/>
      <c r="AAM21" s="16"/>
      <c r="AAN21" s="23"/>
      <c r="AAO21" s="16"/>
      <c r="AAP21" s="23"/>
      <c r="AAQ21" s="16"/>
      <c r="AAR21" s="23"/>
      <c r="AAS21" s="16"/>
      <c r="AAT21" s="23"/>
      <c r="AAU21" s="16"/>
      <c r="AAV21" s="23"/>
      <c r="AAW21" s="16"/>
      <c r="AAX21" s="23"/>
      <c r="AAY21" s="16"/>
      <c r="AAZ21" s="23"/>
      <c r="ABA21" s="16"/>
      <c r="ABB21" s="23"/>
      <c r="ABC21" s="16"/>
      <c r="ABD21" s="23"/>
      <c r="ABE21" s="16"/>
      <c r="ABF21" s="23"/>
      <c r="ABG21" s="16"/>
      <c r="ABH21" s="23"/>
      <c r="ABI21" s="16"/>
      <c r="ABJ21" s="23"/>
      <c r="ABK21" s="16"/>
      <c r="ABL21" s="23"/>
      <c r="ABM21" s="16"/>
      <c r="ABN21" s="23"/>
      <c r="ABO21" s="16"/>
      <c r="ABP21" s="23"/>
      <c r="ABQ21" s="16"/>
      <c r="ABR21" s="23"/>
      <c r="ABS21" s="16"/>
      <c r="ABT21" s="23"/>
      <c r="ABU21" s="16"/>
      <c r="ABV21" s="23"/>
      <c r="ABW21" s="16"/>
      <c r="ABX21" s="23"/>
      <c r="ABY21" s="16"/>
      <c r="ABZ21" s="23"/>
      <c r="ACA21" s="16"/>
      <c r="ACB21" s="23"/>
      <c r="ACC21" s="16"/>
      <c r="ACD21" s="23"/>
      <c r="ACE21" s="16"/>
      <c r="ACF21" s="23"/>
      <c r="ACG21" s="16"/>
      <c r="ACH21" s="23"/>
      <c r="ACI21" s="16"/>
      <c r="ACJ21" s="23"/>
      <c r="ACK21" s="16"/>
      <c r="ACL21" s="23"/>
      <c r="ACM21" s="16"/>
      <c r="ACN21" s="23"/>
      <c r="ACO21" s="16"/>
      <c r="ACP21" s="23"/>
      <c r="ACQ21" s="16"/>
      <c r="ACR21" s="23"/>
      <c r="ACS21" s="16"/>
      <c r="ACT21" s="23"/>
      <c r="ACU21" s="16"/>
      <c r="ACV21" s="23"/>
      <c r="ACW21" s="16"/>
      <c r="ACX21" s="23"/>
      <c r="ACY21" s="16"/>
      <c r="ACZ21" s="23"/>
      <c r="ADA21" s="16"/>
      <c r="ADB21" s="23"/>
      <c r="ADC21" s="16"/>
      <c r="ADD21" s="23"/>
      <c r="ADE21" s="16"/>
      <c r="ADF21" s="23"/>
      <c r="ADG21" s="16"/>
      <c r="ADH21" s="23"/>
      <c r="ADI21" s="16"/>
      <c r="ADJ21" s="23"/>
      <c r="ADK21" s="16"/>
      <c r="ADL21" s="23"/>
      <c r="ADM21" s="16"/>
      <c r="ADN21" s="23"/>
      <c r="ADO21" s="16"/>
      <c r="ADP21" s="23"/>
      <c r="ADQ21" s="16"/>
      <c r="ADR21" s="23"/>
      <c r="ADS21" s="16"/>
      <c r="ADT21" s="23"/>
      <c r="ADU21" s="16"/>
      <c r="ADV21" s="23"/>
      <c r="ADW21" s="16"/>
      <c r="ADX21" s="23"/>
      <c r="ADY21" s="16"/>
      <c r="ADZ21" s="23"/>
      <c r="AEA21" s="16"/>
      <c r="AEB21" s="23"/>
      <c r="AEC21" s="16"/>
      <c r="AED21" s="23"/>
      <c r="AEE21" s="16"/>
      <c r="AEF21" s="23"/>
      <c r="AEG21" s="16"/>
      <c r="AEH21" s="23"/>
      <c r="AEI21" s="16"/>
      <c r="AEJ21" s="23"/>
      <c r="AEK21" s="16"/>
      <c r="AEL21" s="23"/>
      <c r="AEM21" s="16"/>
      <c r="AEN21" s="23"/>
      <c r="AEO21" s="16"/>
      <c r="AEP21" s="23"/>
      <c r="AEQ21" s="16"/>
      <c r="AER21" s="23"/>
      <c r="AES21" s="16"/>
      <c r="AET21" s="23"/>
      <c r="AEU21" s="16"/>
      <c r="AEV21" s="23"/>
      <c r="AEW21" s="16"/>
      <c r="AEX21" s="23"/>
      <c r="AEY21" s="16"/>
      <c r="AEZ21" s="23"/>
      <c r="AFA21" s="16"/>
      <c r="AFB21" s="23"/>
      <c r="AFC21" s="16"/>
      <c r="AFD21" s="23"/>
      <c r="AFE21" s="16"/>
      <c r="AFF21" s="23"/>
      <c r="AFG21" s="16"/>
      <c r="AFH21" s="23"/>
      <c r="AFI21" s="16"/>
      <c r="AFJ21" s="23"/>
      <c r="AFK21" s="16"/>
      <c r="AFL21" s="23"/>
      <c r="AFM21" s="16"/>
      <c r="AFN21" s="23"/>
      <c r="AFO21" s="16"/>
      <c r="AFP21" s="23"/>
      <c r="AFQ21" s="16"/>
      <c r="AFR21" s="23"/>
      <c r="AFS21" s="16"/>
      <c r="AFT21" s="23"/>
      <c r="AFU21" s="16"/>
      <c r="AFV21" s="23"/>
      <c r="AFW21" s="16"/>
      <c r="AFX21" s="23"/>
      <c r="AFY21" s="16"/>
      <c r="AFZ21" s="23"/>
      <c r="AGA21" s="16"/>
      <c r="AGB21" s="23"/>
      <c r="AGC21" s="16"/>
      <c r="AGD21" s="23"/>
      <c r="AGE21" s="16"/>
      <c r="AGF21" s="23"/>
      <c r="AGG21" s="16"/>
      <c r="AGH21" s="23"/>
      <c r="AGI21" s="16"/>
      <c r="AGJ21" s="23"/>
      <c r="AGK21" s="16"/>
      <c r="AGL21" s="23"/>
      <c r="AGM21" s="16"/>
      <c r="AGN21" s="23"/>
      <c r="AGO21" s="16"/>
      <c r="AGP21" s="23"/>
      <c r="AGQ21" s="16"/>
      <c r="AGR21" s="23"/>
      <c r="AGS21" s="16"/>
      <c r="AGT21" s="23"/>
      <c r="AGU21" s="16"/>
      <c r="AGV21" s="23"/>
      <c r="AGW21" s="16"/>
      <c r="AGX21" s="23"/>
      <c r="AGY21" s="16"/>
      <c r="AGZ21" s="23"/>
      <c r="AHA21" s="16"/>
      <c r="AHB21" s="23"/>
      <c r="AHC21" s="16"/>
      <c r="AHD21" s="23"/>
      <c r="AHE21" s="16"/>
      <c r="AHF21" s="23"/>
      <c r="AHG21" s="16"/>
      <c r="AHH21" s="23"/>
      <c r="AHI21" s="16"/>
      <c r="AHJ21" s="23"/>
      <c r="AHK21" s="16"/>
      <c r="AHL21" s="23"/>
      <c r="AHM21" s="16"/>
      <c r="AHN21" s="23"/>
      <c r="AHO21" s="16"/>
      <c r="AHP21" s="23"/>
      <c r="AHQ21" s="16"/>
      <c r="AHR21" s="23"/>
      <c r="AHS21" s="16"/>
      <c r="AHT21" s="23"/>
      <c r="AHU21" s="16"/>
      <c r="AHV21" s="23"/>
      <c r="AHW21" s="16"/>
      <c r="AHX21" s="23"/>
      <c r="AHY21" s="16"/>
      <c r="AHZ21" s="23"/>
      <c r="AIA21" s="16"/>
      <c r="AIB21" s="23"/>
      <c r="AIC21" s="16"/>
      <c r="AID21" s="23"/>
      <c r="AIE21" s="16"/>
      <c r="AIF21" s="23"/>
      <c r="AIG21" s="16"/>
      <c r="AIH21" s="23"/>
      <c r="AII21" s="16"/>
      <c r="AIJ21" s="23"/>
      <c r="AIK21" s="16"/>
      <c r="AIL21" s="23"/>
      <c r="AIM21" s="16"/>
      <c r="AIN21" s="23"/>
      <c r="AIO21" s="16"/>
      <c r="AIP21" s="23"/>
      <c r="AIQ21" s="16"/>
      <c r="AIR21" s="23"/>
      <c r="AIS21" s="16"/>
      <c r="AIT21" s="23"/>
      <c r="AIU21" s="16"/>
      <c r="AIV21" s="23"/>
      <c r="AIW21" s="16"/>
      <c r="AIX21" s="23"/>
      <c r="AIY21" s="16"/>
      <c r="AIZ21" s="23"/>
      <c r="AJA21" s="16"/>
      <c r="AJB21" s="23"/>
      <c r="AJC21" s="16"/>
      <c r="AJD21" s="23"/>
      <c r="AJE21" s="16"/>
      <c r="AJF21" s="23"/>
      <c r="AJG21" s="16"/>
      <c r="AJH21" s="23"/>
      <c r="AJI21" s="16"/>
      <c r="AJJ21" s="23"/>
      <c r="AJK21" s="16"/>
      <c r="AJL21" s="23"/>
      <c r="AJM21" s="16"/>
      <c r="AJN21" s="23"/>
      <c r="AJO21" s="16"/>
      <c r="AJP21" s="23"/>
      <c r="AJQ21" s="16"/>
      <c r="AJR21" s="23"/>
      <c r="AJS21" s="16"/>
      <c r="AJT21" s="23"/>
      <c r="AJU21" s="16"/>
      <c r="AJV21" s="23"/>
      <c r="AJW21" s="16"/>
      <c r="AJX21" s="23"/>
      <c r="AJY21" s="16"/>
      <c r="AJZ21" s="23"/>
      <c r="AKA21" s="16"/>
      <c r="AKB21" s="23"/>
      <c r="AKC21" s="16"/>
      <c r="AKD21" s="23"/>
      <c r="AKE21" s="16"/>
      <c r="AKF21" s="23"/>
      <c r="AKG21" s="16"/>
      <c r="AKH21" s="23"/>
      <c r="AKI21" s="16"/>
      <c r="AKJ21" s="23"/>
      <c r="AKK21" s="16"/>
      <c r="AKL21" s="23"/>
      <c r="AKM21" s="16"/>
      <c r="AKN21" s="23"/>
      <c r="AKO21" s="16"/>
      <c r="AKP21" s="23"/>
      <c r="AKQ21" s="16"/>
      <c r="AKR21" s="23"/>
      <c r="AKS21" s="16"/>
      <c r="AKT21" s="23"/>
      <c r="AKU21" s="16"/>
      <c r="AKV21" s="23"/>
      <c r="AKW21" s="16"/>
      <c r="AKX21" s="23"/>
      <c r="AKY21" s="16"/>
      <c r="AKZ21" s="23"/>
      <c r="ALA21" s="16"/>
      <c r="ALB21" s="23"/>
      <c r="ALC21" s="16"/>
      <c r="ALD21" s="23"/>
      <c r="ALE21" s="16"/>
      <c r="ALF21" s="23"/>
      <c r="ALG21" s="16"/>
      <c r="ALH21" s="23"/>
      <c r="ALI21" s="16"/>
      <c r="ALJ21" s="23"/>
      <c r="ALK21" s="16"/>
      <c r="ALL21" s="23"/>
      <c r="ALM21" s="16"/>
      <c r="ALN21" s="23"/>
      <c r="ALO21" s="16"/>
      <c r="ALP21" s="23"/>
      <c r="ALQ21" s="16"/>
      <c r="ALR21" s="23"/>
      <c r="ALS21" s="16"/>
      <c r="ALT21" s="23"/>
      <c r="ALU21" s="16"/>
      <c r="ALV21" s="23"/>
      <c r="ALW21" s="16"/>
      <c r="ALX21" s="23"/>
      <c r="ALY21" s="16"/>
      <c r="ALZ21" s="23"/>
      <c r="AMA21" s="16"/>
      <c r="AMB21" s="23"/>
      <c r="AMC21" s="16"/>
      <c r="AMD21" s="23"/>
      <c r="AME21" s="16"/>
      <c r="AMF21" s="23"/>
      <c r="AMG21" s="16"/>
      <c r="AMH21" s="23"/>
      <c r="AMI21" s="16"/>
      <c r="AMJ21" s="23"/>
      <c r="AMK21" s="16"/>
      <c r="AML21" s="23"/>
      <c r="AMM21" s="16"/>
      <c r="AMN21" s="23"/>
      <c r="AMO21" s="16"/>
      <c r="AMP21" s="23"/>
      <c r="AMQ21" s="16"/>
      <c r="AMR21" s="23"/>
      <c r="AMS21" s="16"/>
      <c r="AMT21" s="23"/>
      <c r="AMU21" s="16"/>
      <c r="AMV21" s="23"/>
      <c r="AMW21" s="16"/>
      <c r="AMX21" s="23"/>
      <c r="AMY21" s="16"/>
      <c r="AMZ21" s="23"/>
      <c r="ANA21" s="16"/>
      <c r="ANB21" s="23"/>
      <c r="ANC21" s="16"/>
      <c r="AND21" s="23"/>
      <c r="ANE21" s="16"/>
      <c r="ANF21" s="23"/>
      <c r="ANG21" s="16"/>
      <c r="ANH21" s="23"/>
      <c r="ANI21" s="16"/>
      <c r="ANJ21" s="23"/>
      <c r="ANK21" s="16"/>
      <c r="ANL21" s="23"/>
      <c r="ANM21" s="16"/>
      <c r="ANN21" s="23"/>
      <c r="ANO21" s="16"/>
      <c r="ANP21" s="23"/>
      <c r="ANQ21" s="16"/>
      <c r="ANR21" s="23"/>
      <c r="ANS21" s="16"/>
      <c r="ANT21" s="23"/>
      <c r="ANU21" s="16"/>
      <c r="ANV21" s="23"/>
      <c r="ANW21" s="16"/>
      <c r="ANX21" s="23"/>
      <c r="ANY21" s="16"/>
      <c r="ANZ21" s="23"/>
      <c r="AOA21" s="16"/>
      <c r="AOB21" s="23"/>
      <c r="AOC21" s="16"/>
      <c r="AOD21" s="23"/>
      <c r="AOE21" s="16"/>
      <c r="AOF21" s="23"/>
      <c r="AOG21" s="16"/>
      <c r="AOH21" s="23"/>
      <c r="AOI21" s="16"/>
      <c r="AOJ21" s="23"/>
      <c r="AOK21" s="16"/>
      <c r="AOL21" s="23"/>
      <c r="AOM21" s="16"/>
      <c r="AON21" s="23"/>
      <c r="AOO21" s="16"/>
      <c r="AOP21" s="23"/>
      <c r="AOQ21" s="16"/>
      <c r="AOR21" s="23"/>
      <c r="AOS21" s="16"/>
      <c r="AOT21" s="23"/>
      <c r="AOU21" s="16"/>
      <c r="AOV21" s="23"/>
      <c r="AOW21" s="16"/>
      <c r="AOX21" s="23"/>
      <c r="AOY21" s="16"/>
      <c r="AOZ21" s="23"/>
      <c r="APA21" s="16"/>
      <c r="APB21" s="23"/>
      <c r="APC21" s="16"/>
      <c r="APD21" s="23"/>
      <c r="APE21" s="16"/>
      <c r="APF21" s="23"/>
      <c r="APG21" s="16"/>
      <c r="APH21" s="23"/>
      <c r="API21" s="16"/>
      <c r="APJ21" s="23"/>
      <c r="APK21" s="16"/>
      <c r="APL21" s="23"/>
      <c r="APM21" s="16"/>
      <c r="APN21" s="23"/>
      <c r="APO21" s="16"/>
      <c r="APP21" s="23"/>
      <c r="APQ21" s="16"/>
      <c r="APR21" s="23"/>
      <c r="APS21" s="16"/>
      <c r="APT21" s="23"/>
      <c r="APU21" s="16"/>
      <c r="APV21" s="23"/>
      <c r="APW21" s="16"/>
      <c r="APX21" s="23"/>
      <c r="APY21" s="16"/>
      <c r="APZ21" s="23"/>
      <c r="AQA21" s="16"/>
      <c r="AQB21" s="23"/>
      <c r="AQC21" s="16"/>
      <c r="AQD21" s="23"/>
      <c r="AQE21" s="16"/>
      <c r="AQF21" s="23"/>
      <c r="AQG21" s="16"/>
      <c r="AQH21" s="23"/>
      <c r="AQI21" s="16"/>
      <c r="AQJ21" s="23"/>
      <c r="AQK21" s="16"/>
      <c r="AQL21" s="23"/>
      <c r="AQM21" s="16"/>
      <c r="AQN21" s="23"/>
      <c r="AQO21" s="16"/>
      <c r="AQP21" s="23"/>
      <c r="AQQ21" s="16"/>
      <c r="AQR21" s="23"/>
      <c r="AQS21" s="16"/>
      <c r="AQT21" s="23"/>
      <c r="AQU21" s="16"/>
      <c r="AQV21" s="23"/>
      <c r="AQW21" s="16"/>
      <c r="AQX21" s="23"/>
      <c r="AQY21" s="16"/>
      <c r="AQZ21" s="23"/>
      <c r="ARA21" s="16"/>
      <c r="ARB21" s="23"/>
      <c r="ARC21" s="16"/>
      <c r="ARD21" s="23"/>
      <c r="ARE21" s="16"/>
      <c r="ARF21" s="23"/>
      <c r="ARG21" s="16"/>
      <c r="ARH21" s="23"/>
      <c r="ARI21" s="16"/>
      <c r="ARJ21" s="23"/>
      <c r="ARK21" s="16"/>
      <c r="ARL21" s="23"/>
      <c r="ARM21" s="16"/>
      <c r="ARN21" s="23"/>
      <c r="ARO21" s="16"/>
      <c r="ARP21" s="23"/>
      <c r="ARQ21" s="16"/>
      <c r="ARR21" s="23"/>
      <c r="ARS21" s="16"/>
      <c r="ART21" s="23"/>
      <c r="ARU21" s="16"/>
      <c r="ARV21" s="23"/>
      <c r="ARW21" s="16"/>
      <c r="ARX21" s="23"/>
      <c r="ARY21" s="16"/>
      <c r="ARZ21" s="23"/>
      <c r="ASA21" s="16"/>
      <c r="ASB21" s="23"/>
      <c r="ASC21" s="16"/>
      <c r="ASD21" s="23"/>
      <c r="ASE21" s="16"/>
      <c r="ASF21" s="23"/>
      <c r="ASG21" s="16"/>
      <c r="ASH21" s="23"/>
      <c r="ASI21" s="16"/>
      <c r="ASJ21" s="23"/>
      <c r="ASK21" s="16"/>
      <c r="ASL21" s="23"/>
      <c r="ASM21" s="16"/>
      <c r="ASN21" s="23"/>
      <c r="ASO21" s="16"/>
      <c r="ASP21" s="23"/>
      <c r="ASQ21" s="16"/>
      <c r="ASR21" s="23"/>
      <c r="ASS21" s="16"/>
      <c r="AST21" s="23"/>
      <c r="ASU21" s="16"/>
      <c r="ASV21" s="23"/>
      <c r="ASW21" s="16"/>
      <c r="ASX21" s="23"/>
      <c r="ASY21" s="16"/>
      <c r="ASZ21" s="23"/>
      <c r="ATA21" s="16"/>
      <c r="ATB21" s="23"/>
      <c r="ATC21" s="16"/>
      <c r="ATD21" s="23"/>
      <c r="ATE21" s="16"/>
      <c r="ATF21" s="23"/>
      <c r="ATG21" s="16"/>
      <c r="ATH21" s="23"/>
      <c r="ATI21" s="16"/>
      <c r="ATJ21" s="23"/>
      <c r="ATK21" s="16"/>
      <c r="ATL21" s="23"/>
      <c r="ATM21" s="16"/>
      <c r="ATN21" s="23"/>
      <c r="ATO21" s="16"/>
      <c r="ATP21" s="23"/>
      <c r="ATQ21" s="16"/>
      <c r="ATR21" s="23"/>
      <c r="ATS21" s="16"/>
      <c r="ATT21" s="23"/>
      <c r="ATU21" s="16"/>
      <c r="ATV21" s="23"/>
      <c r="ATW21" s="16"/>
      <c r="ATX21" s="23"/>
      <c r="ATY21" s="16"/>
      <c r="ATZ21" s="23"/>
      <c r="AUA21" s="16"/>
      <c r="AUB21" s="23"/>
      <c r="AUC21" s="16"/>
      <c r="AUD21" s="23"/>
      <c r="AUE21" s="16"/>
      <c r="AUF21" s="23"/>
      <c r="AUG21" s="16"/>
      <c r="AUH21" s="23"/>
      <c r="AUI21" s="16"/>
      <c r="AUJ21" s="23"/>
      <c r="AUK21" s="16"/>
      <c r="AUL21" s="23"/>
      <c r="AUM21" s="16"/>
      <c r="AUN21" s="23"/>
      <c r="AUO21" s="16"/>
      <c r="AUP21" s="23"/>
      <c r="AUQ21" s="16"/>
      <c r="AUR21" s="23"/>
      <c r="AUS21" s="16"/>
      <c r="AUT21" s="23"/>
      <c r="AUU21" s="16"/>
      <c r="AUV21" s="23"/>
      <c r="AUW21" s="16"/>
      <c r="AUX21" s="23"/>
      <c r="AUY21" s="16"/>
      <c r="AUZ21" s="23"/>
      <c r="AVA21" s="16"/>
      <c r="AVB21" s="23"/>
      <c r="AVC21" s="16"/>
      <c r="AVD21" s="23"/>
      <c r="AVE21" s="16"/>
      <c r="AVF21" s="23"/>
      <c r="AVG21" s="16"/>
      <c r="AVH21" s="23"/>
      <c r="AVI21" s="16"/>
      <c r="AVJ21" s="23"/>
      <c r="AVK21" s="16"/>
      <c r="AVL21" s="23"/>
      <c r="AVM21" s="16"/>
      <c r="AVN21" s="23"/>
      <c r="AVO21" s="16"/>
      <c r="AVP21" s="23"/>
      <c r="AVQ21" s="16"/>
      <c r="AVR21" s="23"/>
      <c r="AVS21" s="16"/>
      <c r="AVT21" s="23"/>
      <c r="AVU21" s="16"/>
      <c r="AVV21" s="23"/>
      <c r="AVW21" s="16"/>
      <c r="AVX21" s="23"/>
      <c r="AVY21" s="16"/>
      <c r="AVZ21" s="23"/>
      <c r="AWA21" s="16"/>
      <c r="AWB21" s="23"/>
      <c r="AWC21" s="16"/>
      <c r="AWD21" s="23"/>
      <c r="AWE21" s="16"/>
      <c r="AWF21" s="23"/>
      <c r="AWG21" s="16"/>
      <c r="AWH21" s="23"/>
      <c r="AWI21" s="16"/>
      <c r="AWJ21" s="23"/>
      <c r="AWK21" s="16"/>
      <c r="AWL21" s="23"/>
      <c r="AWM21" s="16"/>
      <c r="AWN21" s="23"/>
      <c r="AWO21" s="16"/>
      <c r="AWP21" s="23"/>
      <c r="AWQ21" s="16"/>
      <c r="AWR21" s="23"/>
      <c r="AWS21" s="16"/>
      <c r="AWT21" s="23"/>
      <c r="AWU21" s="16"/>
      <c r="AWV21" s="23"/>
      <c r="AWW21" s="16"/>
      <c r="AWX21" s="23"/>
      <c r="AWY21" s="16"/>
      <c r="AWZ21" s="23"/>
      <c r="AXA21" s="16"/>
      <c r="AXB21" s="23"/>
      <c r="AXC21" s="16"/>
      <c r="AXD21" s="23"/>
      <c r="AXE21" s="16"/>
      <c r="AXF21" s="23"/>
      <c r="AXG21" s="16"/>
      <c r="AXH21" s="23"/>
      <c r="AXI21" s="16"/>
      <c r="AXJ21" s="23"/>
      <c r="AXK21" s="16"/>
      <c r="AXL21" s="23"/>
      <c r="AXM21" s="16"/>
      <c r="AXN21" s="23"/>
      <c r="AXO21" s="16"/>
      <c r="AXP21" s="23"/>
      <c r="AXQ21" s="16"/>
      <c r="AXR21" s="23"/>
      <c r="AXS21" s="16"/>
      <c r="AXT21" s="23"/>
      <c r="AXU21" s="16"/>
      <c r="AXV21" s="23"/>
      <c r="AXW21" s="16"/>
      <c r="AXX21" s="23"/>
      <c r="AXY21" s="16"/>
      <c r="AXZ21" s="23"/>
      <c r="AYA21" s="16"/>
      <c r="AYB21" s="23"/>
      <c r="AYC21" s="16"/>
      <c r="AYD21" s="23"/>
      <c r="AYE21" s="16"/>
      <c r="AYF21" s="23"/>
      <c r="AYG21" s="16"/>
      <c r="AYH21" s="23"/>
      <c r="AYI21" s="16"/>
      <c r="AYJ21" s="23"/>
      <c r="AYK21" s="16"/>
      <c r="AYL21" s="23"/>
      <c r="AYM21" s="16"/>
      <c r="AYN21" s="23"/>
      <c r="AYO21" s="16"/>
      <c r="AYP21" s="23"/>
      <c r="AYQ21" s="16"/>
      <c r="AYR21" s="23"/>
      <c r="AYS21" s="16"/>
      <c r="AYT21" s="23"/>
      <c r="AYU21" s="16"/>
      <c r="AYV21" s="23"/>
      <c r="AYW21" s="16"/>
      <c r="AYX21" s="23"/>
      <c r="AYY21" s="16"/>
      <c r="AYZ21" s="23"/>
      <c r="AZA21" s="16"/>
      <c r="AZB21" s="23"/>
      <c r="AZC21" s="16"/>
      <c r="AZD21" s="23"/>
      <c r="AZE21" s="16"/>
      <c r="AZF21" s="23"/>
      <c r="AZG21" s="16"/>
      <c r="AZH21" s="23"/>
      <c r="AZI21" s="16"/>
      <c r="AZJ21" s="23"/>
      <c r="AZK21" s="16"/>
      <c r="AZL21" s="23"/>
      <c r="AZM21" s="16"/>
      <c r="AZN21" s="23"/>
      <c r="AZO21" s="16"/>
      <c r="AZP21" s="23"/>
      <c r="AZQ21" s="16"/>
      <c r="AZR21" s="23"/>
      <c r="AZS21" s="16"/>
      <c r="AZT21" s="23"/>
      <c r="AZU21" s="16"/>
      <c r="AZV21" s="23"/>
      <c r="AZW21" s="16"/>
      <c r="AZX21" s="23"/>
      <c r="AZY21" s="16"/>
      <c r="AZZ21" s="23"/>
      <c r="BAA21" s="16"/>
      <c r="BAB21" s="23"/>
      <c r="BAC21" s="16"/>
      <c r="BAD21" s="23"/>
      <c r="BAE21" s="16"/>
      <c r="BAF21" s="23"/>
      <c r="BAG21" s="16"/>
      <c r="BAH21" s="23"/>
      <c r="BAI21" s="16"/>
      <c r="BAJ21" s="23"/>
      <c r="BAK21" s="16"/>
      <c r="BAL21" s="23"/>
      <c r="BAM21" s="16"/>
      <c r="BAN21" s="23"/>
      <c r="BAO21" s="16"/>
      <c r="BAP21" s="23"/>
      <c r="BAQ21" s="16"/>
      <c r="BAR21" s="23"/>
      <c r="BAS21" s="16"/>
      <c r="BAT21" s="23"/>
      <c r="BAU21" s="16"/>
      <c r="BAV21" s="23"/>
      <c r="BAW21" s="16"/>
      <c r="BAX21" s="23"/>
      <c r="BAY21" s="16"/>
      <c r="BAZ21" s="23"/>
      <c r="BBA21" s="16"/>
      <c r="BBB21" s="23"/>
      <c r="BBC21" s="16"/>
      <c r="BBD21" s="23"/>
      <c r="BBE21" s="16"/>
      <c r="BBF21" s="23"/>
      <c r="BBG21" s="16"/>
      <c r="BBH21" s="23"/>
      <c r="BBI21" s="16"/>
      <c r="BBJ21" s="23"/>
      <c r="BBK21" s="16"/>
      <c r="BBL21" s="23"/>
      <c r="BBM21" s="16"/>
      <c r="BBN21" s="23"/>
      <c r="BBO21" s="16"/>
      <c r="BBP21" s="23"/>
      <c r="BBQ21" s="16"/>
      <c r="BBR21" s="23"/>
      <c r="BBS21" s="16"/>
      <c r="BBT21" s="23"/>
      <c r="BBU21" s="16"/>
      <c r="BBV21" s="23"/>
      <c r="BBW21" s="16"/>
      <c r="BBX21" s="23"/>
      <c r="BBY21" s="16"/>
      <c r="BBZ21" s="23"/>
      <c r="BCA21" s="16"/>
      <c r="BCB21" s="23"/>
      <c r="BCC21" s="16"/>
      <c r="BCD21" s="23"/>
      <c r="BCE21" s="16"/>
      <c r="BCF21" s="23"/>
      <c r="BCG21" s="16"/>
      <c r="BCH21" s="23"/>
      <c r="BCI21" s="16"/>
      <c r="BCJ21" s="23"/>
      <c r="BCK21" s="16"/>
      <c r="BCL21" s="23"/>
      <c r="BCM21" s="16"/>
      <c r="BCN21" s="23"/>
      <c r="BCO21" s="16"/>
      <c r="BCP21" s="23"/>
      <c r="BCQ21" s="16"/>
      <c r="BCR21" s="23"/>
      <c r="BCS21" s="16"/>
      <c r="BCT21" s="23"/>
      <c r="BCU21" s="16"/>
      <c r="BCV21" s="23"/>
      <c r="BCW21" s="16"/>
      <c r="BCX21" s="23"/>
      <c r="BCY21" s="16"/>
      <c r="BCZ21" s="23"/>
      <c r="BDA21" s="16"/>
      <c r="BDB21" s="23"/>
      <c r="BDC21" s="16"/>
      <c r="BDD21" s="23"/>
      <c r="BDE21" s="16"/>
      <c r="BDF21" s="23"/>
      <c r="BDG21" s="16"/>
      <c r="BDH21" s="23"/>
      <c r="BDI21" s="16"/>
      <c r="BDJ21" s="23"/>
      <c r="BDK21" s="16"/>
      <c r="BDL21" s="23"/>
      <c r="BDM21" s="16"/>
      <c r="BDN21" s="23"/>
      <c r="BDO21" s="16"/>
      <c r="BDP21" s="23"/>
      <c r="BDQ21" s="16"/>
      <c r="BDR21" s="23"/>
      <c r="BDS21" s="16"/>
      <c r="BDT21" s="23"/>
      <c r="BDU21" s="16"/>
      <c r="BDV21" s="23"/>
      <c r="BDW21" s="16"/>
      <c r="BDX21" s="23"/>
      <c r="BDY21" s="16"/>
      <c r="BDZ21" s="23"/>
      <c r="BEA21" s="16"/>
      <c r="BEB21" s="23"/>
      <c r="BEC21" s="16"/>
      <c r="BED21" s="23"/>
      <c r="BEE21" s="16"/>
      <c r="BEF21" s="23"/>
      <c r="BEG21" s="16"/>
      <c r="BEH21" s="23"/>
      <c r="BEI21" s="16"/>
      <c r="BEJ21" s="23"/>
      <c r="BEK21" s="16"/>
      <c r="BEL21" s="23"/>
      <c r="BEM21" s="16"/>
      <c r="BEN21" s="23"/>
      <c r="BEO21" s="16"/>
      <c r="BEP21" s="23"/>
      <c r="BEQ21" s="16"/>
      <c r="BER21" s="23"/>
      <c r="BES21" s="16"/>
      <c r="BET21" s="23"/>
      <c r="BEU21" s="16"/>
      <c r="BEV21" s="23"/>
      <c r="BEW21" s="16"/>
      <c r="BEX21" s="23"/>
      <c r="BEY21" s="16"/>
      <c r="BEZ21" s="23"/>
      <c r="BFA21" s="16"/>
      <c r="BFB21" s="23"/>
      <c r="BFC21" s="16"/>
      <c r="BFD21" s="23"/>
      <c r="BFE21" s="16"/>
      <c r="BFF21" s="23"/>
      <c r="BFG21" s="16"/>
      <c r="BFH21" s="23"/>
      <c r="BFI21" s="16"/>
      <c r="BFJ21" s="23"/>
      <c r="BFK21" s="16"/>
      <c r="BFL21" s="23"/>
      <c r="BFM21" s="16"/>
      <c r="BFN21" s="23"/>
      <c r="BFO21" s="16"/>
      <c r="BFP21" s="23"/>
      <c r="BFQ21" s="16"/>
      <c r="BFR21" s="23"/>
      <c r="BFS21" s="16"/>
      <c r="BFT21" s="23"/>
      <c r="BFU21" s="16"/>
      <c r="BFV21" s="23"/>
      <c r="BFW21" s="16"/>
      <c r="BFX21" s="23"/>
      <c r="BFY21" s="16"/>
      <c r="BFZ21" s="23"/>
      <c r="BGA21" s="16"/>
      <c r="BGB21" s="23"/>
      <c r="BGC21" s="16"/>
      <c r="BGD21" s="23"/>
      <c r="BGE21" s="16"/>
      <c r="BGF21" s="23"/>
      <c r="BGG21" s="16"/>
      <c r="BGH21" s="23"/>
      <c r="BGI21" s="16"/>
      <c r="BGJ21" s="23"/>
      <c r="BGK21" s="16"/>
      <c r="BGL21" s="23"/>
      <c r="BGM21" s="16"/>
      <c r="BGN21" s="23"/>
      <c r="BGO21" s="16"/>
      <c r="BGP21" s="23"/>
      <c r="BGQ21" s="16"/>
      <c r="BGR21" s="23"/>
      <c r="BGS21" s="16"/>
      <c r="BGT21" s="23"/>
      <c r="BGU21" s="16"/>
      <c r="BGV21" s="23"/>
      <c r="BGW21" s="16"/>
      <c r="BGX21" s="23"/>
      <c r="BGY21" s="16"/>
      <c r="BGZ21" s="23"/>
      <c r="BHA21" s="16"/>
      <c r="BHB21" s="23"/>
      <c r="BHC21" s="16"/>
      <c r="BHD21" s="23"/>
      <c r="BHE21" s="16"/>
      <c r="BHF21" s="23"/>
      <c r="BHG21" s="16"/>
      <c r="BHH21" s="23"/>
      <c r="BHI21" s="16"/>
      <c r="BHJ21" s="23"/>
      <c r="BHK21" s="16"/>
      <c r="BHL21" s="23"/>
      <c r="BHM21" s="16"/>
      <c r="BHN21" s="23"/>
      <c r="BHO21" s="16"/>
      <c r="BHP21" s="23"/>
      <c r="BHQ21" s="16"/>
      <c r="BHR21" s="23"/>
      <c r="BHS21" s="16"/>
      <c r="BHT21" s="23"/>
      <c r="BHU21" s="16"/>
      <c r="BHV21" s="23"/>
      <c r="BHW21" s="16"/>
      <c r="BHX21" s="23"/>
      <c r="BHY21" s="16"/>
      <c r="BHZ21" s="23"/>
      <c r="BIA21" s="16"/>
      <c r="BIB21" s="23"/>
      <c r="BIC21" s="16"/>
      <c r="BID21" s="23"/>
      <c r="BIE21" s="16"/>
      <c r="BIF21" s="23"/>
      <c r="BIG21" s="16"/>
      <c r="BIH21" s="23"/>
      <c r="BII21" s="16"/>
      <c r="BIJ21" s="23"/>
      <c r="BIK21" s="16"/>
      <c r="BIL21" s="23"/>
      <c r="BIM21" s="16"/>
      <c r="BIN21" s="23"/>
      <c r="BIO21" s="16"/>
      <c r="BIP21" s="23"/>
      <c r="BIQ21" s="16"/>
      <c r="BIR21" s="23"/>
      <c r="BIS21" s="16"/>
      <c r="BIT21" s="23"/>
      <c r="BIU21" s="16"/>
      <c r="BIV21" s="23"/>
      <c r="BIW21" s="16"/>
      <c r="BIX21" s="23"/>
      <c r="BIY21" s="16"/>
      <c r="BIZ21" s="23"/>
      <c r="BJA21" s="16"/>
      <c r="BJB21" s="23"/>
      <c r="BJC21" s="16"/>
      <c r="BJD21" s="23"/>
      <c r="BJE21" s="16"/>
      <c r="BJF21" s="23"/>
      <c r="BJG21" s="16"/>
      <c r="BJH21" s="23"/>
      <c r="BJI21" s="16"/>
      <c r="BJJ21" s="23"/>
      <c r="BJK21" s="16"/>
      <c r="BJL21" s="23"/>
      <c r="BJM21" s="16"/>
      <c r="BJN21" s="23"/>
      <c r="BJO21" s="16"/>
      <c r="BJP21" s="23"/>
      <c r="BJQ21" s="16"/>
      <c r="BJR21" s="23"/>
      <c r="BJS21" s="16"/>
      <c r="BJT21" s="23"/>
      <c r="BJU21" s="16"/>
      <c r="BJV21" s="23"/>
      <c r="BJW21" s="16"/>
      <c r="BJX21" s="23"/>
      <c r="BJY21" s="16"/>
      <c r="BJZ21" s="23"/>
      <c r="BKA21" s="16"/>
      <c r="BKB21" s="23"/>
      <c r="BKC21" s="16"/>
      <c r="BKD21" s="23"/>
      <c r="BKE21" s="16"/>
      <c r="BKF21" s="23"/>
      <c r="BKG21" s="16"/>
      <c r="BKH21" s="23"/>
      <c r="BKI21" s="16"/>
      <c r="BKJ21" s="23"/>
      <c r="BKK21" s="16"/>
      <c r="BKL21" s="23"/>
      <c r="BKM21" s="16"/>
      <c r="BKN21" s="23"/>
      <c r="BKO21" s="16"/>
      <c r="BKP21" s="23"/>
      <c r="BKQ21" s="16"/>
      <c r="BKR21" s="23"/>
      <c r="BKS21" s="16"/>
      <c r="BKT21" s="23"/>
      <c r="BKU21" s="16"/>
      <c r="BKV21" s="23"/>
      <c r="BKW21" s="16"/>
      <c r="BKX21" s="23"/>
      <c r="BKY21" s="16"/>
      <c r="BKZ21" s="23"/>
      <c r="BLA21" s="16"/>
      <c r="BLB21" s="23"/>
      <c r="BLC21" s="16"/>
      <c r="BLD21" s="23"/>
      <c r="BLE21" s="16"/>
      <c r="BLF21" s="23"/>
      <c r="BLG21" s="16"/>
      <c r="BLH21" s="23"/>
      <c r="BLI21" s="16"/>
      <c r="BLJ21" s="23"/>
      <c r="BLK21" s="16"/>
      <c r="BLL21" s="23"/>
      <c r="BLM21" s="16"/>
      <c r="BLN21" s="23"/>
      <c r="BLO21" s="16"/>
      <c r="BLP21" s="23"/>
      <c r="BLQ21" s="16"/>
      <c r="BLR21" s="23"/>
      <c r="BLS21" s="16"/>
      <c r="BLT21" s="23"/>
      <c r="BLU21" s="16"/>
      <c r="BLV21" s="23"/>
      <c r="BLW21" s="16"/>
      <c r="BLX21" s="23"/>
      <c r="BLY21" s="16"/>
      <c r="BLZ21" s="23"/>
      <c r="BMA21" s="16"/>
      <c r="BMB21" s="23"/>
      <c r="BMC21" s="16"/>
      <c r="BMD21" s="23"/>
      <c r="BME21" s="16"/>
      <c r="BMF21" s="23"/>
      <c r="BMG21" s="16"/>
      <c r="BMH21" s="23"/>
      <c r="BMI21" s="16"/>
      <c r="BMJ21" s="23"/>
      <c r="BMK21" s="16"/>
      <c r="BML21" s="23"/>
      <c r="BMM21" s="16"/>
      <c r="BMN21" s="23"/>
      <c r="BMO21" s="16"/>
      <c r="BMP21" s="23"/>
      <c r="BMQ21" s="16"/>
      <c r="BMR21" s="23"/>
      <c r="BMS21" s="16"/>
      <c r="BMT21" s="23"/>
      <c r="BMU21" s="16"/>
      <c r="BMV21" s="23"/>
      <c r="BMW21" s="16"/>
      <c r="BMX21" s="23"/>
      <c r="BMY21" s="16"/>
      <c r="BMZ21" s="23"/>
      <c r="BNA21" s="16"/>
      <c r="BNB21" s="23"/>
      <c r="BNC21" s="16"/>
      <c r="BND21" s="23"/>
      <c r="BNE21" s="16"/>
      <c r="BNF21" s="23"/>
      <c r="BNG21" s="16"/>
      <c r="BNH21" s="23"/>
      <c r="BNI21" s="16"/>
      <c r="BNJ21" s="23"/>
      <c r="BNK21" s="16"/>
      <c r="BNL21" s="23"/>
      <c r="BNM21" s="16"/>
      <c r="BNN21" s="23"/>
      <c r="BNO21" s="16"/>
      <c r="BNP21" s="23"/>
      <c r="BNQ21" s="16"/>
      <c r="BNR21" s="23"/>
      <c r="BNS21" s="16"/>
      <c r="BNT21" s="23"/>
      <c r="BNU21" s="16"/>
      <c r="BNV21" s="23"/>
      <c r="BNW21" s="16"/>
      <c r="BNX21" s="23"/>
      <c r="BNY21" s="16"/>
      <c r="BNZ21" s="23"/>
      <c r="BOA21" s="16"/>
      <c r="BOB21" s="23"/>
      <c r="BOC21" s="16"/>
      <c r="BOD21" s="23"/>
      <c r="BOE21" s="16"/>
      <c r="BOF21" s="23"/>
      <c r="BOG21" s="16"/>
      <c r="BOH21" s="23"/>
      <c r="BOI21" s="16"/>
      <c r="BOJ21" s="23"/>
      <c r="BOK21" s="16"/>
      <c r="BOL21" s="23"/>
      <c r="BOM21" s="16"/>
      <c r="BON21" s="23"/>
      <c r="BOO21" s="16"/>
      <c r="BOP21" s="23"/>
      <c r="BOQ21" s="16"/>
      <c r="BOR21" s="23"/>
      <c r="BOS21" s="16"/>
      <c r="BOT21" s="23"/>
      <c r="BOU21" s="16"/>
      <c r="BOV21" s="23"/>
      <c r="BOW21" s="16"/>
      <c r="BOX21" s="23"/>
      <c r="BOY21" s="16"/>
      <c r="BOZ21" s="23"/>
      <c r="BPA21" s="16"/>
      <c r="BPB21" s="23"/>
      <c r="BPC21" s="16"/>
      <c r="BPD21" s="23"/>
      <c r="BPE21" s="16"/>
      <c r="BPF21" s="23"/>
      <c r="BPG21" s="16"/>
      <c r="BPH21" s="23"/>
      <c r="BPI21" s="16"/>
      <c r="BPJ21" s="23"/>
      <c r="BPK21" s="16"/>
      <c r="BPL21" s="23"/>
      <c r="BPM21" s="16"/>
      <c r="BPN21" s="23"/>
      <c r="BPO21" s="16"/>
      <c r="BPP21" s="23"/>
      <c r="BPQ21" s="16"/>
      <c r="BPR21" s="23"/>
      <c r="BPS21" s="16"/>
      <c r="BPT21" s="23"/>
      <c r="BPU21" s="16"/>
      <c r="BPV21" s="23"/>
      <c r="BPW21" s="16"/>
      <c r="BPX21" s="23"/>
      <c r="BPY21" s="16"/>
      <c r="BPZ21" s="23"/>
      <c r="BQA21" s="16"/>
      <c r="BQB21" s="23"/>
      <c r="BQC21" s="16"/>
      <c r="BQD21" s="23"/>
      <c r="BQE21" s="16"/>
      <c r="BQF21" s="23"/>
      <c r="BQG21" s="16"/>
      <c r="BQH21" s="23"/>
      <c r="BQI21" s="16"/>
      <c r="BQJ21" s="23"/>
      <c r="BQK21" s="16"/>
      <c r="BQL21" s="23"/>
      <c r="BQM21" s="16"/>
      <c r="BQN21" s="23"/>
      <c r="BQO21" s="16"/>
      <c r="BQP21" s="23"/>
      <c r="BQQ21" s="16"/>
      <c r="BQR21" s="23"/>
      <c r="BQS21" s="16"/>
      <c r="BQT21" s="23"/>
      <c r="BQU21" s="16"/>
      <c r="BQV21" s="23"/>
      <c r="BQW21" s="16"/>
      <c r="BQX21" s="23"/>
      <c r="BQY21" s="16"/>
      <c r="BQZ21" s="23"/>
      <c r="BRA21" s="16"/>
      <c r="BRB21" s="23"/>
      <c r="BRC21" s="16"/>
      <c r="BRD21" s="23"/>
      <c r="BRE21" s="16"/>
      <c r="BRF21" s="23"/>
      <c r="BRG21" s="16"/>
      <c r="BRH21" s="23"/>
      <c r="BRI21" s="16"/>
      <c r="BRJ21" s="23"/>
      <c r="BRK21" s="16"/>
      <c r="BRL21" s="23"/>
      <c r="BRM21" s="16"/>
      <c r="BRN21" s="23"/>
      <c r="BRO21" s="16"/>
      <c r="BRP21" s="23"/>
      <c r="BRQ21" s="16"/>
      <c r="BRR21" s="23"/>
      <c r="BRS21" s="16"/>
      <c r="BRT21" s="23"/>
      <c r="BRU21" s="16"/>
      <c r="BRV21" s="23"/>
      <c r="BRW21" s="16"/>
      <c r="BRX21" s="23"/>
      <c r="BRY21" s="16"/>
      <c r="BRZ21" s="23"/>
      <c r="BSA21" s="16"/>
      <c r="BSB21" s="23"/>
      <c r="BSC21" s="16"/>
      <c r="BSD21" s="23"/>
      <c r="BSE21" s="16"/>
      <c r="BSF21" s="23"/>
      <c r="BSG21" s="16"/>
      <c r="BSH21" s="23"/>
      <c r="BSI21" s="16"/>
      <c r="BSJ21" s="23"/>
      <c r="BSK21" s="16"/>
      <c r="BSL21" s="23"/>
      <c r="BSM21" s="16"/>
      <c r="BSN21" s="23"/>
      <c r="BSO21" s="16"/>
      <c r="BSP21" s="23"/>
      <c r="BSQ21" s="16"/>
      <c r="BSR21" s="23"/>
      <c r="BSS21" s="16"/>
      <c r="BST21" s="23"/>
      <c r="BSU21" s="16"/>
      <c r="BSV21" s="23"/>
      <c r="BSW21" s="16"/>
      <c r="BSX21" s="23"/>
      <c r="BSY21" s="16"/>
      <c r="BSZ21" s="23"/>
      <c r="BTA21" s="16"/>
      <c r="BTB21" s="23"/>
      <c r="BTC21" s="16"/>
      <c r="BTD21" s="23"/>
      <c r="BTE21" s="16"/>
      <c r="BTF21" s="23"/>
      <c r="BTG21" s="16"/>
      <c r="BTH21" s="23"/>
      <c r="BTI21" s="16"/>
      <c r="BTJ21" s="23"/>
      <c r="BTK21" s="16"/>
      <c r="BTL21" s="23"/>
      <c r="BTM21" s="16"/>
      <c r="BTN21" s="23"/>
      <c r="BTO21" s="16"/>
      <c r="BTP21" s="23"/>
      <c r="BTQ21" s="16"/>
      <c r="BTR21" s="23"/>
      <c r="BTS21" s="16"/>
      <c r="BTT21" s="23"/>
      <c r="BTU21" s="16"/>
      <c r="BTV21" s="23"/>
      <c r="BTW21" s="16"/>
      <c r="BTX21" s="23"/>
      <c r="BTY21" s="16"/>
      <c r="BTZ21" s="23"/>
      <c r="BUA21" s="16"/>
      <c r="BUB21" s="23"/>
      <c r="BUC21" s="16"/>
      <c r="BUD21" s="23"/>
      <c r="BUE21" s="16"/>
      <c r="BUF21" s="23"/>
      <c r="BUG21" s="16"/>
      <c r="BUH21" s="23"/>
      <c r="BUI21" s="16"/>
      <c r="BUJ21" s="23"/>
      <c r="BUK21" s="16"/>
      <c r="BUL21" s="23"/>
      <c r="BUM21" s="16"/>
      <c r="BUN21" s="23"/>
      <c r="BUO21" s="16"/>
      <c r="BUP21" s="23"/>
      <c r="BUQ21" s="16"/>
      <c r="BUR21" s="23"/>
      <c r="BUS21" s="16"/>
      <c r="BUT21" s="23"/>
      <c r="BUU21" s="16"/>
      <c r="BUV21" s="23"/>
      <c r="BUW21" s="16"/>
      <c r="BUX21" s="23"/>
      <c r="BUY21" s="16"/>
      <c r="BUZ21" s="23"/>
      <c r="BVA21" s="16"/>
      <c r="BVB21" s="23"/>
      <c r="BVC21" s="16"/>
      <c r="BVD21" s="23"/>
      <c r="BVE21" s="16"/>
      <c r="BVF21" s="23"/>
      <c r="BVG21" s="16"/>
      <c r="BVH21" s="23"/>
      <c r="BVI21" s="16"/>
      <c r="BVJ21" s="23"/>
      <c r="BVK21" s="16"/>
      <c r="BVL21" s="23"/>
      <c r="BVM21" s="16"/>
      <c r="BVN21" s="23"/>
      <c r="BVO21" s="16"/>
      <c r="BVP21" s="23"/>
      <c r="BVQ21" s="16"/>
      <c r="BVR21" s="23"/>
      <c r="BVS21" s="16"/>
      <c r="BVT21" s="23"/>
      <c r="BVU21" s="16"/>
      <c r="BVV21" s="23"/>
      <c r="BVW21" s="16"/>
      <c r="BVX21" s="23"/>
      <c r="BVY21" s="16"/>
      <c r="BVZ21" s="23"/>
      <c r="BWA21" s="16"/>
      <c r="BWB21" s="23"/>
      <c r="BWC21" s="16"/>
      <c r="BWD21" s="23"/>
      <c r="BWE21" s="16"/>
      <c r="BWF21" s="23"/>
      <c r="BWG21" s="16"/>
      <c r="BWH21" s="23"/>
      <c r="BWI21" s="16"/>
      <c r="BWJ21" s="23"/>
      <c r="BWK21" s="16"/>
      <c r="BWL21" s="23"/>
      <c r="BWM21" s="16"/>
      <c r="BWN21" s="23"/>
      <c r="BWO21" s="16"/>
      <c r="BWP21" s="23"/>
      <c r="BWQ21" s="16"/>
      <c r="BWR21" s="23"/>
      <c r="BWS21" s="16"/>
      <c r="BWT21" s="23"/>
      <c r="BWU21" s="16"/>
      <c r="BWV21" s="23"/>
      <c r="BWW21" s="16"/>
      <c r="BWX21" s="23"/>
      <c r="BWY21" s="16"/>
      <c r="BWZ21" s="23"/>
      <c r="BXA21" s="16"/>
      <c r="BXB21" s="23"/>
      <c r="BXC21" s="16"/>
      <c r="BXD21" s="23"/>
      <c r="BXE21" s="16"/>
      <c r="BXF21" s="23"/>
      <c r="BXG21" s="16"/>
      <c r="BXH21" s="23"/>
      <c r="BXI21" s="16"/>
      <c r="BXJ21" s="23"/>
      <c r="BXK21" s="16"/>
      <c r="BXL21" s="23"/>
      <c r="BXM21" s="16"/>
      <c r="BXN21" s="23"/>
      <c r="BXO21" s="16"/>
      <c r="BXP21" s="23"/>
      <c r="BXQ21" s="16"/>
      <c r="BXR21" s="23"/>
      <c r="BXS21" s="16"/>
      <c r="BXT21" s="23"/>
      <c r="BXU21" s="16"/>
      <c r="BXV21" s="23"/>
      <c r="BXW21" s="16"/>
      <c r="BXX21" s="23"/>
      <c r="BXY21" s="16"/>
      <c r="BXZ21" s="23"/>
      <c r="BYA21" s="16"/>
      <c r="BYB21" s="23"/>
      <c r="BYC21" s="16"/>
      <c r="BYD21" s="23"/>
      <c r="BYE21" s="16"/>
      <c r="BYF21" s="23"/>
      <c r="BYG21" s="16"/>
      <c r="BYH21" s="23"/>
      <c r="BYI21" s="16"/>
      <c r="BYJ21" s="23"/>
      <c r="BYK21" s="16"/>
      <c r="BYL21" s="23"/>
      <c r="BYM21" s="16"/>
      <c r="BYN21" s="23"/>
      <c r="BYO21" s="16"/>
      <c r="BYP21" s="23"/>
      <c r="BYQ21" s="16"/>
      <c r="BYR21" s="23"/>
      <c r="BYS21" s="16"/>
      <c r="BYT21" s="23"/>
      <c r="BYU21" s="16"/>
      <c r="BYV21" s="23"/>
      <c r="BYW21" s="16"/>
      <c r="BYX21" s="23"/>
      <c r="BYY21" s="16"/>
      <c r="BYZ21" s="23"/>
      <c r="BZA21" s="16"/>
      <c r="BZB21" s="23"/>
      <c r="BZC21" s="16"/>
      <c r="BZD21" s="23"/>
      <c r="BZE21" s="16"/>
      <c r="BZF21" s="23"/>
      <c r="BZG21" s="16"/>
      <c r="BZH21" s="23"/>
      <c r="BZI21" s="16"/>
      <c r="BZJ21" s="23"/>
      <c r="BZK21" s="16"/>
      <c r="BZL21" s="23"/>
      <c r="BZM21" s="16"/>
      <c r="BZN21" s="23"/>
      <c r="BZO21" s="16"/>
      <c r="BZP21" s="23"/>
      <c r="BZQ21" s="16"/>
      <c r="BZR21" s="23"/>
      <c r="BZS21" s="16"/>
      <c r="BZT21" s="23"/>
      <c r="BZU21" s="16"/>
      <c r="BZV21" s="23"/>
      <c r="BZW21" s="16"/>
      <c r="BZX21" s="23"/>
      <c r="BZY21" s="16"/>
      <c r="BZZ21" s="23"/>
      <c r="CAA21" s="16"/>
      <c r="CAB21" s="23"/>
      <c r="CAC21" s="16"/>
      <c r="CAD21" s="23"/>
      <c r="CAE21" s="16"/>
      <c r="CAF21" s="23"/>
      <c r="CAG21" s="16"/>
      <c r="CAH21" s="23"/>
      <c r="CAI21" s="16"/>
      <c r="CAJ21" s="23"/>
      <c r="CAK21" s="16"/>
      <c r="CAL21" s="23"/>
      <c r="CAM21" s="16"/>
      <c r="CAN21" s="23"/>
      <c r="CAO21" s="16"/>
      <c r="CAP21" s="23"/>
      <c r="CAQ21" s="16"/>
      <c r="CAR21" s="23"/>
      <c r="CAS21" s="16"/>
      <c r="CAT21" s="23"/>
      <c r="CAU21" s="16"/>
      <c r="CAV21" s="23"/>
      <c r="CAW21" s="16"/>
      <c r="CAX21" s="23"/>
      <c r="CAY21" s="16"/>
      <c r="CAZ21" s="23"/>
      <c r="CBA21" s="16"/>
      <c r="CBB21" s="23"/>
      <c r="CBC21" s="16"/>
      <c r="CBD21" s="23"/>
      <c r="CBE21" s="16"/>
      <c r="CBF21" s="23"/>
      <c r="CBG21" s="16"/>
      <c r="CBH21" s="23"/>
      <c r="CBI21" s="16"/>
      <c r="CBJ21" s="23"/>
      <c r="CBK21" s="16"/>
      <c r="CBL21" s="23"/>
      <c r="CBM21" s="16"/>
      <c r="CBN21" s="23"/>
      <c r="CBO21" s="16"/>
      <c r="CBP21" s="23"/>
      <c r="CBQ21" s="16"/>
      <c r="CBR21" s="23"/>
      <c r="CBS21" s="16"/>
      <c r="CBT21" s="23"/>
      <c r="CBU21" s="16"/>
      <c r="CBV21" s="23"/>
      <c r="CBW21" s="16"/>
      <c r="CBX21" s="23"/>
      <c r="CBY21" s="16"/>
      <c r="CBZ21" s="23"/>
      <c r="CCA21" s="16"/>
      <c r="CCB21" s="23"/>
      <c r="CCC21" s="16"/>
      <c r="CCD21" s="23"/>
      <c r="CCE21" s="16"/>
      <c r="CCF21" s="23"/>
      <c r="CCG21" s="16"/>
      <c r="CCH21" s="23"/>
      <c r="CCI21" s="16"/>
      <c r="CCJ21" s="23"/>
      <c r="CCK21" s="16"/>
      <c r="CCL21" s="23"/>
      <c r="CCM21" s="16"/>
      <c r="CCN21" s="23"/>
      <c r="CCO21" s="16"/>
      <c r="CCP21" s="23"/>
      <c r="CCQ21" s="16"/>
      <c r="CCR21" s="23"/>
      <c r="CCS21" s="16"/>
      <c r="CCT21" s="23"/>
      <c r="CCU21" s="16"/>
      <c r="CCV21" s="23"/>
      <c r="CCW21" s="16"/>
      <c r="CCX21" s="23"/>
      <c r="CCY21" s="16"/>
      <c r="CCZ21" s="23"/>
      <c r="CDA21" s="16"/>
      <c r="CDB21" s="23"/>
      <c r="CDC21" s="16"/>
      <c r="CDD21" s="23"/>
      <c r="CDE21" s="16"/>
      <c r="CDF21" s="23"/>
      <c r="CDG21" s="16"/>
      <c r="CDH21" s="23"/>
      <c r="CDI21" s="16"/>
      <c r="CDJ21" s="23"/>
      <c r="CDK21" s="16"/>
      <c r="CDL21" s="23"/>
      <c r="CDM21" s="16"/>
      <c r="CDN21" s="23"/>
      <c r="CDO21" s="16"/>
      <c r="CDP21" s="23"/>
      <c r="CDQ21" s="16"/>
      <c r="CDR21" s="23"/>
      <c r="CDS21" s="16"/>
      <c r="CDT21" s="23"/>
      <c r="CDU21" s="16"/>
      <c r="CDV21" s="23"/>
      <c r="CDW21" s="16"/>
      <c r="CDX21" s="23"/>
      <c r="CDY21" s="16"/>
      <c r="CDZ21" s="23"/>
      <c r="CEA21" s="16"/>
      <c r="CEB21" s="23"/>
      <c r="CEC21" s="16"/>
      <c r="CED21" s="23"/>
      <c r="CEE21" s="16"/>
      <c r="CEF21" s="23"/>
      <c r="CEG21" s="16"/>
      <c r="CEH21" s="23"/>
      <c r="CEI21" s="16"/>
      <c r="CEJ21" s="23"/>
      <c r="CEK21" s="16"/>
      <c r="CEL21" s="23"/>
      <c r="CEM21" s="16"/>
      <c r="CEN21" s="23"/>
      <c r="CEO21" s="16"/>
      <c r="CEP21" s="23"/>
      <c r="CEQ21" s="16"/>
      <c r="CER21" s="23"/>
      <c r="CES21" s="16"/>
      <c r="CET21" s="23"/>
      <c r="CEU21" s="16"/>
      <c r="CEV21" s="23"/>
      <c r="CEW21" s="16"/>
      <c r="CEX21" s="23"/>
      <c r="CEY21" s="16"/>
      <c r="CEZ21" s="23"/>
      <c r="CFA21" s="16"/>
      <c r="CFB21" s="23"/>
      <c r="CFC21" s="16"/>
      <c r="CFD21" s="23"/>
      <c r="CFE21" s="16"/>
      <c r="CFF21" s="23"/>
      <c r="CFG21" s="16"/>
      <c r="CFH21" s="23"/>
      <c r="CFI21" s="16"/>
      <c r="CFJ21" s="23"/>
      <c r="CFK21" s="16"/>
      <c r="CFL21" s="23"/>
      <c r="CFM21" s="16"/>
      <c r="CFN21" s="23"/>
      <c r="CFO21" s="16"/>
      <c r="CFP21" s="23"/>
      <c r="CFQ21" s="16"/>
      <c r="CFR21" s="23"/>
      <c r="CFS21" s="16"/>
      <c r="CFT21" s="23"/>
      <c r="CFU21" s="16"/>
      <c r="CFV21" s="23"/>
      <c r="CFW21" s="16"/>
      <c r="CFX21" s="23"/>
      <c r="CFY21" s="16"/>
      <c r="CFZ21" s="23"/>
      <c r="CGA21" s="16"/>
      <c r="CGB21" s="23"/>
      <c r="CGC21" s="16"/>
      <c r="CGD21" s="23"/>
      <c r="CGE21" s="16"/>
      <c r="CGF21" s="23"/>
      <c r="CGG21" s="16"/>
      <c r="CGH21" s="23"/>
      <c r="CGI21" s="16"/>
      <c r="CGJ21" s="23"/>
      <c r="CGK21" s="16"/>
      <c r="CGL21" s="23"/>
      <c r="CGM21" s="16"/>
      <c r="CGN21" s="23"/>
      <c r="CGO21" s="16"/>
      <c r="CGP21" s="23"/>
      <c r="CGQ21" s="16"/>
      <c r="CGR21" s="23"/>
      <c r="CGS21" s="16"/>
      <c r="CGT21" s="23"/>
      <c r="CGU21" s="16"/>
      <c r="CGV21" s="23"/>
      <c r="CGW21" s="16"/>
      <c r="CGX21" s="23"/>
      <c r="CGY21" s="16"/>
      <c r="CGZ21" s="23"/>
      <c r="CHA21" s="16"/>
      <c r="CHB21" s="23"/>
      <c r="CHC21" s="16"/>
      <c r="CHD21" s="23"/>
      <c r="CHE21" s="16"/>
      <c r="CHF21" s="23"/>
      <c r="CHG21" s="16"/>
      <c r="CHH21" s="23"/>
      <c r="CHI21" s="16"/>
      <c r="CHJ21" s="23"/>
      <c r="CHK21" s="16"/>
      <c r="CHL21" s="23"/>
      <c r="CHM21" s="16"/>
      <c r="CHN21" s="23"/>
      <c r="CHO21" s="16"/>
      <c r="CHP21" s="23"/>
      <c r="CHQ21" s="16"/>
      <c r="CHR21" s="23"/>
      <c r="CHS21" s="16"/>
      <c r="CHT21" s="23"/>
      <c r="CHU21" s="16"/>
      <c r="CHV21" s="23"/>
      <c r="CHW21" s="16"/>
      <c r="CHX21" s="23"/>
      <c r="CHY21" s="16"/>
      <c r="CHZ21" s="23"/>
      <c r="CIA21" s="16"/>
      <c r="CIB21" s="23"/>
      <c r="CIC21" s="16"/>
      <c r="CID21" s="23"/>
      <c r="CIE21" s="16"/>
      <c r="CIF21" s="23"/>
      <c r="CIG21" s="16"/>
      <c r="CIH21" s="23"/>
      <c r="CII21" s="16"/>
      <c r="CIJ21" s="23"/>
      <c r="CIK21" s="16"/>
      <c r="CIL21" s="23"/>
      <c r="CIM21" s="16"/>
      <c r="CIN21" s="23"/>
      <c r="CIO21" s="16"/>
      <c r="CIP21" s="23"/>
      <c r="CIQ21" s="16"/>
      <c r="CIR21" s="23"/>
      <c r="CIS21" s="16"/>
      <c r="CIT21" s="23"/>
      <c r="CIU21" s="16"/>
      <c r="CIV21" s="23"/>
      <c r="CIW21" s="16"/>
      <c r="CIX21" s="23"/>
      <c r="CIY21" s="16"/>
      <c r="CIZ21" s="23"/>
      <c r="CJA21" s="16"/>
      <c r="CJB21" s="23"/>
      <c r="CJC21" s="16"/>
      <c r="CJD21" s="23"/>
      <c r="CJE21" s="16"/>
      <c r="CJF21" s="23"/>
      <c r="CJG21" s="16"/>
      <c r="CJH21" s="23"/>
      <c r="CJI21" s="16"/>
      <c r="CJJ21" s="23"/>
      <c r="CJK21" s="16"/>
      <c r="CJL21" s="23"/>
      <c r="CJM21" s="16"/>
      <c r="CJN21" s="23"/>
      <c r="CJO21" s="16"/>
      <c r="CJP21" s="23"/>
      <c r="CJQ21" s="16"/>
      <c r="CJR21" s="23"/>
      <c r="CJS21" s="16"/>
      <c r="CJT21" s="23"/>
      <c r="CJU21" s="16"/>
      <c r="CJV21" s="23"/>
      <c r="CJW21" s="16"/>
      <c r="CJX21" s="23"/>
      <c r="CJY21" s="16"/>
      <c r="CJZ21" s="23"/>
      <c r="CKA21" s="16"/>
      <c r="CKB21" s="23"/>
      <c r="CKC21" s="16"/>
      <c r="CKD21" s="23"/>
      <c r="CKE21" s="16"/>
      <c r="CKF21" s="23"/>
      <c r="CKG21" s="16"/>
      <c r="CKH21" s="23"/>
      <c r="CKI21" s="16"/>
      <c r="CKJ21" s="23"/>
      <c r="CKK21" s="16"/>
      <c r="CKL21" s="23"/>
      <c r="CKM21" s="16"/>
      <c r="CKN21" s="23"/>
      <c r="CKO21" s="16"/>
      <c r="CKP21" s="23"/>
      <c r="CKQ21" s="16"/>
      <c r="CKR21" s="23"/>
      <c r="CKS21" s="16"/>
      <c r="CKT21" s="23"/>
      <c r="CKU21" s="16"/>
      <c r="CKV21" s="23"/>
      <c r="CKW21" s="16"/>
      <c r="CKX21" s="23"/>
      <c r="CKY21" s="16"/>
      <c r="CKZ21" s="23"/>
      <c r="CLA21" s="16"/>
      <c r="CLB21" s="23"/>
      <c r="CLC21" s="16"/>
      <c r="CLD21" s="23"/>
      <c r="CLE21" s="16"/>
      <c r="CLF21" s="23"/>
      <c r="CLG21" s="16"/>
      <c r="CLH21" s="23"/>
      <c r="CLI21" s="16"/>
      <c r="CLJ21" s="23"/>
      <c r="CLK21" s="16"/>
      <c r="CLL21" s="23"/>
      <c r="CLM21" s="16"/>
      <c r="CLN21" s="23"/>
      <c r="CLO21" s="16"/>
      <c r="CLP21" s="23"/>
      <c r="CLQ21" s="16"/>
      <c r="CLR21" s="23"/>
      <c r="CLS21" s="16"/>
      <c r="CLT21" s="23"/>
      <c r="CLU21" s="16"/>
      <c r="CLV21" s="23"/>
      <c r="CLW21" s="16"/>
      <c r="CLX21" s="23"/>
      <c r="CLY21" s="16"/>
      <c r="CLZ21" s="23"/>
      <c r="CMA21" s="16"/>
      <c r="CMB21" s="23"/>
      <c r="CMC21" s="16"/>
      <c r="CMD21" s="23"/>
      <c r="CME21" s="16"/>
      <c r="CMF21" s="23"/>
      <c r="CMG21" s="16"/>
      <c r="CMH21" s="23"/>
      <c r="CMI21" s="16"/>
      <c r="CMJ21" s="23"/>
      <c r="CMK21" s="16"/>
      <c r="CML21" s="23"/>
      <c r="CMM21" s="16"/>
      <c r="CMN21" s="23"/>
      <c r="CMO21" s="16"/>
      <c r="CMP21" s="23"/>
      <c r="CMQ21" s="16"/>
      <c r="CMR21" s="23"/>
      <c r="CMS21" s="16"/>
      <c r="CMT21" s="23"/>
      <c r="CMU21" s="16"/>
      <c r="CMV21" s="23"/>
      <c r="CMW21" s="16"/>
      <c r="CMX21" s="23"/>
      <c r="CMY21" s="16"/>
      <c r="CMZ21" s="23"/>
      <c r="CNA21" s="16"/>
      <c r="CNB21" s="23"/>
      <c r="CNC21" s="16"/>
      <c r="CND21" s="23"/>
      <c r="CNE21" s="16"/>
      <c r="CNF21" s="23"/>
      <c r="CNG21" s="16"/>
      <c r="CNH21" s="23"/>
      <c r="CNI21" s="16"/>
      <c r="CNJ21" s="23"/>
      <c r="CNK21" s="16"/>
      <c r="CNL21" s="23"/>
      <c r="CNM21" s="16"/>
      <c r="CNN21" s="23"/>
      <c r="CNO21" s="16"/>
      <c r="CNP21" s="23"/>
      <c r="CNQ21" s="16"/>
      <c r="CNR21" s="23"/>
      <c r="CNS21" s="16"/>
      <c r="CNT21" s="23"/>
      <c r="CNU21" s="16"/>
      <c r="CNV21" s="23"/>
      <c r="CNW21" s="16"/>
      <c r="CNX21" s="23"/>
      <c r="CNY21" s="16"/>
      <c r="CNZ21" s="23"/>
      <c r="COA21" s="16"/>
      <c r="COB21" s="23"/>
      <c r="COC21" s="16"/>
      <c r="COD21" s="23"/>
      <c r="COE21" s="16"/>
      <c r="COF21" s="23"/>
      <c r="COG21" s="16"/>
      <c r="COH21" s="23"/>
      <c r="COI21" s="16"/>
      <c r="COJ21" s="23"/>
      <c r="COK21" s="16"/>
      <c r="COL21" s="23"/>
      <c r="COM21" s="16"/>
      <c r="CON21" s="23"/>
      <c r="COO21" s="16"/>
      <c r="COP21" s="23"/>
      <c r="COQ21" s="16"/>
      <c r="COR21" s="23"/>
      <c r="COS21" s="16"/>
      <c r="COT21" s="23"/>
      <c r="COU21" s="16"/>
      <c r="COV21" s="23"/>
      <c r="COW21" s="16"/>
      <c r="COX21" s="23"/>
      <c r="COY21" s="16"/>
      <c r="COZ21" s="23"/>
      <c r="CPA21" s="16"/>
      <c r="CPB21" s="23"/>
      <c r="CPC21" s="16"/>
      <c r="CPD21" s="23"/>
      <c r="CPE21" s="16"/>
      <c r="CPF21" s="23"/>
      <c r="CPG21" s="16"/>
      <c r="CPH21" s="23"/>
      <c r="CPI21" s="16"/>
      <c r="CPJ21" s="23"/>
      <c r="CPK21" s="16"/>
      <c r="CPL21" s="23"/>
      <c r="CPM21" s="16"/>
      <c r="CPN21" s="23"/>
      <c r="CPO21" s="16"/>
      <c r="CPP21" s="23"/>
      <c r="CPQ21" s="16"/>
      <c r="CPR21" s="23"/>
      <c r="CPS21" s="16"/>
      <c r="CPT21" s="23"/>
      <c r="CPU21" s="16"/>
      <c r="CPV21" s="23"/>
      <c r="CPW21" s="16"/>
      <c r="CPX21" s="23"/>
      <c r="CPY21" s="16"/>
      <c r="CPZ21" s="23"/>
      <c r="CQA21" s="16"/>
      <c r="CQB21" s="23"/>
      <c r="CQC21" s="16"/>
      <c r="CQD21" s="23"/>
      <c r="CQE21" s="16"/>
      <c r="CQF21" s="23"/>
      <c r="CQG21" s="16"/>
      <c r="CQH21" s="23"/>
      <c r="CQI21" s="16"/>
      <c r="CQJ21" s="23"/>
      <c r="CQK21" s="16"/>
      <c r="CQL21" s="23"/>
      <c r="CQM21" s="16"/>
      <c r="CQN21" s="23"/>
      <c r="CQO21" s="16"/>
      <c r="CQP21" s="23"/>
      <c r="CQQ21" s="16"/>
      <c r="CQR21" s="23"/>
      <c r="CQS21" s="16"/>
      <c r="CQT21" s="23"/>
      <c r="CQU21" s="16"/>
      <c r="CQV21" s="23"/>
      <c r="CQW21" s="16"/>
      <c r="CQX21" s="23"/>
      <c r="CQY21" s="16"/>
      <c r="CQZ21" s="23"/>
      <c r="CRA21" s="16"/>
      <c r="CRB21" s="23"/>
      <c r="CRC21" s="16"/>
      <c r="CRD21" s="23"/>
      <c r="CRE21" s="16"/>
      <c r="CRF21" s="23"/>
      <c r="CRG21" s="16"/>
      <c r="CRH21" s="23"/>
      <c r="CRI21" s="16"/>
      <c r="CRJ21" s="23"/>
      <c r="CRK21" s="16"/>
      <c r="CRL21" s="23"/>
      <c r="CRM21" s="16"/>
      <c r="CRN21" s="23"/>
      <c r="CRO21" s="16"/>
      <c r="CRP21" s="23"/>
      <c r="CRQ21" s="16"/>
      <c r="CRR21" s="23"/>
      <c r="CRS21" s="16"/>
      <c r="CRT21" s="23"/>
      <c r="CRU21" s="16"/>
      <c r="CRV21" s="23"/>
      <c r="CRW21" s="16"/>
      <c r="CRX21" s="23"/>
      <c r="CRY21" s="16"/>
      <c r="CRZ21" s="23"/>
      <c r="CSA21" s="16"/>
      <c r="CSB21" s="23"/>
      <c r="CSC21" s="16"/>
      <c r="CSD21" s="23"/>
      <c r="CSE21" s="16"/>
      <c r="CSF21" s="23"/>
      <c r="CSG21" s="16"/>
      <c r="CSH21" s="23"/>
      <c r="CSI21" s="16"/>
      <c r="CSJ21" s="23"/>
      <c r="CSK21" s="16"/>
      <c r="CSL21" s="23"/>
      <c r="CSM21" s="16"/>
      <c r="CSN21" s="23"/>
      <c r="CSO21" s="16"/>
      <c r="CSP21" s="23"/>
      <c r="CSQ21" s="16"/>
      <c r="CSR21" s="23"/>
      <c r="CSS21" s="16"/>
      <c r="CST21" s="23"/>
      <c r="CSU21" s="16"/>
      <c r="CSV21" s="23"/>
      <c r="CSW21" s="16"/>
      <c r="CSX21" s="23"/>
      <c r="CSY21" s="16"/>
      <c r="CSZ21" s="23"/>
      <c r="CTA21" s="16"/>
      <c r="CTB21" s="23"/>
      <c r="CTC21" s="16"/>
      <c r="CTD21" s="23"/>
      <c r="CTE21" s="16"/>
      <c r="CTF21" s="23"/>
      <c r="CTG21" s="16"/>
      <c r="CTH21" s="23"/>
      <c r="CTI21" s="16"/>
      <c r="CTJ21" s="23"/>
      <c r="CTK21" s="16"/>
      <c r="CTL21" s="23"/>
      <c r="CTM21" s="16"/>
      <c r="CTN21" s="23"/>
      <c r="CTO21" s="16"/>
      <c r="CTP21" s="23"/>
      <c r="CTQ21" s="16"/>
      <c r="CTR21" s="23"/>
      <c r="CTS21" s="16"/>
      <c r="CTT21" s="23"/>
      <c r="CTU21" s="16"/>
      <c r="CTV21" s="23"/>
      <c r="CTW21" s="16"/>
      <c r="CTX21" s="23"/>
      <c r="CTY21" s="16"/>
      <c r="CTZ21" s="23"/>
      <c r="CUA21" s="16"/>
      <c r="CUB21" s="23"/>
      <c r="CUC21" s="16"/>
      <c r="CUD21" s="23"/>
      <c r="CUE21" s="16"/>
      <c r="CUF21" s="23"/>
      <c r="CUG21" s="16"/>
      <c r="CUH21" s="23"/>
      <c r="CUI21" s="16"/>
      <c r="CUJ21" s="23"/>
      <c r="CUK21" s="16"/>
      <c r="CUL21" s="23"/>
      <c r="CUM21" s="16"/>
      <c r="CUN21" s="23"/>
      <c r="CUO21" s="16"/>
      <c r="CUP21" s="23"/>
      <c r="CUQ21" s="16"/>
      <c r="CUR21" s="23"/>
      <c r="CUS21" s="16"/>
      <c r="CUT21" s="23"/>
      <c r="CUU21" s="16"/>
      <c r="CUV21" s="23"/>
      <c r="CUW21" s="16"/>
      <c r="CUX21" s="23"/>
      <c r="CUY21" s="16"/>
      <c r="CUZ21" s="23"/>
      <c r="CVA21" s="16"/>
      <c r="CVB21" s="23"/>
      <c r="CVC21" s="16"/>
      <c r="CVD21" s="23"/>
      <c r="CVE21" s="16"/>
      <c r="CVF21" s="23"/>
      <c r="CVG21" s="16"/>
      <c r="CVH21" s="23"/>
      <c r="CVI21" s="16"/>
      <c r="CVJ21" s="23"/>
      <c r="CVK21" s="16"/>
      <c r="CVL21" s="23"/>
      <c r="CVM21" s="16"/>
      <c r="CVN21" s="23"/>
      <c r="CVO21" s="16"/>
      <c r="CVP21" s="23"/>
      <c r="CVQ21" s="16"/>
      <c r="CVR21" s="23"/>
      <c r="CVS21" s="16"/>
      <c r="CVT21" s="23"/>
      <c r="CVU21" s="16"/>
      <c r="CVV21" s="23"/>
      <c r="CVW21" s="16"/>
      <c r="CVX21" s="23"/>
      <c r="CVY21" s="16"/>
      <c r="CVZ21" s="23"/>
      <c r="CWA21" s="16"/>
      <c r="CWB21" s="23"/>
      <c r="CWC21" s="16"/>
      <c r="CWD21" s="23"/>
      <c r="CWE21" s="16"/>
      <c r="CWF21" s="23"/>
      <c r="CWG21" s="16"/>
      <c r="CWH21" s="23"/>
      <c r="CWI21" s="16"/>
      <c r="CWJ21" s="23"/>
      <c r="CWK21" s="16"/>
      <c r="CWL21" s="23"/>
      <c r="CWM21" s="16"/>
      <c r="CWN21" s="23"/>
      <c r="CWO21" s="16"/>
      <c r="CWP21" s="23"/>
      <c r="CWQ21" s="16"/>
      <c r="CWR21" s="23"/>
      <c r="CWS21" s="16"/>
      <c r="CWT21" s="23"/>
      <c r="CWU21" s="16"/>
      <c r="CWV21" s="23"/>
      <c r="CWW21" s="16"/>
      <c r="CWX21" s="23"/>
      <c r="CWY21" s="16"/>
      <c r="CWZ21" s="23"/>
      <c r="CXA21" s="16"/>
      <c r="CXB21" s="23"/>
      <c r="CXC21" s="16"/>
      <c r="CXD21" s="23"/>
      <c r="CXE21" s="16"/>
      <c r="CXF21" s="23"/>
      <c r="CXG21" s="16"/>
      <c r="CXH21" s="23"/>
      <c r="CXI21" s="16"/>
      <c r="CXJ21" s="23"/>
      <c r="CXK21" s="16"/>
      <c r="CXL21" s="23"/>
      <c r="CXM21" s="16"/>
      <c r="CXN21" s="23"/>
      <c r="CXO21" s="16"/>
      <c r="CXP21" s="23"/>
      <c r="CXQ21" s="16"/>
      <c r="CXR21" s="23"/>
      <c r="CXS21" s="16"/>
      <c r="CXT21" s="23"/>
      <c r="CXU21" s="16"/>
      <c r="CXV21" s="23"/>
      <c r="CXW21" s="16"/>
      <c r="CXX21" s="23"/>
      <c r="CXY21" s="16"/>
      <c r="CXZ21" s="23"/>
      <c r="CYA21" s="16"/>
      <c r="CYB21" s="23"/>
      <c r="CYC21" s="16"/>
      <c r="CYD21" s="23"/>
      <c r="CYE21" s="16"/>
      <c r="CYF21" s="23"/>
      <c r="CYG21" s="16"/>
      <c r="CYH21" s="23"/>
      <c r="CYI21" s="16"/>
      <c r="CYJ21" s="23"/>
      <c r="CYK21" s="16"/>
      <c r="CYL21" s="23"/>
      <c r="CYM21" s="16"/>
      <c r="CYN21" s="23"/>
      <c r="CYO21" s="16"/>
      <c r="CYP21" s="23"/>
      <c r="CYQ21" s="16"/>
      <c r="CYR21" s="23"/>
      <c r="CYS21" s="16"/>
      <c r="CYT21" s="23"/>
      <c r="CYU21" s="16"/>
      <c r="CYV21" s="23"/>
      <c r="CYW21" s="16"/>
      <c r="CYX21" s="23"/>
      <c r="CYY21" s="16"/>
      <c r="CYZ21" s="23"/>
      <c r="CZA21" s="16"/>
      <c r="CZB21" s="23"/>
      <c r="CZC21" s="16"/>
      <c r="CZD21" s="23"/>
      <c r="CZE21" s="16"/>
      <c r="CZF21" s="23"/>
      <c r="CZG21" s="16"/>
      <c r="CZH21" s="23"/>
      <c r="CZI21" s="16"/>
      <c r="CZJ21" s="23"/>
      <c r="CZK21" s="16"/>
      <c r="CZL21" s="23"/>
      <c r="CZM21" s="16"/>
      <c r="CZN21" s="23"/>
      <c r="CZO21" s="16"/>
      <c r="CZP21" s="23"/>
      <c r="CZQ21" s="16"/>
      <c r="CZR21" s="23"/>
      <c r="CZS21" s="16"/>
      <c r="CZT21" s="23"/>
      <c r="CZU21" s="16"/>
      <c r="CZV21" s="23"/>
      <c r="CZW21" s="16"/>
      <c r="CZX21" s="23"/>
      <c r="CZY21" s="16"/>
      <c r="CZZ21" s="23"/>
      <c r="DAA21" s="16"/>
      <c r="DAB21" s="23"/>
      <c r="DAC21" s="16"/>
      <c r="DAD21" s="23"/>
      <c r="DAE21" s="16"/>
      <c r="DAF21" s="23"/>
      <c r="DAG21" s="16"/>
      <c r="DAH21" s="23"/>
      <c r="DAI21" s="16"/>
      <c r="DAJ21" s="23"/>
      <c r="DAK21" s="16"/>
      <c r="DAL21" s="23"/>
      <c r="DAM21" s="16"/>
      <c r="DAN21" s="23"/>
      <c r="DAO21" s="16"/>
      <c r="DAP21" s="23"/>
      <c r="DAQ21" s="16"/>
      <c r="DAR21" s="23"/>
      <c r="DAS21" s="16"/>
      <c r="DAT21" s="23"/>
      <c r="DAU21" s="16"/>
      <c r="DAV21" s="23"/>
      <c r="DAW21" s="16"/>
      <c r="DAX21" s="23"/>
      <c r="DAY21" s="16"/>
      <c r="DAZ21" s="23"/>
      <c r="DBA21" s="16"/>
      <c r="DBB21" s="23"/>
      <c r="DBC21" s="16"/>
      <c r="DBD21" s="23"/>
      <c r="DBE21" s="16"/>
      <c r="DBF21" s="23"/>
      <c r="DBG21" s="16"/>
      <c r="DBH21" s="23"/>
      <c r="DBI21" s="16"/>
      <c r="DBJ21" s="23"/>
      <c r="DBK21" s="16"/>
      <c r="DBL21" s="23"/>
      <c r="DBM21" s="16"/>
      <c r="DBN21" s="23"/>
      <c r="DBO21" s="16"/>
      <c r="DBP21" s="23"/>
      <c r="DBQ21" s="16"/>
      <c r="DBR21" s="23"/>
      <c r="DBS21" s="16"/>
      <c r="DBT21" s="23"/>
      <c r="DBU21" s="16"/>
      <c r="DBV21" s="23"/>
      <c r="DBW21" s="16"/>
      <c r="DBX21" s="23"/>
      <c r="DBY21" s="16"/>
      <c r="DBZ21" s="23"/>
      <c r="DCA21" s="16"/>
      <c r="DCB21" s="23"/>
      <c r="DCC21" s="16"/>
      <c r="DCD21" s="23"/>
      <c r="DCE21" s="16"/>
      <c r="DCF21" s="23"/>
      <c r="DCG21" s="16"/>
      <c r="DCH21" s="23"/>
      <c r="DCI21" s="16"/>
      <c r="DCJ21" s="23"/>
      <c r="DCK21" s="16"/>
      <c r="DCL21" s="23"/>
      <c r="DCM21" s="16"/>
      <c r="DCN21" s="23"/>
      <c r="DCO21" s="16"/>
      <c r="DCP21" s="23"/>
      <c r="DCQ21" s="16"/>
      <c r="DCR21" s="23"/>
      <c r="DCS21" s="16"/>
      <c r="DCT21" s="23"/>
      <c r="DCU21" s="16"/>
      <c r="DCV21" s="23"/>
      <c r="DCW21" s="16"/>
      <c r="DCX21" s="23"/>
      <c r="DCY21" s="16"/>
      <c r="DCZ21" s="23"/>
      <c r="DDA21" s="16"/>
      <c r="DDB21" s="23"/>
      <c r="DDC21" s="16"/>
      <c r="DDD21" s="23"/>
      <c r="DDE21" s="16"/>
      <c r="DDF21" s="23"/>
      <c r="DDG21" s="16"/>
      <c r="DDH21" s="23"/>
      <c r="DDI21" s="16"/>
      <c r="DDJ21" s="23"/>
      <c r="DDK21" s="16"/>
      <c r="DDL21" s="23"/>
      <c r="DDM21" s="16"/>
      <c r="DDN21" s="23"/>
      <c r="DDO21" s="16"/>
      <c r="DDP21" s="23"/>
      <c r="DDQ21" s="16"/>
      <c r="DDR21" s="23"/>
      <c r="DDS21" s="16"/>
      <c r="DDT21" s="23"/>
      <c r="DDU21" s="16"/>
      <c r="DDV21" s="23"/>
      <c r="DDW21" s="16"/>
      <c r="DDX21" s="23"/>
      <c r="DDY21" s="16"/>
      <c r="DDZ21" s="23"/>
      <c r="DEA21" s="16"/>
      <c r="DEB21" s="23"/>
      <c r="DEC21" s="16"/>
      <c r="DED21" s="23"/>
      <c r="DEE21" s="16"/>
      <c r="DEF21" s="23"/>
      <c r="DEG21" s="16"/>
      <c r="DEH21" s="23"/>
      <c r="DEI21" s="16"/>
      <c r="DEJ21" s="23"/>
      <c r="DEK21" s="16"/>
      <c r="DEL21" s="23"/>
      <c r="DEM21" s="16"/>
      <c r="DEN21" s="23"/>
      <c r="DEO21" s="16"/>
      <c r="DEP21" s="23"/>
      <c r="DEQ21" s="16"/>
      <c r="DER21" s="23"/>
      <c r="DES21" s="16"/>
      <c r="DET21" s="23"/>
      <c r="DEU21" s="16"/>
      <c r="DEV21" s="23"/>
      <c r="DEW21" s="16"/>
      <c r="DEX21" s="23"/>
      <c r="DEY21" s="16"/>
      <c r="DEZ21" s="23"/>
      <c r="DFA21" s="16"/>
      <c r="DFB21" s="23"/>
      <c r="DFC21" s="16"/>
      <c r="DFD21" s="23"/>
      <c r="DFE21" s="16"/>
      <c r="DFF21" s="23"/>
      <c r="DFG21" s="16"/>
      <c r="DFH21" s="23"/>
      <c r="DFI21" s="16"/>
      <c r="DFJ21" s="23"/>
      <c r="DFK21" s="16"/>
      <c r="DFL21" s="23"/>
      <c r="DFM21" s="16"/>
      <c r="DFN21" s="23"/>
      <c r="DFO21" s="16"/>
      <c r="DFP21" s="23"/>
      <c r="DFQ21" s="16"/>
      <c r="DFR21" s="23"/>
      <c r="DFS21" s="16"/>
      <c r="DFT21" s="23"/>
      <c r="DFU21" s="16"/>
      <c r="DFV21" s="23"/>
      <c r="DFW21" s="16"/>
      <c r="DFX21" s="23"/>
      <c r="DFY21" s="16"/>
      <c r="DFZ21" s="23"/>
      <c r="DGA21" s="16"/>
      <c r="DGB21" s="23"/>
      <c r="DGC21" s="16"/>
      <c r="DGD21" s="23"/>
      <c r="DGE21" s="16"/>
      <c r="DGF21" s="23"/>
      <c r="DGG21" s="16"/>
      <c r="DGH21" s="23"/>
      <c r="DGI21" s="16"/>
      <c r="DGJ21" s="23"/>
      <c r="DGK21" s="16"/>
      <c r="DGL21" s="23"/>
      <c r="DGM21" s="16"/>
      <c r="DGN21" s="23"/>
      <c r="DGO21" s="16"/>
      <c r="DGP21" s="23"/>
      <c r="DGQ21" s="16"/>
      <c r="DGR21" s="23"/>
      <c r="DGS21" s="16"/>
      <c r="DGT21" s="23"/>
      <c r="DGU21" s="16"/>
      <c r="DGV21" s="23"/>
      <c r="DGW21" s="16"/>
      <c r="DGX21" s="23"/>
      <c r="DGY21" s="16"/>
      <c r="DGZ21" s="23"/>
      <c r="DHA21" s="16"/>
      <c r="DHB21" s="23"/>
      <c r="DHC21" s="16"/>
      <c r="DHD21" s="23"/>
      <c r="DHE21" s="16"/>
      <c r="DHF21" s="23"/>
      <c r="DHG21" s="16"/>
      <c r="DHH21" s="23"/>
      <c r="DHI21" s="16"/>
      <c r="DHJ21" s="23"/>
      <c r="DHK21" s="16"/>
      <c r="DHL21" s="23"/>
      <c r="DHM21" s="16"/>
      <c r="DHN21" s="23"/>
      <c r="DHO21" s="16"/>
      <c r="DHP21" s="23"/>
      <c r="DHQ21" s="16"/>
      <c r="DHR21" s="23"/>
      <c r="DHS21" s="16"/>
      <c r="DHT21" s="23"/>
      <c r="DHU21" s="16"/>
      <c r="DHV21" s="23"/>
      <c r="DHW21" s="16"/>
      <c r="DHX21" s="23"/>
      <c r="DHY21" s="16"/>
      <c r="DHZ21" s="23"/>
      <c r="DIA21" s="16"/>
      <c r="DIB21" s="23"/>
      <c r="DIC21" s="16"/>
      <c r="DID21" s="23"/>
      <c r="DIE21" s="16"/>
      <c r="DIF21" s="23"/>
      <c r="DIG21" s="16"/>
      <c r="DIH21" s="23"/>
      <c r="DII21" s="16"/>
      <c r="DIJ21" s="23"/>
      <c r="DIK21" s="16"/>
      <c r="DIL21" s="23"/>
      <c r="DIM21" s="16"/>
      <c r="DIN21" s="23"/>
      <c r="DIO21" s="16"/>
      <c r="DIP21" s="23"/>
      <c r="DIQ21" s="16"/>
      <c r="DIR21" s="23"/>
      <c r="DIS21" s="16"/>
      <c r="DIT21" s="23"/>
      <c r="DIU21" s="16"/>
      <c r="DIV21" s="23"/>
      <c r="DIW21" s="16"/>
      <c r="DIX21" s="23"/>
      <c r="DIY21" s="16"/>
      <c r="DIZ21" s="23"/>
      <c r="DJA21" s="16"/>
      <c r="DJB21" s="23"/>
      <c r="DJC21" s="16"/>
      <c r="DJD21" s="23"/>
      <c r="DJE21" s="16"/>
      <c r="DJF21" s="23"/>
      <c r="DJG21" s="16"/>
      <c r="DJH21" s="23"/>
      <c r="DJI21" s="16"/>
      <c r="DJJ21" s="23"/>
      <c r="DJK21" s="16"/>
      <c r="DJL21" s="23"/>
      <c r="DJM21" s="16"/>
      <c r="DJN21" s="23"/>
      <c r="DJO21" s="16"/>
      <c r="DJP21" s="23"/>
      <c r="DJQ21" s="16"/>
      <c r="DJR21" s="23"/>
      <c r="DJS21" s="16"/>
      <c r="DJT21" s="23"/>
      <c r="DJU21" s="16"/>
      <c r="DJV21" s="23"/>
      <c r="DJW21" s="16"/>
      <c r="DJX21" s="23"/>
      <c r="DJY21" s="16"/>
      <c r="DJZ21" s="23"/>
      <c r="DKA21" s="16"/>
      <c r="DKB21" s="23"/>
      <c r="DKC21" s="16"/>
      <c r="DKD21" s="23"/>
      <c r="DKE21" s="16"/>
      <c r="DKF21" s="23"/>
      <c r="DKG21" s="16"/>
      <c r="DKH21" s="23"/>
      <c r="DKI21" s="16"/>
      <c r="DKJ21" s="23"/>
      <c r="DKK21" s="16"/>
      <c r="DKL21" s="23"/>
      <c r="DKM21" s="16"/>
      <c r="DKN21" s="23"/>
      <c r="DKO21" s="16"/>
      <c r="DKP21" s="23"/>
      <c r="DKQ21" s="16"/>
      <c r="DKR21" s="23"/>
      <c r="DKS21" s="16"/>
      <c r="DKT21" s="23"/>
      <c r="DKU21" s="16"/>
      <c r="DKV21" s="23"/>
      <c r="DKW21" s="16"/>
      <c r="DKX21" s="23"/>
      <c r="DKY21" s="16"/>
      <c r="DKZ21" s="23"/>
      <c r="DLA21" s="16"/>
      <c r="DLB21" s="23"/>
      <c r="DLC21" s="16"/>
      <c r="DLD21" s="23"/>
      <c r="DLE21" s="16"/>
      <c r="DLF21" s="23"/>
      <c r="DLG21" s="16"/>
      <c r="DLH21" s="23"/>
      <c r="DLI21" s="16"/>
      <c r="DLJ21" s="23"/>
      <c r="DLK21" s="16"/>
      <c r="DLL21" s="23"/>
      <c r="DLM21" s="16"/>
      <c r="DLN21" s="23"/>
      <c r="DLO21" s="16"/>
      <c r="DLP21" s="23"/>
      <c r="DLQ21" s="16"/>
      <c r="DLR21" s="23"/>
      <c r="DLS21" s="16"/>
      <c r="DLT21" s="23"/>
      <c r="DLU21" s="16"/>
      <c r="DLV21" s="23"/>
      <c r="DLW21" s="16"/>
      <c r="DLX21" s="23"/>
      <c r="DLY21" s="16"/>
      <c r="DLZ21" s="23"/>
      <c r="DMA21" s="16"/>
      <c r="DMB21" s="23"/>
      <c r="DMC21" s="16"/>
      <c r="DMD21" s="23"/>
      <c r="DME21" s="16"/>
      <c r="DMF21" s="23"/>
      <c r="DMG21" s="16"/>
      <c r="DMH21" s="23"/>
      <c r="DMI21" s="16"/>
      <c r="DMJ21" s="23"/>
      <c r="DMK21" s="16"/>
      <c r="DML21" s="23"/>
      <c r="DMM21" s="16"/>
      <c r="DMN21" s="23"/>
      <c r="DMO21" s="16"/>
      <c r="DMP21" s="23"/>
      <c r="DMQ21" s="16"/>
      <c r="DMR21" s="23"/>
      <c r="DMS21" s="16"/>
      <c r="DMT21" s="23"/>
      <c r="DMU21" s="16"/>
      <c r="DMV21" s="23"/>
      <c r="DMW21" s="16"/>
      <c r="DMX21" s="23"/>
      <c r="DMY21" s="16"/>
      <c r="DMZ21" s="23"/>
      <c r="DNA21" s="16"/>
      <c r="DNB21" s="23"/>
      <c r="DNC21" s="16"/>
      <c r="DND21" s="23"/>
      <c r="DNE21" s="16"/>
      <c r="DNF21" s="23"/>
      <c r="DNG21" s="16"/>
      <c r="DNH21" s="23"/>
      <c r="DNI21" s="16"/>
      <c r="DNJ21" s="23"/>
      <c r="DNK21" s="16"/>
      <c r="DNL21" s="23"/>
      <c r="DNM21" s="16"/>
      <c r="DNN21" s="23"/>
      <c r="DNO21" s="16"/>
      <c r="DNP21" s="23"/>
      <c r="DNQ21" s="16"/>
      <c r="DNR21" s="23"/>
      <c r="DNS21" s="16"/>
      <c r="DNT21" s="23"/>
      <c r="DNU21" s="16"/>
      <c r="DNV21" s="23"/>
      <c r="DNW21" s="16"/>
      <c r="DNX21" s="23"/>
      <c r="DNY21" s="16"/>
      <c r="DNZ21" s="23"/>
      <c r="DOA21" s="16"/>
      <c r="DOB21" s="23"/>
      <c r="DOC21" s="16"/>
      <c r="DOD21" s="23"/>
      <c r="DOE21" s="16"/>
      <c r="DOF21" s="23"/>
      <c r="DOG21" s="16"/>
      <c r="DOH21" s="23"/>
      <c r="DOI21" s="16"/>
      <c r="DOJ21" s="23"/>
      <c r="DOK21" s="16"/>
      <c r="DOL21" s="23"/>
      <c r="DOM21" s="16"/>
      <c r="DON21" s="23"/>
      <c r="DOO21" s="16"/>
      <c r="DOP21" s="23"/>
      <c r="DOQ21" s="16"/>
      <c r="DOR21" s="23"/>
      <c r="DOS21" s="16"/>
      <c r="DOT21" s="23"/>
      <c r="DOU21" s="16"/>
      <c r="DOV21" s="23"/>
      <c r="DOW21" s="16"/>
      <c r="DOX21" s="23"/>
      <c r="DOY21" s="16"/>
      <c r="DOZ21" s="23"/>
      <c r="DPA21" s="16"/>
      <c r="DPB21" s="23"/>
      <c r="DPC21" s="16"/>
      <c r="DPD21" s="23"/>
      <c r="DPE21" s="16"/>
      <c r="DPF21" s="23"/>
      <c r="DPG21" s="16"/>
      <c r="DPH21" s="23"/>
      <c r="DPI21" s="16"/>
      <c r="DPJ21" s="23"/>
      <c r="DPK21" s="16"/>
      <c r="DPL21" s="23"/>
      <c r="DPM21" s="16"/>
      <c r="DPN21" s="23"/>
      <c r="DPO21" s="16"/>
      <c r="DPP21" s="23"/>
      <c r="DPQ21" s="16"/>
      <c r="DPR21" s="23"/>
      <c r="DPS21" s="16"/>
      <c r="DPT21" s="23"/>
      <c r="DPU21" s="16"/>
      <c r="DPV21" s="23"/>
      <c r="DPW21" s="16"/>
      <c r="DPX21" s="23"/>
      <c r="DPY21" s="16"/>
      <c r="DPZ21" s="23"/>
      <c r="DQA21" s="16"/>
      <c r="DQB21" s="23"/>
      <c r="DQC21" s="16"/>
      <c r="DQD21" s="23"/>
      <c r="DQE21" s="16"/>
      <c r="DQF21" s="23"/>
      <c r="DQG21" s="16"/>
      <c r="DQH21" s="23"/>
      <c r="DQI21" s="16"/>
      <c r="DQJ21" s="23"/>
      <c r="DQK21" s="16"/>
      <c r="DQL21" s="23"/>
      <c r="DQM21" s="16"/>
      <c r="DQN21" s="23"/>
      <c r="DQO21" s="16"/>
      <c r="DQP21" s="23"/>
      <c r="DQQ21" s="16"/>
      <c r="DQR21" s="23"/>
      <c r="DQS21" s="16"/>
      <c r="DQT21" s="23"/>
      <c r="DQU21" s="16"/>
      <c r="DQV21" s="23"/>
      <c r="DQW21" s="16"/>
      <c r="DQX21" s="23"/>
      <c r="DQY21" s="16"/>
      <c r="DQZ21" s="23"/>
      <c r="DRA21" s="16"/>
      <c r="DRB21" s="23"/>
      <c r="DRC21" s="16"/>
      <c r="DRD21" s="23"/>
      <c r="DRE21" s="16"/>
      <c r="DRF21" s="23"/>
      <c r="DRG21" s="16"/>
      <c r="DRH21" s="23"/>
      <c r="DRI21" s="16"/>
      <c r="DRJ21" s="23"/>
      <c r="DRK21" s="16"/>
      <c r="DRL21" s="23"/>
      <c r="DRM21" s="16"/>
      <c r="DRN21" s="23"/>
      <c r="DRO21" s="16"/>
      <c r="DRP21" s="23"/>
      <c r="DRQ21" s="16"/>
      <c r="DRR21" s="23"/>
      <c r="DRS21" s="16"/>
      <c r="DRT21" s="23"/>
      <c r="DRU21" s="16"/>
      <c r="DRV21" s="23"/>
      <c r="DRW21" s="16"/>
      <c r="DRX21" s="23"/>
      <c r="DRY21" s="16"/>
      <c r="DRZ21" s="23"/>
      <c r="DSA21" s="16"/>
      <c r="DSB21" s="23"/>
      <c r="DSC21" s="16"/>
      <c r="DSD21" s="23"/>
      <c r="DSE21" s="16"/>
      <c r="DSF21" s="23"/>
      <c r="DSG21" s="16"/>
      <c r="DSH21" s="23"/>
      <c r="DSI21" s="16"/>
      <c r="DSJ21" s="23"/>
      <c r="DSK21" s="16"/>
      <c r="DSL21" s="23"/>
      <c r="DSM21" s="16"/>
      <c r="DSN21" s="23"/>
      <c r="DSO21" s="16"/>
      <c r="DSP21" s="23"/>
      <c r="DSQ21" s="16"/>
      <c r="DSR21" s="23"/>
      <c r="DSS21" s="16"/>
      <c r="DST21" s="23"/>
      <c r="DSU21" s="16"/>
      <c r="DSV21" s="23"/>
      <c r="DSW21" s="16"/>
      <c r="DSX21" s="23"/>
      <c r="DSY21" s="16"/>
      <c r="DSZ21" s="23"/>
      <c r="DTA21" s="16"/>
      <c r="DTB21" s="23"/>
      <c r="DTC21" s="16"/>
      <c r="DTD21" s="23"/>
      <c r="DTE21" s="16"/>
      <c r="DTF21" s="23"/>
      <c r="DTG21" s="16"/>
      <c r="DTH21" s="23"/>
      <c r="DTI21" s="16"/>
      <c r="DTJ21" s="23"/>
      <c r="DTK21" s="16"/>
      <c r="DTL21" s="23"/>
      <c r="DTM21" s="16"/>
      <c r="DTN21" s="23"/>
      <c r="DTO21" s="16"/>
      <c r="DTP21" s="23"/>
      <c r="DTQ21" s="16"/>
      <c r="DTR21" s="23"/>
      <c r="DTS21" s="16"/>
      <c r="DTT21" s="23"/>
      <c r="DTU21" s="16"/>
      <c r="DTV21" s="23"/>
      <c r="DTW21" s="16"/>
      <c r="DTX21" s="23"/>
      <c r="DTY21" s="16"/>
      <c r="DTZ21" s="23"/>
      <c r="DUA21" s="16"/>
      <c r="DUB21" s="23"/>
      <c r="DUC21" s="16"/>
      <c r="DUD21" s="23"/>
      <c r="DUE21" s="16"/>
      <c r="DUF21" s="23"/>
      <c r="DUG21" s="16"/>
      <c r="DUH21" s="23"/>
      <c r="DUI21" s="16"/>
      <c r="DUJ21" s="23"/>
      <c r="DUK21" s="16"/>
      <c r="DUL21" s="23"/>
      <c r="DUM21" s="16"/>
      <c r="DUN21" s="23"/>
      <c r="DUO21" s="16"/>
      <c r="DUP21" s="23"/>
      <c r="DUQ21" s="16"/>
      <c r="DUR21" s="23"/>
      <c r="DUS21" s="16"/>
      <c r="DUT21" s="23"/>
      <c r="DUU21" s="16"/>
      <c r="DUV21" s="23"/>
      <c r="DUW21" s="16"/>
      <c r="DUX21" s="23"/>
      <c r="DUY21" s="16"/>
      <c r="DUZ21" s="23"/>
      <c r="DVA21" s="16"/>
      <c r="DVB21" s="23"/>
      <c r="DVC21" s="16"/>
      <c r="DVD21" s="23"/>
      <c r="DVE21" s="16"/>
      <c r="DVF21" s="23"/>
      <c r="DVG21" s="16"/>
      <c r="DVH21" s="23"/>
      <c r="DVI21" s="16"/>
      <c r="DVJ21" s="23"/>
      <c r="DVK21" s="16"/>
      <c r="DVL21" s="23"/>
      <c r="DVM21" s="16"/>
      <c r="DVN21" s="23"/>
      <c r="DVO21" s="16"/>
      <c r="DVP21" s="23"/>
      <c r="DVQ21" s="16"/>
      <c r="DVR21" s="23"/>
      <c r="DVS21" s="16"/>
      <c r="DVT21" s="23"/>
      <c r="DVU21" s="16"/>
      <c r="DVV21" s="23"/>
      <c r="DVW21" s="16"/>
      <c r="DVX21" s="23"/>
      <c r="DVY21" s="16"/>
      <c r="DVZ21" s="23"/>
      <c r="DWA21" s="16"/>
      <c r="DWB21" s="23"/>
      <c r="DWC21" s="16"/>
      <c r="DWD21" s="23"/>
      <c r="DWE21" s="16"/>
      <c r="DWF21" s="23"/>
      <c r="DWG21" s="16"/>
      <c r="DWH21" s="23"/>
      <c r="DWI21" s="16"/>
      <c r="DWJ21" s="23"/>
      <c r="DWK21" s="16"/>
      <c r="DWL21" s="23"/>
      <c r="DWM21" s="16"/>
      <c r="DWN21" s="23"/>
      <c r="DWO21" s="16"/>
      <c r="DWP21" s="23"/>
      <c r="DWQ21" s="16"/>
      <c r="DWR21" s="23"/>
      <c r="DWS21" s="16"/>
      <c r="DWT21" s="23"/>
      <c r="DWU21" s="16"/>
      <c r="DWV21" s="23"/>
      <c r="DWW21" s="16"/>
      <c r="DWX21" s="23"/>
      <c r="DWY21" s="16"/>
      <c r="DWZ21" s="23"/>
      <c r="DXA21" s="16"/>
      <c r="DXB21" s="23"/>
      <c r="DXC21" s="16"/>
      <c r="DXD21" s="23"/>
      <c r="DXE21" s="16"/>
      <c r="DXF21" s="23"/>
      <c r="DXG21" s="16"/>
      <c r="DXH21" s="23"/>
      <c r="DXI21" s="16"/>
      <c r="DXJ21" s="23"/>
      <c r="DXK21" s="16"/>
      <c r="DXL21" s="23"/>
      <c r="DXM21" s="16"/>
      <c r="DXN21" s="23"/>
      <c r="DXO21" s="16"/>
      <c r="DXP21" s="23"/>
      <c r="DXQ21" s="16"/>
      <c r="DXR21" s="23"/>
      <c r="DXS21" s="16"/>
      <c r="DXT21" s="23"/>
      <c r="DXU21" s="16"/>
      <c r="DXV21" s="23"/>
      <c r="DXW21" s="16"/>
      <c r="DXX21" s="23"/>
      <c r="DXY21" s="16"/>
      <c r="DXZ21" s="23"/>
      <c r="DYA21" s="16"/>
      <c r="DYB21" s="23"/>
      <c r="DYC21" s="16"/>
      <c r="DYD21" s="23"/>
      <c r="DYE21" s="16"/>
      <c r="DYF21" s="23"/>
      <c r="DYG21" s="16"/>
      <c r="DYH21" s="23"/>
      <c r="DYI21" s="16"/>
      <c r="DYJ21" s="23"/>
      <c r="DYK21" s="16"/>
      <c r="DYL21" s="23"/>
      <c r="DYM21" s="16"/>
      <c r="DYN21" s="23"/>
      <c r="DYO21" s="16"/>
      <c r="DYP21" s="23"/>
      <c r="DYQ21" s="16"/>
      <c r="DYR21" s="23"/>
      <c r="DYS21" s="16"/>
      <c r="DYT21" s="23"/>
      <c r="DYU21" s="16"/>
      <c r="DYV21" s="23"/>
      <c r="DYW21" s="16"/>
      <c r="DYX21" s="23"/>
      <c r="DYY21" s="16"/>
      <c r="DYZ21" s="23"/>
      <c r="DZA21" s="16"/>
      <c r="DZB21" s="23"/>
      <c r="DZC21" s="16"/>
      <c r="DZD21" s="23"/>
      <c r="DZE21" s="16"/>
      <c r="DZF21" s="23"/>
      <c r="DZG21" s="16"/>
      <c r="DZH21" s="23"/>
      <c r="DZI21" s="16"/>
      <c r="DZJ21" s="23"/>
      <c r="DZK21" s="16"/>
      <c r="DZL21" s="23"/>
      <c r="DZM21" s="16"/>
      <c r="DZN21" s="23"/>
      <c r="DZO21" s="16"/>
      <c r="DZP21" s="23"/>
      <c r="DZQ21" s="16"/>
      <c r="DZR21" s="23"/>
      <c r="DZS21" s="16"/>
      <c r="DZT21" s="23"/>
      <c r="DZU21" s="16"/>
      <c r="DZV21" s="23"/>
      <c r="DZW21" s="16"/>
      <c r="DZX21" s="23"/>
      <c r="DZY21" s="16"/>
      <c r="DZZ21" s="23"/>
      <c r="EAA21" s="16"/>
      <c r="EAB21" s="23"/>
      <c r="EAC21" s="16"/>
      <c r="EAD21" s="23"/>
      <c r="EAE21" s="16"/>
      <c r="EAF21" s="23"/>
      <c r="EAG21" s="16"/>
      <c r="EAH21" s="23"/>
      <c r="EAI21" s="16"/>
      <c r="EAJ21" s="23"/>
      <c r="EAK21" s="16"/>
      <c r="EAL21" s="23"/>
      <c r="EAM21" s="16"/>
      <c r="EAN21" s="23"/>
      <c r="EAO21" s="16"/>
      <c r="EAP21" s="23"/>
      <c r="EAQ21" s="16"/>
      <c r="EAR21" s="23"/>
      <c r="EAS21" s="16"/>
      <c r="EAT21" s="23"/>
      <c r="EAU21" s="16"/>
      <c r="EAV21" s="23"/>
      <c r="EAW21" s="16"/>
      <c r="EAX21" s="23"/>
      <c r="EAY21" s="16"/>
      <c r="EAZ21" s="23"/>
      <c r="EBA21" s="16"/>
      <c r="EBB21" s="23"/>
      <c r="EBC21" s="16"/>
      <c r="EBD21" s="23"/>
      <c r="EBE21" s="16"/>
      <c r="EBF21" s="23"/>
      <c r="EBG21" s="16"/>
      <c r="EBH21" s="23"/>
      <c r="EBI21" s="16"/>
      <c r="EBJ21" s="23"/>
      <c r="EBK21" s="16"/>
      <c r="EBL21" s="23"/>
      <c r="EBM21" s="16"/>
      <c r="EBN21" s="23"/>
      <c r="EBO21" s="16"/>
      <c r="EBP21" s="23"/>
      <c r="EBQ21" s="16"/>
      <c r="EBR21" s="23"/>
      <c r="EBS21" s="16"/>
      <c r="EBT21" s="23"/>
      <c r="EBU21" s="16"/>
      <c r="EBV21" s="23"/>
      <c r="EBW21" s="16"/>
      <c r="EBX21" s="23"/>
      <c r="EBY21" s="16"/>
      <c r="EBZ21" s="23"/>
      <c r="ECA21" s="16"/>
      <c r="ECB21" s="23"/>
      <c r="ECC21" s="16"/>
      <c r="ECD21" s="23"/>
      <c r="ECE21" s="16"/>
      <c r="ECF21" s="23"/>
      <c r="ECG21" s="16"/>
      <c r="ECH21" s="23"/>
      <c r="ECI21" s="16"/>
      <c r="ECJ21" s="23"/>
      <c r="ECK21" s="16"/>
      <c r="ECL21" s="23"/>
      <c r="ECM21" s="16"/>
      <c r="ECN21" s="23"/>
      <c r="ECO21" s="16"/>
      <c r="ECP21" s="23"/>
      <c r="ECQ21" s="16"/>
      <c r="ECR21" s="23"/>
      <c r="ECS21" s="16"/>
      <c r="ECT21" s="23"/>
      <c r="ECU21" s="16"/>
      <c r="ECV21" s="23"/>
      <c r="ECW21" s="16"/>
      <c r="ECX21" s="23"/>
      <c r="ECY21" s="16"/>
      <c r="ECZ21" s="23"/>
      <c r="EDA21" s="16"/>
      <c r="EDB21" s="23"/>
      <c r="EDC21" s="16"/>
      <c r="EDD21" s="23"/>
      <c r="EDE21" s="16"/>
      <c r="EDF21" s="23"/>
      <c r="EDG21" s="16"/>
      <c r="EDH21" s="23"/>
      <c r="EDI21" s="16"/>
      <c r="EDJ21" s="23"/>
      <c r="EDK21" s="16"/>
      <c r="EDL21" s="23"/>
      <c r="EDM21" s="16"/>
      <c r="EDN21" s="23"/>
      <c r="EDO21" s="16"/>
      <c r="EDP21" s="23"/>
      <c r="EDQ21" s="16"/>
      <c r="EDR21" s="23"/>
      <c r="EDS21" s="16"/>
      <c r="EDT21" s="23"/>
      <c r="EDU21" s="16"/>
      <c r="EDV21" s="23"/>
      <c r="EDW21" s="16"/>
      <c r="EDX21" s="23"/>
      <c r="EDY21" s="16"/>
      <c r="EDZ21" s="23"/>
      <c r="EEA21" s="16"/>
      <c r="EEB21" s="23"/>
      <c r="EEC21" s="16"/>
      <c r="EED21" s="23"/>
      <c r="EEE21" s="16"/>
      <c r="EEF21" s="23"/>
      <c r="EEG21" s="16"/>
      <c r="EEH21" s="23"/>
      <c r="EEI21" s="16"/>
      <c r="EEJ21" s="23"/>
      <c r="EEK21" s="16"/>
      <c r="EEL21" s="23"/>
      <c r="EEM21" s="16"/>
      <c r="EEN21" s="23"/>
      <c r="EEO21" s="16"/>
      <c r="EEP21" s="23"/>
      <c r="EEQ21" s="16"/>
      <c r="EER21" s="23"/>
      <c r="EES21" s="16"/>
      <c r="EET21" s="23"/>
      <c r="EEU21" s="16"/>
      <c r="EEV21" s="23"/>
      <c r="EEW21" s="16"/>
      <c r="EEX21" s="23"/>
      <c r="EEY21" s="16"/>
      <c r="EEZ21" s="23"/>
      <c r="EFA21" s="16"/>
      <c r="EFB21" s="23"/>
      <c r="EFC21" s="16"/>
      <c r="EFD21" s="23"/>
      <c r="EFE21" s="16"/>
      <c r="EFF21" s="23"/>
      <c r="EFG21" s="16"/>
      <c r="EFH21" s="23"/>
      <c r="EFI21" s="16"/>
      <c r="EFJ21" s="23"/>
      <c r="EFK21" s="16"/>
      <c r="EFL21" s="23"/>
      <c r="EFM21" s="16"/>
      <c r="EFN21" s="23"/>
      <c r="EFO21" s="16"/>
      <c r="EFP21" s="23"/>
      <c r="EFQ21" s="16"/>
      <c r="EFR21" s="23"/>
      <c r="EFS21" s="16"/>
      <c r="EFT21" s="23"/>
      <c r="EFU21" s="16"/>
      <c r="EFV21" s="23"/>
      <c r="EFW21" s="16"/>
      <c r="EFX21" s="23"/>
      <c r="EFY21" s="16"/>
      <c r="EFZ21" s="23"/>
      <c r="EGA21" s="16"/>
      <c r="EGB21" s="23"/>
      <c r="EGC21" s="16"/>
      <c r="EGD21" s="23"/>
      <c r="EGE21" s="16"/>
      <c r="EGF21" s="23"/>
      <c r="EGG21" s="16"/>
      <c r="EGH21" s="23"/>
      <c r="EGI21" s="16"/>
      <c r="EGJ21" s="23"/>
      <c r="EGK21" s="16"/>
      <c r="EGL21" s="23"/>
      <c r="EGM21" s="16"/>
      <c r="EGN21" s="23"/>
      <c r="EGO21" s="16"/>
      <c r="EGP21" s="23"/>
      <c r="EGQ21" s="16"/>
      <c r="EGR21" s="23"/>
      <c r="EGS21" s="16"/>
      <c r="EGT21" s="23"/>
      <c r="EGU21" s="16"/>
      <c r="EGV21" s="23"/>
      <c r="EGW21" s="16"/>
      <c r="EGX21" s="23"/>
      <c r="EGY21" s="16"/>
      <c r="EGZ21" s="23"/>
      <c r="EHA21" s="16"/>
      <c r="EHB21" s="23"/>
      <c r="EHC21" s="16"/>
      <c r="EHD21" s="23"/>
      <c r="EHE21" s="16"/>
      <c r="EHF21" s="23"/>
      <c r="EHG21" s="16"/>
      <c r="EHH21" s="23"/>
      <c r="EHI21" s="16"/>
      <c r="EHJ21" s="23"/>
      <c r="EHK21" s="16"/>
      <c r="EHL21" s="23"/>
      <c r="EHM21" s="16"/>
      <c r="EHN21" s="23"/>
      <c r="EHO21" s="16"/>
      <c r="EHP21" s="23"/>
      <c r="EHQ21" s="16"/>
      <c r="EHR21" s="23"/>
      <c r="EHS21" s="16"/>
      <c r="EHT21" s="23"/>
      <c r="EHU21" s="16"/>
      <c r="EHV21" s="23"/>
      <c r="EHW21" s="16"/>
      <c r="EHX21" s="23"/>
      <c r="EHY21" s="16"/>
      <c r="EHZ21" s="23"/>
      <c r="EIA21" s="16"/>
      <c r="EIB21" s="23"/>
      <c r="EIC21" s="16"/>
      <c r="EID21" s="23"/>
      <c r="EIE21" s="16"/>
      <c r="EIF21" s="23"/>
      <c r="EIG21" s="16"/>
      <c r="EIH21" s="23"/>
      <c r="EII21" s="16"/>
      <c r="EIJ21" s="23"/>
      <c r="EIK21" s="16"/>
      <c r="EIL21" s="23"/>
      <c r="EIM21" s="16"/>
      <c r="EIN21" s="23"/>
      <c r="EIO21" s="16"/>
      <c r="EIP21" s="23"/>
      <c r="EIQ21" s="16"/>
      <c r="EIR21" s="23"/>
      <c r="EIS21" s="16"/>
      <c r="EIT21" s="23"/>
      <c r="EIU21" s="16"/>
      <c r="EIV21" s="23"/>
      <c r="EIW21" s="16"/>
      <c r="EIX21" s="23"/>
      <c r="EIY21" s="16"/>
      <c r="EIZ21" s="23"/>
      <c r="EJA21" s="16"/>
      <c r="EJB21" s="23"/>
      <c r="EJC21" s="16"/>
      <c r="EJD21" s="23"/>
      <c r="EJE21" s="16"/>
      <c r="EJF21" s="23"/>
      <c r="EJG21" s="16"/>
      <c r="EJH21" s="23"/>
      <c r="EJI21" s="16"/>
      <c r="EJJ21" s="23"/>
      <c r="EJK21" s="16"/>
      <c r="EJL21" s="23"/>
      <c r="EJM21" s="16"/>
      <c r="EJN21" s="23"/>
      <c r="EJO21" s="16"/>
      <c r="EJP21" s="23"/>
      <c r="EJQ21" s="16"/>
      <c r="EJR21" s="23"/>
      <c r="EJS21" s="16"/>
      <c r="EJT21" s="23"/>
      <c r="EJU21" s="16"/>
      <c r="EJV21" s="23"/>
      <c r="EJW21" s="16"/>
      <c r="EJX21" s="23"/>
      <c r="EJY21" s="16"/>
      <c r="EJZ21" s="23"/>
      <c r="EKA21" s="16"/>
      <c r="EKB21" s="23"/>
      <c r="EKC21" s="16"/>
      <c r="EKD21" s="23"/>
      <c r="EKE21" s="16"/>
      <c r="EKF21" s="23"/>
      <c r="EKG21" s="16"/>
      <c r="EKH21" s="23"/>
      <c r="EKI21" s="16"/>
      <c r="EKJ21" s="23"/>
      <c r="EKK21" s="16"/>
      <c r="EKL21" s="23"/>
      <c r="EKM21" s="16"/>
      <c r="EKN21" s="23"/>
      <c r="EKO21" s="16"/>
      <c r="EKP21" s="23"/>
      <c r="EKQ21" s="16"/>
      <c r="EKR21" s="23"/>
      <c r="EKS21" s="16"/>
      <c r="EKT21" s="23"/>
      <c r="EKU21" s="16"/>
      <c r="EKV21" s="23"/>
      <c r="EKW21" s="16"/>
      <c r="EKX21" s="23"/>
      <c r="EKY21" s="16"/>
      <c r="EKZ21" s="23"/>
      <c r="ELA21" s="16"/>
      <c r="ELB21" s="23"/>
      <c r="ELC21" s="16"/>
      <c r="ELD21" s="23"/>
      <c r="ELE21" s="16"/>
      <c r="ELF21" s="23"/>
      <c r="ELG21" s="16"/>
      <c r="ELH21" s="23"/>
      <c r="ELI21" s="16"/>
      <c r="ELJ21" s="23"/>
      <c r="ELK21" s="16"/>
      <c r="ELL21" s="23"/>
      <c r="ELM21" s="16"/>
      <c r="ELN21" s="23"/>
      <c r="ELO21" s="16"/>
      <c r="ELP21" s="23"/>
      <c r="ELQ21" s="16"/>
      <c r="ELR21" s="23"/>
      <c r="ELS21" s="16"/>
      <c r="ELT21" s="23"/>
      <c r="ELU21" s="16"/>
      <c r="ELV21" s="23"/>
      <c r="ELW21" s="16"/>
      <c r="ELX21" s="23"/>
      <c r="ELY21" s="16"/>
      <c r="ELZ21" s="23"/>
      <c r="EMA21" s="16"/>
      <c r="EMB21" s="23"/>
      <c r="EMC21" s="16"/>
      <c r="EMD21" s="23"/>
      <c r="EME21" s="16"/>
      <c r="EMF21" s="23"/>
      <c r="EMG21" s="16"/>
      <c r="EMH21" s="23"/>
      <c r="EMI21" s="16"/>
      <c r="EMJ21" s="23"/>
      <c r="EMK21" s="16"/>
      <c r="EML21" s="23"/>
      <c r="EMM21" s="16"/>
      <c r="EMN21" s="23"/>
      <c r="EMO21" s="16"/>
      <c r="EMP21" s="23"/>
      <c r="EMQ21" s="16"/>
      <c r="EMR21" s="23"/>
      <c r="EMS21" s="16"/>
      <c r="EMT21" s="23"/>
      <c r="EMU21" s="16"/>
      <c r="EMV21" s="23"/>
      <c r="EMW21" s="16"/>
      <c r="EMX21" s="23"/>
      <c r="EMY21" s="16"/>
      <c r="EMZ21" s="23"/>
      <c r="ENA21" s="16"/>
      <c r="ENB21" s="23"/>
      <c r="ENC21" s="16"/>
      <c r="END21" s="23"/>
      <c r="ENE21" s="16"/>
      <c r="ENF21" s="23"/>
      <c r="ENG21" s="16"/>
      <c r="ENH21" s="23"/>
      <c r="ENI21" s="16"/>
      <c r="ENJ21" s="23"/>
      <c r="ENK21" s="16"/>
      <c r="ENL21" s="23"/>
      <c r="ENM21" s="16"/>
      <c r="ENN21" s="23"/>
      <c r="ENO21" s="16"/>
      <c r="ENP21" s="23"/>
      <c r="ENQ21" s="16"/>
      <c r="ENR21" s="23"/>
      <c r="ENS21" s="16"/>
      <c r="ENT21" s="23"/>
      <c r="ENU21" s="16"/>
      <c r="ENV21" s="23"/>
      <c r="ENW21" s="16"/>
      <c r="ENX21" s="23"/>
      <c r="ENY21" s="16"/>
      <c r="ENZ21" s="23"/>
      <c r="EOA21" s="16"/>
      <c r="EOB21" s="23"/>
      <c r="EOC21" s="16"/>
      <c r="EOD21" s="23"/>
      <c r="EOE21" s="16"/>
      <c r="EOF21" s="23"/>
      <c r="EOG21" s="16"/>
      <c r="EOH21" s="23"/>
      <c r="EOI21" s="16"/>
      <c r="EOJ21" s="23"/>
      <c r="EOK21" s="16"/>
      <c r="EOL21" s="23"/>
      <c r="EOM21" s="16"/>
      <c r="EON21" s="23"/>
      <c r="EOO21" s="16"/>
      <c r="EOP21" s="23"/>
      <c r="EOQ21" s="16"/>
      <c r="EOR21" s="23"/>
      <c r="EOS21" s="16"/>
      <c r="EOT21" s="23"/>
      <c r="EOU21" s="16"/>
      <c r="EOV21" s="23"/>
      <c r="EOW21" s="16"/>
      <c r="EOX21" s="23"/>
      <c r="EOY21" s="16"/>
      <c r="EOZ21" s="23"/>
      <c r="EPA21" s="16"/>
      <c r="EPB21" s="23"/>
      <c r="EPC21" s="16"/>
      <c r="EPD21" s="23"/>
      <c r="EPE21" s="16"/>
      <c r="EPF21" s="23"/>
      <c r="EPG21" s="16"/>
      <c r="EPH21" s="23"/>
      <c r="EPI21" s="16"/>
      <c r="EPJ21" s="23"/>
      <c r="EPK21" s="16"/>
      <c r="EPL21" s="23"/>
      <c r="EPM21" s="16"/>
      <c r="EPN21" s="23"/>
      <c r="EPO21" s="16"/>
      <c r="EPP21" s="23"/>
      <c r="EPQ21" s="16"/>
      <c r="EPR21" s="23"/>
      <c r="EPS21" s="16"/>
      <c r="EPT21" s="23"/>
      <c r="EPU21" s="16"/>
      <c r="EPV21" s="23"/>
      <c r="EPW21" s="16"/>
      <c r="EPX21" s="23"/>
      <c r="EPY21" s="16"/>
      <c r="EPZ21" s="23"/>
      <c r="EQA21" s="16"/>
      <c r="EQB21" s="23"/>
      <c r="EQC21" s="16"/>
      <c r="EQD21" s="23"/>
      <c r="EQE21" s="16"/>
      <c r="EQF21" s="23"/>
      <c r="EQG21" s="16"/>
      <c r="EQH21" s="23"/>
      <c r="EQI21" s="16"/>
      <c r="EQJ21" s="23"/>
      <c r="EQK21" s="16"/>
      <c r="EQL21" s="23"/>
      <c r="EQM21" s="16"/>
      <c r="EQN21" s="23"/>
      <c r="EQO21" s="16"/>
      <c r="EQP21" s="23"/>
      <c r="EQQ21" s="16"/>
      <c r="EQR21" s="23"/>
      <c r="EQS21" s="16"/>
      <c r="EQT21" s="23"/>
      <c r="EQU21" s="16"/>
      <c r="EQV21" s="23"/>
      <c r="EQW21" s="16"/>
      <c r="EQX21" s="23"/>
      <c r="EQY21" s="16"/>
      <c r="EQZ21" s="23"/>
      <c r="ERA21" s="16"/>
      <c r="ERB21" s="23"/>
      <c r="ERC21" s="16"/>
      <c r="ERD21" s="23"/>
      <c r="ERE21" s="16"/>
      <c r="ERF21" s="23"/>
      <c r="ERG21" s="16"/>
      <c r="ERH21" s="23"/>
      <c r="ERI21" s="16"/>
      <c r="ERJ21" s="23"/>
      <c r="ERK21" s="16"/>
      <c r="ERL21" s="23"/>
      <c r="ERM21" s="16"/>
      <c r="ERN21" s="23"/>
      <c r="ERO21" s="16"/>
      <c r="ERP21" s="23"/>
      <c r="ERQ21" s="16"/>
      <c r="ERR21" s="23"/>
      <c r="ERS21" s="16"/>
      <c r="ERT21" s="23"/>
      <c r="ERU21" s="16"/>
      <c r="ERV21" s="23"/>
      <c r="ERW21" s="16"/>
      <c r="ERX21" s="23"/>
      <c r="ERY21" s="16"/>
      <c r="ERZ21" s="23"/>
      <c r="ESA21" s="16"/>
      <c r="ESB21" s="23"/>
      <c r="ESC21" s="16"/>
      <c r="ESD21" s="23"/>
      <c r="ESE21" s="16"/>
      <c r="ESF21" s="23"/>
      <c r="ESG21" s="16"/>
      <c r="ESH21" s="23"/>
      <c r="ESI21" s="16"/>
      <c r="ESJ21" s="23"/>
      <c r="ESK21" s="16"/>
      <c r="ESL21" s="23"/>
      <c r="ESM21" s="16"/>
      <c r="ESN21" s="23"/>
      <c r="ESO21" s="16"/>
      <c r="ESP21" s="23"/>
      <c r="ESQ21" s="16"/>
      <c r="ESR21" s="23"/>
      <c r="ESS21" s="16"/>
      <c r="EST21" s="23"/>
      <c r="ESU21" s="16"/>
      <c r="ESV21" s="23"/>
      <c r="ESW21" s="16"/>
      <c r="ESX21" s="23"/>
      <c r="ESY21" s="16"/>
      <c r="ESZ21" s="23"/>
      <c r="ETA21" s="16"/>
      <c r="ETB21" s="23"/>
      <c r="ETC21" s="16"/>
      <c r="ETD21" s="23"/>
      <c r="ETE21" s="16"/>
      <c r="ETF21" s="23"/>
      <c r="ETG21" s="16"/>
      <c r="ETH21" s="23"/>
      <c r="ETI21" s="16"/>
      <c r="ETJ21" s="23"/>
      <c r="ETK21" s="16"/>
      <c r="ETL21" s="23"/>
      <c r="ETM21" s="16"/>
      <c r="ETN21" s="23"/>
      <c r="ETO21" s="16"/>
      <c r="ETP21" s="23"/>
      <c r="ETQ21" s="16"/>
      <c r="ETR21" s="23"/>
      <c r="ETS21" s="16"/>
      <c r="ETT21" s="23"/>
      <c r="ETU21" s="16"/>
      <c r="ETV21" s="23"/>
      <c r="ETW21" s="16"/>
      <c r="ETX21" s="23"/>
      <c r="ETY21" s="16"/>
      <c r="ETZ21" s="23"/>
      <c r="EUA21" s="16"/>
      <c r="EUB21" s="23"/>
      <c r="EUC21" s="16"/>
      <c r="EUD21" s="23"/>
      <c r="EUE21" s="16"/>
      <c r="EUF21" s="23"/>
      <c r="EUG21" s="16"/>
      <c r="EUH21" s="23"/>
      <c r="EUI21" s="16"/>
      <c r="EUJ21" s="23"/>
      <c r="EUK21" s="16"/>
      <c r="EUL21" s="23"/>
      <c r="EUM21" s="16"/>
      <c r="EUN21" s="23"/>
      <c r="EUO21" s="16"/>
      <c r="EUP21" s="23"/>
      <c r="EUQ21" s="16"/>
      <c r="EUR21" s="23"/>
      <c r="EUS21" s="16"/>
      <c r="EUT21" s="23"/>
      <c r="EUU21" s="16"/>
      <c r="EUV21" s="23"/>
      <c r="EUW21" s="16"/>
      <c r="EUX21" s="23"/>
      <c r="EUY21" s="16"/>
      <c r="EUZ21" s="23"/>
      <c r="EVA21" s="16"/>
      <c r="EVB21" s="23"/>
      <c r="EVC21" s="16"/>
      <c r="EVD21" s="23"/>
      <c r="EVE21" s="16"/>
      <c r="EVF21" s="23"/>
      <c r="EVG21" s="16"/>
      <c r="EVH21" s="23"/>
      <c r="EVI21" s="16"/>
      <c r="EVJ21" s="23"/>
      <c r="EVK21" s="16"/>
      <c r="EVL21" s="23"/>
      <c r="EVM21" s="16"/>
      <c r="EVN21" s="23"/>
      <c r="EVO21" s="16"/>
      <c r="EVP21" s="23"/>
      <c r="EVQ21" s="16"/>
      <c r="EVR21" s="23"/>
      <c r="EVS21" s="16"/>
      <c r="EVT21" s="23"/>
      <c r="EVU21" s="16"/>
      <c r="EVV21" s="23"/>
      <c r="EVW21" s="16"/>
      <c r="EVX21" s="23"/>
      <c r="EVY21" s="16"/>
      <c r="EVZ21" s="23"/>
      <c r="EWA21" s="16"/>
      <c r="EWB21" s="23"/>
      <c r="EWC21" s="16"/>
      <c r="EWD21" s="23"/>
      <c r="EWE21" s="16"/>
      <c r="EWF21" s="23"/>
      <c r="EWG21" s="16"/>
      <c r="EWH21" s="23"/>
      <c r="EWI21" s="16"/>
      <c r="EWJ21" s="23"/>
      <c r="EWK21" s="16"/>
      <c r="EWL21" s="23"/>
      <c r="EWM21" s="16"/>
      <c r="EWN21" s="23"/>
      <c r="EWO21" s="16"/>
      <c r="EWP21" s="23"/>
      <c r="EWQ21" s="16"/>
      <c r="EWR21" s="23"/>
      <c r="EWS21" s="16"/>
      <c r="EWT21" s="23"/>
      <c r="EWU21" s="16"/>
      <c r="EWV21" s="23"/>
      <c r="EWW21" s="16"/>
      <c r="EWX21" s="23"/>
      <c r="EWY21" s="16"/>
      <c r="EWZ21" s="23"/>
      <c r="EXA21" s="16"/>
      <c r="EXB21" s="23"/>
      <c r="EXC21" s="16"/>
      <c r="EXD21" s="23"/>
      <c r="EXE21" s="16"/>
      <c r="EXF21" s="23"/>
      <c r="EXG21" s="16"/>
      <c r="EXH21" s="23"/>
      <c r="EXI21" s="16"/>
      <c r="EXJ21" s="23"/>
      <c r="EXK21" s="16"/>
      <c r="EXL21" s="23"/>
      <c r="EXM21" s="16"/>
      <c r="EXN21" s="23"/>
      <c r="EXO21" s="16"/>
      <c r="EXP21" s="23"/>
      <c r="EXQ21" s="16"/>
      <c r="EXR21" s="23"/>
      <c r="EXS21" s="16"/>
      <c r="EXT21" s="23"/>
      <c r="EXU21" s="16"/>
      <c r="EXV21" s="23"/>
      <c r="EXW21" s="16"/>
      <c r="EXX21" s="23"/>
      <c r="EXY21" s="16"/>
      <c r="EXZ21" s="23"/>
      <c r="EYA21" s="16"/>
      <c r="EYB21" s="23"/>
      <c r="EYC21" s="16"/>
      <c r="EYD21" s="23"/>
      <c r="EYE21" s="16"/>
      <c r="EYF21" s="23"/>
      <c r="EYG21" s="16"/>
      <c r="EYH21" s="23"/>
      <c r="EYI21" s="16"/>
      <c r="EYJ21" s="23"/>
      <c r="EYK21" s="16"/>
      <c r="EYL21" s="23"/>
      <c r="EYM21" s="16"/>
      <c r="EYN21" s="23"/>
      <c r="EYO21" s="16"/>
      <c r="EYP21" s="23"/>
      <c r="EYQ21" s="16"/>
      <c r="EYR21" s="23"/>
      <c r="EYS21" s="16"/>
      <c r="EYT21" s="23"/>
      <c r="EYU21" s="16"/>
      <c r="EYV21" s="23"/>
      <c r="EYW21" s="16"/>
      <c r="EYX21" s="23"/>
      <c r="EYY21" s="16"/>
      <c r="EYZ21" s="23"/>
      <c r="EZA21" s="16"/>
      <c r="EZB21" s="23"/>
      <c r="EZC21" s="16"/>
      <c r="EZD21" s="23"/>
      <c r="EZE21" s="16"/>
      <c r="EZF21" s="23"/>
      <c r="EZG21" s="16"/>
      <c r="EZH21" s="23"/>
      <c r="EZI21" s="16"/>
      <c r="EZJ21" s="23"/>
      <c r="EZK21" s="16"/>
      <c r="EZL21" s="23"/>
      <c r="EZM21" s="16"/>
      <c r="EZN21" s="23"/>
      <c r="EZO21" s="16"/>
      <c r="EZP21" s="23"/>
      <c r="EZQ21" s="16"/>
      <c r="EZR21" s="23"/>
      <c r="EZS21" s="16"/>
      <c r="EZT21" s="23"/>
      <c r="EZU21" s="16"/>
      <c r="EZV21" s="23"/>
      <c r="EZW21" s="16"/>
      <c r="EZX21" s="23"/>
      <c r="EZY21" s="16"/>
      <c r="EZZ21" s="23"/>
      <c r="FAA21" s="16"/>
      <c r="FAB21" s="23"/>
      <c r="FAC21" s="16"/>
      <c r="FAD21" s="23"/>
      <c r="FAE21" s="16"/>
      <c r="FAF21" s="23"/>
      <c r="FAG21" s="16"/>
      <c r="FAH21" s="23"/>
      <c r="FAI21" s="16"/>
      <c r="FAJ21" s="23"/>
      <c r="FAK21" s="16"/>
      <c r="FAL21" s="23"/>
      <c r="FAM21" s="16"/>
      <c r="FAN21" s="23"/>
      <c r="FAO21" s="16"/>
      <c r="FAP21" s="23"/>
      <c r="FAQ21" s="16"/>
      <c r="FAR21" s="23"/>
      <c r="FAS21" s="16"/>
      <c r="FAT21" s="23"/>
      <c r="FAU21" s="16"/>
      <c r="FAV21" s="23"/>
      <c r="FAW21" s="16"/>
      <c r="FAX21" s="23"/>
      <c r="FAY21" s="16"/>
      <c r="FAZ21" s="23"/>
      <c r="FBA21" s="16"/>
      <c r="FBB21" s="23"/>
      <c r="FBC21" s="16"/>
      <c r="FBD21" s="23"/>
      <c r="FBE21" s="16"/>
      <c r="FBF21" s="23"/>
      <c r="FBG21" s="16"/>
      <c r="FBH21" s="23"/>
      <c r="FBI21" s="16"/>
      <c r="FBJ21" s="23"/>
      <c r="FBK21" s="16"/>
      <c r="FBL21" s="23"/>
      <c r="FBM21" s="16"/>
      <c r="FBN21" s="23"/>
      <c r="FBO21" s="16"/>
      <c r="FBP21" s="23"/>
      <c r="FBQ21" s="16"/>
      <c r="FBR21" s="23"/>
      <c r="FBS21" s="16"/>
      <c r="FBT21" s="23"/>
      <c r="FBU21" s="16"/>
      <c r="FBV21" s="23"/>
      <c r="FBW21" s="16"/>
      <c r="FBX21" s="23"/>
      <c r="FBY21" s="16"/>
      <c r="FBZ21" s="23"/>
      <c r="FCA21" s="16"/>
      <c r="FCB21" s="23"/>
      <c r="FCC21" s="16"/>
      <c r="FCD21" s="23"/>
      <c r="FCE21" s="16"/>
      <c r="FCF21" s="23"/>
      <c r="FCG21" s="16"/>
      <c r="FCH21" s="23"/>
      <c r="FCI21" s="16"/>
      <c r="FCJ21" s="23"/>
      <c r="FCK21" s="16"/>
      <c r="FCL21" s="23"/>
      <c r="FCM21" s="16"/>
      <c r="FCN21" s="23"/>
      <c r="FCO21" s="16"/>
      <c r="FCP21" s="23"/>
      <c r="FCQ21" s="16"/>
      <c r="FCR21" s="23"/>
      <c r="FCS21" s="16"/>
      <c r="FCT21" s="23"/>
      <c r="FCU21" s="16"/>
      <c r="FCV21" s="23"/>
      <c r="FCW21" s="16"/>
      <c r="FCX21" s="23"/>
      <c r="FCY21" s="16"/>
      <c r="FCZ21" s="23"/>
      <c r="FDA21" s="16"/>
      <c r="FDB21" s="23"/>
      <c r="FDC21" s="16"/>
      <c r="FDD21" s="23"/>
      <c r="FDE21" s="16"/>
      <c r="FDF21" s="23"/>
      <c r="FDG21" s="16"/>
      <c r="FDH21" s="23"/>
      <c r="FDI21" s="16"/>
      <c r="FDJ21" s="23"/>
      <c r="FDK21" s="16"/>
      <c r="FDL21" s="23"/>
      <c r="FDM21" s="16"/>
      <c r="FDN21" s="23"/>
      <c r="FDO21" s="16"/>
      <c r="FDP21" s="23"/>
      <c r="FDQ21" s="16"/>
      <c r="FDR21" s="23"/>
      <c r="FDS21" s="16"/>
      <c r="FDT21" s="23"/>
      <c r="FDU21" s="16"/>
      <c r="FDV21" s="23"/>
      <c r="FDW21" s="16"/>
      <c r="FDX21" s="23"/>
      <c r="FDY21" s="16"/>
      <c r="FDZ21" s="23"/>
      <c r="FEA21" s="16"/>
      <c r="FEB21" s="23"/>
      <c r="FEC21" s="16"/>
      <c r="FED21" s="23"/>
      <c r="FEE21" s="16"/>
      <c r="FEF21" s="23"/>
      <c r="FEG21" s="16"/>
      <c r="FEH21" s="23"/>
      <c r="FEI21" s="16"/>
      <c r="FEJ21" s="23"/>
      <c r="FEK21" s="16"/>
      <c r="FEL21" s="23"/>
      <c r="FEM21" s="16"/>
      <c r="FEN21" s="23"/>
      <c r="FEO21" s="16"/>
      <c r="FEP21" s="23"/>
      <c r="FEQ21" s="16"/>
      <c r="FER21" s="23"/>
      <c r="FES21" s="16"/>
      <c r="FET21" s="23"/>
      <c r="FEU21" s="16"/>
      <c r="FEV21" s="23"/>
      <c r="FEW21" s="16"/>
      <c r="FEX21" s="23"/>
      <c r="FEY21" s="16"/>
      <c r="FEZ21" s="23"/>
      <c r="FFA21" s="16"/>
      <c r="FFB21" s="23"/>
      <c r="FFC21" s="16"/>
      <c r="FFD21" s="23"/>
      <c r="FFE21" s="16"/>
      <c r="FFF21" s="23"/>
      <c r="FFG21" s="16"/>
      <c r="FFH21" s="23"/>
      <c r="FFI21" s="16"/>
      <c r="FFJ21" s="23"/>
      <c r="FFK21" s="16"/>
      <c r="FFL21" s="23"/>
      <c r="FFM21" s="16"/>
      <c r="FFN21" s="23"/>
      <c r="FFO21" s="16"/>
      <c r="FFP21" s="23"/>
      <c r="FFQ21" s="16"/>
      <c r="FFR21" s="23"/>
      <c r="FFS21" s="16"/>
      <c r="FFT21" s="23"/>
      <c r="FFU21" s="16"/>
      <c r="FFV21" s="23"/>
      <c r="FFW21" s="16"/>
      <c r="FFX21" s="23"/>
      <c r="FFY21" s="16"/>
      <c r="FFZ21" s="23"/>
      <c r="FGA21" s="16"/>
      <c r="FGB21" s="23"/>
      <c r="FGC21" s="16"/>
      <c r="FGD21" s="23"/>
      <c r="FGE21" s="16"/>
      <c r="FGF21" s="23"/>
      <c r="FGG21" s="16"/>
      <c r="FGH21" s="23"/>
      <c r="FGI21" s="16"/>
      <c r="FGJ21" s="23"/>
      <c r="FGK21" s="16"/>
      <c r="FGL21" s="23"/>
      <c r="FGM21" s="16"/>
      <c r="FGN21" s="23"/>
      <c r="FGO21" s="16"/>
      <c r="FGP21" s="23"/>
      <c r="FGQ21" s="16"/>
      <c r="FGR21" s="23"/>
      <c r="FGS21" s="16"/>
      <c r="FGT21" s="23"/>
      <c r="FGU21" s="16"/>
      <c r="FGV21" s="23"/>
      <c r="FGW21" s="16"/>
      <c r="FGX21" s="23"/>
      <c r="FGY21" s="16"/>
      <c r="FGZ21" s="23"/>
      <c r="FHA21" s="16"/>
      <c r="FHB21" s="23"/>
      <c r="FHC21" s="16"/>
      <c r="FHD21" s="23"/>
      <c r="FHE21" s="16"/>
      <c r="FHF21" s="23"/>
      <c r="FHG21" s="16"/>
      <c r="FHH21" s="23"/>
      <c r="FHI21" s="16"/>
      <c r="FHJ21" s="23"/>
      <c r="FHK21" s="16"/>
      <c r="FHL21" s="23"/>
      <c r="FHM21" s="16"/>
      <c r="FHN21" s="23"/>
      <c r="FHO21" s="16"/>
      <c r="FHP21" s="23"/>
      <c r="FHQ21" s="16"/>
      <c r="FHR21" s="23"/>
      <c r="FHS21" s="16"/>
      <c r="FHT21" s="23"/>
      <c r="FHU21" s="16"/>
      <c r="FHV21" s="23"/>
      <c r="FHW21" s="16"/>
      <c r="FHX21" s="23"/>
      <c r="FHY21" s="16"/>
      <c r="FHZ21" s="23"/>
      <c r="FIA21" s="16"/>
      <c r="FIB21" s="23"/>
      <c r="FIC21" s="16"/>
      <c r="FID21" s="23"/>
      <c r="FIE21" s="16"/>
      <c r="FIF21" s="23"/>
      <c r="FIG21" s="16"/>
      <c r="FIH21" s="23"/>
      <c r="FII21" s="16"/>
      <c r="FIJ21" s="23"/>
      <c r="FIK21" s="16"/>
      <c r="FIL21" s="23"/>
      <c r="FIM21" s="16"/>
      <c r="FIN21" s="23"/>
      <c r="FIO21" s="16"/>
      <c r="FIP21" s="23"/>
      <c r="FIQ21" s="16"/>
      <c r="FIR21" s="23"/>
      <c r="FIS21" s="16"/>
      <c r="FIT21" s="23"/>
      <c r="FIU21" s="16"/>
      <c r="FIV21" s="23"/>
      <c r="FIW21" s="16"/>
      <c r="FIX21" s="23"/>
      <c r="FIY21" s="16"/>
      <c r="FIZ21" s="23"/>
      <c r="FJA21" s="16"/>
      <c r="FJB21" s="23"/>
      <c r="FJC21" s="16"/>
      <c r="FJD21" s="23"/>
      <c r="FJE21" s="16"/>
      <c r="FJF21" s="23"/>
      <c r="FJG21" s="16"/>
      <c r="FJH21" s="23"/>
      <c r="FJI21" s="16"/>
      <c r="FJJ21" s="23"/>
      <c r="FJK21" s="16"/>
      <c r="FJL21" s="23"/>
      <c r="FJM21" s="16"/>
      <c r="FJN21" s="23"/>
      <c r="FJO21" s="16"/>
      <c r="FJP21" s="23"/>
      <c r="FJQ21" s="16"/>
      <c r="FJR21" s="23"/>
      <c r="FJS21" s="16"/>
      <c r="FJT21" s="23"/>
      <c r="FJU21" s="16"/>
      <c r="FJV21" s="23"/>
      <c r="FJW21" s="16"/>
      <c r="FJX21" s="23"/>
      <c r="FJY21" s="16"/>
      <c r="FJZ21" s="23"/>
      <c r="FKA21" s="16"/>
      <c r="FKB21" s="23"/>
      <c r="FKC21" s="16"/>
      <c r="FKD21" s="23"/>
      <c r="FKE21" s="16"/>
      <c r="FKF21" s="23"/>
      <c r="FKG21" s="16"/>
      <c r="FKH21" s="23"/>
      <c r="FKI21" s="16"/>
      <c r="FKJ21" s="23"/>
      <c r="FKK21" s="16"/>
      <c r="FKL21" s="23"/>
      <c r="FKM21" s="16"/>
      <c r="FKN21" s="23"/>
      <c r="FKO21" s="16"/>
      <c r="FKP21" s="23"/>
      <c r="FKQ21" s="16"/>
      <c r="FKR21" s="23"/>
      <c r="FKS21" s="16"/>
      <c r="FKT21" s="23"/>
      <c r="FKU21" s="16"/>
      <c r="FKV21" s="23"/>
      <c r="FKW21" s="16"/>
      <c r="FKX21" s="23"/>
      <c r="FKY21" s="16"/>
      <c r="FKZ21" s="23"/>
      <c r="FLA21" s="16"/>
      <c r="FLB21" s="23"/>
      <c r="FLC21" s="16"/>
      <c r="FLD21" s="23"/>
      <c r="FLE21" s="16"/>
      <c r="FLF21" s="23"/>
      <c r="FLG21" s="16"/>
      <c r="FLH21" s="23"/>
      <c r="FLI21" s="16"/>
      <c r="FLJ21" s="23"/>
      <c r="FLK21" s="16"/>
      <c r="FLL21" s="23"/>
      <c r="FLM21" s="16"/>
      <c r="FLN21" s="23"/>
      <c r="FLO21" s="16"/>
      <c r="FLP21" s="23"/>
      <c r="FLQ21" s="16"/>
      <c r="FLR21" s="23"/>
      <c r="FLS21" s="16"/>
      <c r="FLT21" s="23"/>
      <c r="FLU21" s="16"/>
      <c r="FLV21" s="23"/>
      <c r="FLW21" s="16"/>
      <c r="FLX21" s="23"/>
      <c r="FLY21" s="16"/>
      <c r="FLZ21" s="23"/>
      <c r="FMA21" s="16"/>
      <c r="FMB21" s="23"/>
      <c r="FMC21" s="16"/>
      <c r="FMD21" s="23"/>
      <c r="FME21" s="16"/>
      <c r="FMF21" s="23"/>
      <c r="FMG21" s="16"/>
      <c r="FMH21" s="23"/>
      <c r="FMI21" s="16"/>
      <c r="FMJ21" s="23"/>
      <c r="FMK21" s="16"/>
      <c r="FML21" s="23"/>
      <c r="FMM21" s="16"/>
      <c r="FMN21" s="23"/>
      <c r="FMO21" s="16"/>
      <c r="FMP21" s="23"/>
      <c r="FMQ21" s="16"/>
      <c r="FMR21" s="23"/>
      <c r="FMS21" s="16"/>
      <c r="FMT21" s="23"/>
      <c r="FMU21" s="16"/>
      <c r="FMV21" s="23"/>
      <c r="FMW21" s="16"/>
      <c r="FMX21" s="23"/>
      <c r="FMY21" s="16"/>
      <c r="FMZ21" s="23"/>
      <c r="FNA21" s="16"/>
      <c r="FNB21" s="23"/>
      <c r="FNC21" s="16"/>
      <c r="FND21" s="23"/>
      <c r="FNE21" s="16"/>
      <c r="FNF21" s="23"/>
      <c r="FNG21" s="16"/>
      <c r="FNH21" s="23"/>
      <c r="FNI21" s="16"/>
      <c r="FNJ21" s="23"/>
      <c r="FNK21" s="16"/>
      <c r="FNL21" s="23"/>
      <c r="FNM21" s="16"/>
      <c r="FNN21" s="23"/>
      <c r="FNO21" s="16"/>
      <c r="FNP21" s="23"/>
      <c r="FNQ21" s="16"/>
      <c r="FNR21" s="23"/>
      <c r="FNS21" s="16"/>
      <c r="FNT21" s="23"/>
      <c r="FNU21" s="16"/>
      <c r="FNV21" s="23"/>
      <c r="FNW21" s="16"/>
      <c r="FNX21" s="23"/>
      <c r="FNY21" s="16"/>
      <c r="FNZ21" s="23"/>
      <c r="FOA21" s="16"/>
      <c r="FOB21" s="23"/>
      <c r="FOC21" s="16"/>
      <c r="FOD21" s="23"/>
      <c r="FOE21" s="16"/>
      <c r="FOF21" s="23"/>
      <c r="FOG21" s="16"/>
      <c r="FOH21" s="23"/>
      <c r="FOI21" s="16"/>
      <c r="FOJ21" s="23"/>
      <c r="FOK21" s="16"/>
      <c r="FOL21" s="23"/>
      <c r="FOM21" s="16"/>
      <c r="FON21" s="23"/>
      <c r="FOO21" s="16"/>
      <c r="FOP21" s="23"/>
      <c r="FOQ21" s="16"/>
      <c r="FOR21" s="23"/>
      <c r="FOS21" s="16"/>
      <c r="FOT21" s="23"/>
      <c r="FOU21" s="16"/>
      <c r="FOV21" s="23"/>
      <c r="FOW21" s="16"/>
      <c r="FOX21" s="23"/>
      <c r="FOY21" s="16"/>
      <c r="FOZ21" s="23"/>
      <c r="FPA21" s="16"/>
      <c r="FPB21" s="23"/>
      <c r="FPC21" s="16"/>
      <c r="FPD21" s="23"/>
      <c r="FPE21" s="16"/>
      <c r="FPF21" s="23"/>
      <c r="FPG21" s="16"/>
      <c r="FPH21" s="23"/>
      <c r="FPI21" s="16"/>
      <c r="FPJ21" s="23"/>
      <c r="FPK21" s="16"/>
      <c r="FPL21" s="23"/>
      <c r="FPM21" s="16"/>
      <c r="FPN21" s="23"/>
      <c r="FPO21" s="16"/>
      <c r="FPP21" s="23"/>
      <c r="FPQ21" s="16"/>
      <c r="FPR21" s="23"/>
      <c r="FPS21" s="16"/>
      <c r="FPT21" s="23"/>
      <c r="FPU21" s="16"/>
      <c r="FPV21" s="23"/>
      <c r="FPW21" s="16"/>
      <c r="FPX21" s="23"/>
      <c r="FPY21" s="16"/>
      <c r="FPZ21" s="23"/>
      <c r="FQA21" s="16"/>
      <c r="FQB21" s="23"/>
      <c r="FQC21" s="16"/>
      <c r="FQD21" s="23"/>
      <c r="FQE21" s="16"/>
      <c r="FQF21" s="23"/>
      <c r="FQG21" s="16"/>
      <c r="FQH21" s="23"/>
      <c r="FQI21" s="16"/>
      <c r="FQJ21" s="23"/>
      <c r="FQK21" s="16"/>
      <c r="FQL21" s="23"/>
      <c r="FQM21" s="16"/>
      <c r="FQN21" s="23"/>
      <c r="FQO21" s="16"/>
      <c r="FQP21" s="23"/>
      <c r="FQQ21" s="16"/>
      <c r="FQR21" s="23"/>
      <c r="FQS21" s="16"/>
      <c r="FQT21" s="23"/>
      <c r="FQU21" s="16"/>
      <c r="FQV21" s="23"/>
      <c r="FQW21" s="16"/>
      <c r="FQX21" s="23"/>
      <c r="FQY21" s="16"/>
      <c r="FQZ21" s="23"/>
      <c r="FRA21" s="16"/>
      <c r="FRB21" s="23"/>
      <c r="FRC21" s="16"/>
      <c r="FRD21" s="23"/>
      <c r="FRE21" s="16"/>
      <c r="FRF21" s="23"/>
      <c r="FRG21" s="16"/>
      <c r="FRH21" s="23"/>
      <c r="FRI21" s="16"/>
      <c r="FRJ21" s="23"/>
      <c r="FRK21" s="16"/>
      <c r="FRL21" s="23"/>
      <c r="FRM21" s="16"/>
      <c r="FRN21" s="23"/>
      <c r="FRO21" s="16"/>
      <c r="FRP21" s="23"/>
      <c r="FRQ21" s="16"/>
      <c r="FRR21" s="23"/>
      <c r="FRS21" s="16"/>
      <c r="FRT21" s="23"/>
      <c r="FRU21" s="16"/>
      <c r="FRV21" s="23"/>
      <c r="FRW21" s="16"/>
      <c r="FRX21" s="23"/>
      <c r="FRY21" s="16"/>
      <c r="FRZ21" s="23"/>
      <c r="FSA21" s="16"/>
      <c r="FSB21" s="23"/>
      <c r="FSC21" s="16"/>
      <c r="FSD21" s="23"/>
      <c r="FSE21" s="16"/>
      <c r="FSF21" s="23"/>
      <c r="FSG21" s="16"/>
      <c r="FSH21" s="23"/>
      <c r="FSI21" s="16"/>
      <c r="FSJ21" s="23"/>
      <c r="FSK21" s="16"/>
      <c r="FSL21" s="23"/>
      <c r="FSM21" s="16"/>
      <c r="FSN21" s="23"/>
      <c r="FSO21" s="16"/>
      <c r="FSP21" s="23"/>
      <c r="FSQ21" s="16"/>
      <c r="FSR21" s="23"/>
      <c r="FSS21" s="16"/>
      <c r="FST21" s="23"/>
      <c r="FSU21" s="16"/>
      <c r="FSV21" s="23"/>
      <c r="FSW21" s="16"/>
      <c r="FSX21" s="23"/>
      <c r="FSY21" s="16"/>
      <c r="FSZ21" s="23"/>
      <c r="FTA21" s="16"/>
      <c r="FTB21" s="23"/>
      <c r="FTC21" s="16"/>
      <c r="FTD21" s="23"/>
      <c r="FTE21" s="16"/>
      <c r="FTF21" s="23"/>
      <c r="FTG21" s="16"/>
      <c r="FTH21" s="23"/>
      <c r="FTI21" s="16"/>
      <c r="FTJ21" s="23"/>
      <c r="FTK21" s="16"/>
      <c r="FTL21" s="23"/>
      <c r="FTM21" s="16"/>
      <c r="FTN21" s="23"/>
      <c r="FTO21" s="16"/>
      <c r="FTP21" s="23"/>
      <c r="FTQ21" s="16"/>
      <c r="FTR21" s="23"/>
      <c r="FTS21" s="16"/>
      <c r="FTT21" s="23"/>
      <c r="FTU21" s="16"/>
      <c r="FTV21" s="23"/>
      <c r="FTW21" s="16"/>
      <c r="FTX21" s="23"/>
      <c r="FTY21" s="16"/>
      <c r="FTZ21" s="23"/>
      <c r="FUA21" s="16"/>
      <c r="FUB21" s="23"/>
      <c r="FUC21" s="16"/>
      <c r="FUD21" s="23"/>
      <c r="FUE21" s="16"/>
      <c r="FUF21" s="23"/>
      <c r="FUG21" s="16"/>
      <c r="FUH21" s="23"/>
      <c r="FUI21" s="16"/>
      <c r="FUJ21" s="23"/>
      <c r="FUK21" s="16"/>
      <c r="FUL21" s="23"/>
      <c r="FUM21" s="16"/>
      <c r="FUN21" s="23"/>
      <c r="FUO21" s="16"/>
      <c r="FUP21" s="23"/>
      <c r="FUQ21" s="16"/>
      <c r="FUR21" s="23"/>
      <c r="FUS21" s="16"/>
      <c r="FUT21" s="23"/>
      <c r="FUU21" s="16"/>
      <c r="FUV21" s="23"/>
      <c r="FUW21" s="16"/>
      <c r="FUX21" s="23"/>
      <c r="FUY21" s="16"/>
      <c r="FUZ21" s="23"/>
      <c r="FVA21" s="16"/>
      <c r="FVB21" s="23"/>
      <c r="FVC21" s="16"/>
      <c r="FVD21" s="23"/>
      <c r="FVE21" s="16"/>
      <c r="FVF21" s="23"/>
      <c r="FVG21" s="16"/>
      <c r="FVH21" s="23"/>
      <c r="FVI21" s="16"/>
      <c r="FVJ21" s="23"/>
      <c r="FVK21" s="16"/>
      <c r="FVL21" s="23"/>
      <c r="FVM21" s="16"/>
      <c r="FVN21" s="23"/>
      <c r="FVO21" s="16"/>
      <c r="FVP21" s="23"/>
      <c r="FVQ21" s="16"/>
      <c r="FVR21" s="23"/>
      <c r="FVS21" s="16"/>
      <c r="FVT21" s="23"/>
      <c r="FVU21" s="16"/>
      <c r="FVV21" s="23"/>
      <c r="FVW21" s="16"/>
      <c r="FVX21" s="23"/>
      <c r="FVY21" s="16"/>
      <c r="FVZ21" s="23"/>
      <c r="FWA21" s="16"/>
      <c r="FWB21" s="23"/>
      <c r="FWC21" s="16"/>
      <c r="FWD21" s="23"/>
      <c r="FWE21" s="16"/>
      <c r="FWF21" s="23"/>
      <c r="FWG21" s="16"/>
      <c r="FWH21" s="23"/>
      <c r="FWI21" s="16"/>
      <c r="FWJ21" s="23"/>
      <c r="FWK21" s="16"/>
      <c r="FWL21" s="23"/>
      <c r="FWM21" s="16"/>
      <c r="FWN21" s="23"/>
      <c r="FWO21" s="16"/>
      <c r="FWP21" s="23"/>
      <c r="FWQ21" s="16"/>
      <c r="FWR21" s="23"/>
      <c r="FWS21" s="16"/>
      <c r="FWT21" s="23"/>
      <c r="FWU21" s="16"/>
      <c r="FWV21" s="23"/>
      <c r="FWW21" s="16"/>
      <c r="FWX21" s="23"/>
      <c r="FWY21" s="16"/>
      <c r="FWZ21" s="23"/>
      <c r="FXA21" s="16"/>
      <c r="FXB21" s="23"/>
      <c r="FXC21" s="16"/>
      <c r="FXD21" s="23"/>
      <c r="FXE21" s="16"/>
      <c r="FXF21" s="23"/>
      <c r="FXG21" s="16"/>
      <c r="FXH21" s="23"/>
      <c r="FXI21" s="16"/>
      <c r="FXJ21" s="23"/>
      <c r="FXK21" s="16"/>
      <c r="FXL21" s="23"/>
      <c r="FXM21" s="16"/>
      <c r="FXN21" s="23"/>
      <c r="FXO21" s="16"/>
      <c r="FXP21" s="23"/>
      <c r="FXQ21" s="16"/>
      <c r="FXR21" s="23"/>
      <c r="FXS21" s="16"/>
      <c r="FXT21" s="23"/>
      <c r="FXU21" s="16"/>
      <c r="FXV21" s="23"/>
      <c r="FXW21" s="16"/>
      <c r="FXX21" s="23"/>
      <c r="FXY21" s="16"/>
      <c r="FXZ21" s="23"/>
      <c r="FYA21" s="16"/>
      <c r="FYB21" s="23"/>
      <c r="FYC21" s="16"/>
      <c r="FYD21" s="23"/>
      <c r="FYE21" s="16"/>
      <c r="FYF21" s="23"/>
      <c r="FYG21" s="16"/>
      <c r="FYH21" s="23"/>
      <c r="FYI21" s="16"/>
      <c r="FYJ21" s="23"/>
      <c r="FYK21" s="16"/>
      <c r="FYL21" s="23"/>
      <c r="FYM21" s="16"/>
      <c r="FYN21" s="23"/>
      <c r="FYO21" s="16"/>
      <c r="FYP21" s="23"/>
      <c r="FYQ21" s="16"/>
      <c r="FYR21" s="23"/>
      <c r="FYS21" s="16"/>
      <c r="FYT21" s="23"/>
      <c r="FYU21" s="16"/>
      <c r="FYV21" s="23"/>
      <c r="FYW21" s="16"/>
      <c r="FYX21" s="23"/>
      <c r="FYY21" s="16"/>
      <c r="FYZ21" s="23"/>
      <c r="FZA21" s="16"/>
      <c r="FZB21" s="23"/>
      <c r="FZC21" s="16"/>
      <c r="FZD21" s="23"/>
      <c r="FZE21" s="16"/>
      <c r="FZF21" s="23"/>
      <c r="FZG21" s="16"/>
      <c r="FZH21" s="23"/>
      <c r="FZI21" s="16"/>
      <c r="FZJ21" s="23"/>
      <c r="FZK21" s="16"/>
      <c r="FZL21" s="23"/>
      <c r="FZM21" s="16"/>
      <c r="FZN21" s="23"/>
      <c r="FZO21" s="16"/>
      <c r="FZP21" s="23"/>
      <c r="FZQ21" s="16"/>
      <c r="FZR21" s="23"/>
      <c r="FZS21" s="16"/>
      <c r="FZT21" s="23"/>
      <c r="FZU21" s="16"/>
      <c r="FZV21" s="23"/>
      <c r="FZW21" s="16"/>
      <c r="FZX21" s="23"/>
      <c r="FZY21" s="16"/>
      <c r="FZZ21" s="23"/>
      <c r="GAA21" s="16"/>
      <c r="GAB21" s="23"/>
      <c r="GAC21" s="16"/>
      <c r="GAD21" s="23"/>
      <c r="GAE21" s="16"/>
      <c r="GAF21" s="23"/>
      <c r="GAG21" s="16"/>
      <c r="GAH21" s="23"/>
      <c r="GAI21" s="16"/>
      <c r="GAJ21" s="23"/>
      <c r="GAK21" s="16"/>
      <c r="GAL21" s="23"/>
      <c r="GAM21" s="16"/>
      <c r="GAN21" s="23"/>
      <c r="GAO21" s="16"/>
      <c r="GAP21" s="23"/>
      <c r="GAQ21" s="16"/>
      <c r="GAR21" s="23"/>
      <c r="GAS21" s="16"/>
      <c r="GAT21" s="23"/>
      <c r="GAU21" s="16"/>
      <c r="GAV21" s="23"/>
      <c r="GAW21" s="16"/>
      <c r="GAX21" s="23"/>
      <c r="GAY21" s="16"/>
      <c r="GAZ21" s="23"/>
      <c r="GBA21" s="16"/>
      <c r="GBB21" s="23"/>
      <c r="GBC21" s="16"/>
      <c r="GBD21" s="23"/>
      <c r="GBE21" s="16"/>
      <c r="GBF21" s="23"/>
      <c r="GBG21" s="16"/>
      <c r="GBH21" s="23"/>
      <c r="GBI21" s="16"/>
      <c r="GBJ21" s="23"/>
      <c r="GBK21" s="16"/>
      <c r="GBL21" s="23"/>
      <c r="GBM21" s="16"/>
      <c r="GBN21" s="23"/>
      <c r="GBO21" s="16"/>
      <c r="GBP21" s="23"/>
      <c r="GBQ21" s="16"/>
      <c r="GBR21" s="23"/>
      <c r="GBS21" s="16"/>
      <c r="GBT21" s="23"/>
      <c r="GBU21" s="16"/>
      <c r="GBV21" s="23"/>
      <c r="GBW21" s="16"/>
      <c r="GBX21" s="23"/>
      <c r="GBY21" s="16"/>
      <c r="GBZ21" s="23"/>
      <c r="GCA21" s="16"/>
      <c r="GCB21" s="23"/>
      <c r="GCC21" s="16"/>
      <c r="GCD21" s="23"/>
      <c r="GCE21" s="16"/>
      <c r="GCF21" s="23"/>
      <c r="GCG21" s="16"/>
      <c r="GCH21" s="23"/>
      <c r="GCI21" s="16"/>
      <c r="GCJ21" s="23"/>
      <c r="GCK21" s="16"/>
      <c r="GCL21" s="23"/>
      <c r="GCM21" s="16"/>
      <c r="GCN21" s="23"/>
      <c r="GCO21" s="16"/>
      <c r="GCP21" s="23"/>
      <c r="GCQ21" s="16"/>
      <c r="GCR21" s="23"/>
      <c r="GCS21" s="16"/>
      <c r="GCT21" s="23"/>
      <c r="GCU21" s="16"/>
      <c r="GCV21" s="23"/>
      <c r="GCW21" s="16"/>
      <c r="GCX21" s="23"/>
      <c r="GCY21" s="16"/>
      <c r="GCZ21" s="23"/>
      <c r="GDA21" s="16"/>
      <c r="GDB21" s="23"/>
      <c r="GDC21" s="16"/>
      <c r="GDD21" s="23"/>
      <c r="GDE21" s="16"/>
      <c r="GDF21" s="23"/>
      <c r="GDG21" s="16"/>
      <c r="GDH21" s="23"/>
      <c r="GDI21" s="16"/>
      <c r="GDJ21" s="23"/>
      <c r="GDK21" s="16"/>
      <c r="GDL21" s="23"/>
      <c r="GDM21" s="16"/>
      <c r="GDN21" s="23"/>
      <c r="GDO21" s="16"/>
      <c r="GDP21" s="23"/>
      <c r="GDQ21" s="16"/>
      <c r="GDR21" s="23"/>
      <c r="GDS21" s="16"/>
      <c r="GDT21" s="23"/>
      <c r="GDU21" s="16"/>
      <c r="GDV21" s="23"/>
      <c r="GDW21" s="16"/>
      <c r="GDX21" s="23"/>
      <c r="GDY21" s="16"/>
      <c r="GDZ21" s="23"/>
      <c r="GEA21" s="16"/>
      <c r="GEB21" s="23"/>
      <c r="GEC21" s="16"/>
      <c r="GED21" s="23"/>
      <c r="GEE21" s="16"/>
      <c r="GEF21" s="23"/>
      <c r="GEG21" s="16"/>
      <c r="GEH21" s="23"/>
      <c r="GEI21" s="16"/>
      <c r="GEJ21" s="23"/>
      <c r="GEK21" s="16"/>
      <c r="GEL21" s="23"/>
      <c r="GEM21" s="16"/>
      <c r="GEN21" s="23"/>
      <c r="GEO21" s="16"/>
      <c r="GEP21" s="23"/>
      <c r="GEQ21" s="16"/>
      <c r="GER21" s="23"/>
      <c r="GES21" s="16"/>
      <c r="GET21" s="23"/>
      <c r="GEU21" s="16"/>
      <c r="GEV21" s="23"/>
      <c r="GEW21" s="16"/>
      <c r="GEX21" s="23"/>
      <c r="GEY21" s="16"/>
      <c r="GEZ21" s="23"/>
      <c r="GFA21" s="16"/>
      <c r="GFB21" s="23"/>
      <c r="GFC21" s="16"/>
      <c r="GFD21" s="23"/>
      <c r="GFE21" s="16"/>
      <c r="GFF21" s="23"/>
      <c r="GFG21" s="16"/>
      <c r="GFH21" s="23"/>
      <c r="GFI21" s="16"/>
      <c r="GFJ21" s="23"/>
      <c r="GFK21" s="16"/>
      <c r="GFL21" s="23"/>
      <c r="GFM21" s="16"/>
      <c r="GFN21" s="23"/>
      <c r="GFO21" s="16"/>
      <c r="GFP21" s="23"/>
      <c r="GFQ21" s="16"/>
      <c r="GFR21" s="23"/>
      <c r="GFS21" s="16"/>
      <c r="GFT21" s="23"/>
      <c r="GFU21" s="16"/>
      <c r="GFV21" s="23"/>
      <c r="GFW21" s="16"/>
      <c r="GFX21" s="23"/>
      <c r="GFY21" s="16"/>
      <c r="GFZ21" s="23"/>
      <c r="GGA21" s="16"/>
      <c r="GGB21" s="23"/>
      <c r="GGC21" s="16"/>
      <c r="GGD21" s="23"/>
      <c r="GGE21" s="16"/>
      <c r="GGF21" s="23"/>
      <c r="GGG21" s="16"/>
      <c r="GGH21" s="23"/>
      <c r="GGI21" s="16"/>
      <c r="GGJ21" s="23"/>
      <c r="GGK21" s="16"/>
      <c r="GGL21" s="23"/>
      <c r="GGM21" s="16"/>
      <c r="GGN21" s="23"/>
      <c r="GGO21" s="16"/>
      <c r="GGP21" s="23"/>
      <c r="GGQ21" s="16"/>
      <c r="GGR21" s="23"/>
      <c r="GGS21" s="16"/>
      <c r="GGT21" s="23"/>
      <c r="GGU21" s="16"/>
      <c r="GGV21" s="23"/>
      <c r="GGW21" s="16"/>
      <c r="GGX21" s="23"/>
      <c r="GGY21" s="16"/>
      <c r="GGZ21" s="23"/>
      <c r="GHA21" s="16"/>
      <c r="GHB21" s="23"/>
      <c r="GHC21" s="16"/>
      <c r="GHD21" s="23"/>
      <c r="GHE21" s="16"/>
      <c r="GHF21" s="23"/>
      <c r="GHG21" s="16"/>
      <c r="GHH21" s="23"/>
      <c r="GHI21" s="16"/>
      <c r="GHJ21" s="23"/>
      <c r="GHK21" s="16"/>
      <c r="GHL21" s="23"/>
      <c r="GHM21" s="16"/>
      <c r="GHN21" s="23"/>
      <c r="GHO21" s="16"/>
      <c r="GHP21" s="23"/>
      <c r="GHQ21" s="16"/>
      <c r="GHR21" s="23"/>
      <c r="GHS21" s="16"/>
      <c r="GHT21" s="23"/>
      <c r="GHU21" s="16"/>
      <c r="GHV21" s="23"/>
      <c r="GHW21" s="16"/>
      <c r="GHX21" s="23"/>
      <c r="GHY21" s="16"/>
      <c r="GHZ21" s="23"/>
      <c r="GIA21" s="16"/>
      <c r="GIB21" s="23"/>
      <c r="GIC21" s="16"/>
      <c r="GID21" s="23"/>
      <c r="GIE21" s="16"/>
      <c r="GIF21" s="23"/>
      <c r="GIG21" s="16"/>
      <c r="GIH21" s="23"/>
      <c r="GII21" s="16"/>
      <c r="GIJ21" s="23"/>
      <c r="GIK21" s="16"/>
      <c r="GIL21" s="23"/>
      <c r="GIM21" s="16"/>
      <c r="GIN21" s="23"/>
      <c r="GIO21" s="16"/>
      <c r="GIP21" s="23"/>
      <c r="GIQ21" s="16"/>
      <c r="GIR21" s="23"/>
      <c r="GIS21" s="16"/>
      <c r="GIT21" s="23"/>
      <c r="GIU21" s="16"/>
      <c r="GIV21" s="23"/>
      <c r="GIW21" s="16"/>
      <c r="GIX21" s="23"/>
      <c r="GIY21" s="16"/>
      <c r="GIZ21" s="23"/>
      <c r="GJA21" s="16"/>
      <c r="GJB21" s="23"/>
      <c r="GJC21" s="16"/>
      <c r="GJD21" s="23"/>
      <c r="GJE21" s="16"/>
      <c r="GJF21" s="23"/>
      <c r="GJG21" s="16"/>
      <c r="GJH21" s="23"/>
      <c r="GJI21" s="16"/>
      <c r="GJJ21" s="23"/>
      <c r="GJK21" s="16"/>
      <c r="GJL21" s="23"/>
      <c r="GJM21" s="16"/>
      <c r="GJN21" s="23"/>
      <c r="GJO21" s="16"/>
      <c r="GJP21" s="23"/>
      <c r="GJQ21" s="16"/>
      <c r="GJR21" s="23"/>
      <c r="GJS21" s="16"/>
      <c r="GJT21" s="23"/>
      <c r="GJU21" s="16"/>
      <c r="GJV21" s="23"/>
      <c r="GJW21" s="16"/>
      <c r="GJX21" s="23"/>
      <c r="GJY21" s="16"/>
      <c r="GJZ21" s="23"/>
      <c r="GKA21" s="16"/>
      <c r="GKB21" s="23"/>
      <c r="GKC21" s="16"/>
      <c r="GKD21" s="23"/>
      <c r="GKE21" s="16"/>
      <c r="GKF21" s="23"/>
      <c r="GKG21" s="16"/>
      <c r="GKH21" s="23"/>
      <c r="GKI21" s="16"/>
      <c r="GKJ21" s="23"/>
      <c r="GKK21" s="16"/>
      <c r="GKL21" s="23"/>
      <c r="GKM21" s="16"/>
      <c r="GKN21" s="23"/>
      <c r="GKO21" s="16"/>
      <c r="GKP21" s="23"/>
      <c r="GKQ21" s="16"/>
      <c r="GKR21" s="23"/>
      <c r="GKS21" s="16"/>
      <c r="GKT21" s="23"/>
      <c r="GKU21" s="16"/>
      <c r="GKV21" s="23"/>
      <c r="GKW21" s="16"/>
      <c r="GKX21" s="23"/>
      <c r="GKY21" s="16"/>
      <c r="GKZ21" s="23"/>
      <c r="GLA21" s="16"/>
      <c r="GLB21" s="23"/>
      <c r="GLC21" s="16"/>
      <c r="GLD21" s="23"/>
      <c r="GLE21" s="16"/>
      <c r="GLF21" s="23"/>
      <c r="GLG21" s="16"/>
      <c r="GLH21" s="23"/>
      <c r="GLI21" s="16"/>
      <c r="GLJ21" s="23"/>
      <c r="GLK21" s="16"/>
      <c r="GLL21" s="23"/>
      <c r="GLM21" s="16"/>
      <c r="GLN21" s="23"/>
      <c r="GLO21" s="16"/>
      <c r="GLP21" s="23"/>
      <c r="GLQ21" s="16"/>
      <c r="GLR21" s="23"/>
      <c r="GLS21" s="16"/>
      <c r="GLT21" s="23"/>
      <c r="GLU21" s="16"/>
      <c r="GLV21" s="23"/>
      <c r="GLW21" s="16"/>
      <c r="GLX21" s="23"/>
      <c r="GLY21" s="16"/>
      <c r="GLZ21" s="23"/>
      <c r="GMA21" s="16"/>
      <c r="GMB21" s="23"/>
      <c r="GMC21" s="16"/>
      <c r="GMD21" s="23"/>
      <c r="GME21" s="16"/>
      <c r="GMF21" s="23"/>
      <c r="GMG21" s="16"/>
      <c r="GMH21" s="23"/>
      <c r="GMI21" s="16"/>
      <c r="GMJ21" s="23"/>
      <c r="GMK21" s="16"/>
      <c r="GML21" s="23"/>
      <c r="GMM21" s="16"/>
      <c r="GMN21" s="23"/>
      <c r="GMO21" s="16"/>
      <c r="GMP21" s="23"/>
      <c r="GMQ21" s="16"/>
      <c r="GMR21" s="23"/>
      <c r="GMS21" s="16"/>
      <c r="GMT21" s="23"/>
      <c r="GMU21" s="16"/>
      <c r="GMV21" s="23"/>
      <c r="GMW21" s="16"/>
      <c r="GMX21" s="23"/>
      <c r="GMY21" s="16"/>
      <c r="GMZ21" s="23"/>
      <c r="GNA21" s="16"/>
      <c r="GNB21" s="23"/>
      <c r="GNC21" s="16"/>
      <c r="GND21" s="23"/>
      <c r="GNE21" s="16"/>
      <c r="GNF21" s="23"/>
      <c r="GNG21" s="16"/>
      <c r="GNH21" s="23"/>
      <c r="GNI21" s="16"/>
      <c r="GNJ21" s="23"/>
      <c r="GNK21" s="16"/>
      <c r="GNL21" s="23"/>
      <c r="GNM21" s="16"/>
      <c r="GNN21" s="23"/>
      <c r="GNO21" s="16"/>
      <c r="GNP21" s="23"/>
      <c r="GNQ21" s="16"/>
      <c r="GNR21" s="23"/>
      <c r="GNS21" s="16"/>
      <c r="GNT21" s="23"/>
      <c r="GNU21" s="16"/>
      <c r="GNV21" s="23"/>
      <c r="GNW21" s="16"/>
      <c r="GNX21" s="23"/>
      <c r="GNY21" s="16"/>
      <c r="GNZ21" s="23"/>
      <c r="GOA21" s="16"/>
      <c r="GOB21" s="23"/>
      <c r="GOC21" s="16"/>
      <c r="GOD21" s="23"/>
      <c r="GOE21" s="16"/>
      <c r="GOF21" s="23"/>
      <c r="GOG21" s="16"/>
      <c r="GOH21" s="23"/>
      <c r="GOI21" s="16"/>
      <c r="GOJ21" s="23"/>
      <c r="GOK21" s="16"/>
      <c r="GOL21" s="23"/>
      <c r="GOM21" s="16"/>
      <c r="GON21" s="23"/>
      <c r="GOO21" s="16"/>
      <c r="GOP21" s="23"/>
      <c r="GOQ21" s="16"/>
      <c r="GOR21" s="23"/>
      <c r="GOS21" s="16"/>
      <c r="GOT21" s="23"/>
      <c r="GOU21" s="16"/>
      <c r="GOV21" s="23"/>
      <c r="GOW21" s="16"/>
      <c r="GOX21" s="23"/>
      <c r="GOY21" s="16"/>
      <c r="GOZ21" s="23"/>
      <c r="GPA21" s="16"/>
      <c r="GPB21" s="23"/>
      <c r="GPC21" s="16"/>
      <c r="GPD21" s="23"/>
      <c r="GPE21" s="16"/>
      <c r="GPF21" s="23"/>
      <c r="GPG21" s="16"/>
      <c r="GPH21" s="23"/>
      <c r="GPI21" s="16"/>
      <c r="GPJ21" s="23"/>
      <c r="GPK21" s="16"/>
      <c r="GPL21" s="23"/>
      <c r="GPM21" s="16"/>
      <c r="GPN21" s="23"/>
      <c r="GPO21" s="16"/>
      <c r="GPP21" s="23"/>
      <c r="GPQ21" s="16"/>
      <c r="GPR21" s="23"/>
      <c r="GPS21" s="16"/>
      <c r="GPT21" s="23"/>
      <c r="GPU21" s="16"/>
      <c r="GPV21" s="23"/>
      <c r="GPW21" s="16"/>
      <c r="GPX21" s="23"/>
      <c r="GPY21" s="16"/>
      <c r="GPZ21" s="23"/>
      <c r="GQA21" s="16"/>
      <c r="GQB21" s="23"/>
      <c r="GQC21" s="16"/>
      <c r="GQD21" s="23"/>
      <c r="GQE21" s="16"/>
      <c r="GQF21" s="23"/>
      <c r="GQG21" s="16"/>
      <c r="GQH21" s="23"/>
      <c r="GQI21" s="16"/>
      <c r="GQJ21" s="23"/>
      <c r="GQK21" s="16"/>
      <c r="GQL21" s="23"/>
      <c r="GQM21" s="16"/>
      <c r="GQN21" s="23"/>
      <c r="GQO21" s="16"/>
      <c r="GQP21" s="23"/>
      <c r="GQQ21" s="16"/>
      <c r="GQR21" s="23"/>
      <c r="GQS21" s="16"/>
      <c r="GQT21" s="23"/>
      <c r="GQU21" s="16"/>
      <c r="GQV21" s="23"/>
      <c r="GQW21" s="16"/>
      <c r="GQX21" s="23"/>
      <c r="GQY21" s="16"/>
      <c r="GQZ21" s="23"/>
      <c r="GRA21" s="16"/>
      <c r="GRB21" s="23"/>
      <c r="GRC21" s="16"/>
      <c r="GRD21" s="23"/>
      <c r="GRE21" s="16"/>
      <c r="GRF21" s="23"/>
      <c r="GRG21" s="16"/>
      <c r="GRH21" s="23"/>
      <c r="GRI21" s="16"/>
      <c r="GRJ21" s="23"/>
      <c r="GRK21" s="16"/>
      <c r="GRL21" s="23"/>
      <c r="GRM21" s="16"/>
      <c r="GRN21" s="23"/>
      <c r="GRO21" s="16"/>
      <c r="GRP21" s="23"/>
      <c r="GRQ21" s="16"/>
      <c r="GRR21" s="23"/>
      <c r="GRS21" s="16"/>
      <c r="GRT21" s="23"/>
      <c r="GRU21" s="16"/>
      <c r="GRV21" s="23"/>
      <c r="GRW21" s="16"/>
      <c r="GRX21" s="23"/>
      <c r="GRY21" s="16"/>
      <c r="GRZ21" s="23"/>
      <c r="GSA21" s="16"/>
      <c r="GSB21" s="23"/>
      <c r="GSC21" s="16"/>
      <c r="GSD21" s="23"/>
      <c r="GSE21" s="16"/>
      <c r="GSF21" s="23"/>
      <c r="GSG21" s="16"/>
      <c r="GSH21" s="23"/>
      <c r="GSI21" s="16"/>
      <c r="GSJ21" s="23"/>
      <c r="GSK21" s="16"/>
      <c r="GSL21" s="23"/>
      <c r="GSM21" s="16"/>
      <c r="GSN21" s="23"/>
      <c r="GSO21" s="16"/>
      <c r="GSP21" s="23"/>
      <c r="GSQ21" s="16"/>
      <c r="GSR21" s="23"/>
      <c r="GSS21" s="16"/>
      <c r="GST21" s="23"/>
      <c r="GSU21" s="16"/>
      <c r="GSV21" s="23"/>
      <c r="GSW21" s="16"/>
      <c r="GSX21" s="23"/>
      <c r="GSY21" s="16"/>
      <c r="GSZ21" s="23"/>
      <c r="GTA21" s="16"/>
      <c r="GTB21" s="23"/>
      <c r="GTC21" s="16"/>
      <c r="GTD21" s="23"/>
      <c r="GTE21" s="16"/>
      <c r="GTF21" s="23"/>
      <c r="GTG21" s="16"/>
      <c r="GTH21" s="23"/>
      <c r="GTI21" s="16"/>
      <c r="GTJ21" s="23"/>
      <c r="GTK21" s="16"/>
      <c r="GTL21" s="23"/>
      <c r="GTM21" s="16"/>
      <c r="GTN21" s="23"/>
      <c r="GTO21" s="16"/>
      <c r="GTP21" s="23"/>
      <c r="GTQ21" s="16"/>
      <c r="GTR21" s="23"/>
      <c r="GTS21" s="16"/>
      <c r="GTT21" s="23"/>
      <c r="GTU21" s="16"/>
      <c r="GTV21" s="23"/>
      <c r="GTW21" s="16"/>
      <c r="GTX21" s="23"/>
      <c r="GTY21" s="16"/>
      <c r="GTZ21" s="23"/>
      <c r="GUA21" s="16"/>
      <c r="GUB21" s="23"/>
      <c r="GUC21" s="16"/>
      <c r="GUD21" s="23"/>
      <c r="GUE21" s="16"/>
      <c r="GUF21" s="23"/>
      <c r="GUG21" s="16"/>
      <c r="GUH21" s="23"/>
      <c r="GUI21" s="16"/>
      <c r="GUJ21" s="23"/>
      <c r="GUK21" s="16"/>
      <c r="GUL21" s="23"/>
      <c r="GUM21" s="16"/>
      <c r="GUN21" s="23"/>
      <c r="GUO21" s="16"/>
      <c r="GUP21" s="23"/>
      <c r="GUQ21" s="16"/>
      <c r="GUR21" s="23"/>
      <c r="GUS21" s="16"/>
      <c r="GUT21" s="23"/>
      <c r="GUU21" s="16"/>
      <c r="GUV21" s="23"/>
      <c r="GUW21" s="16"/>
      <c r="GUX21" s="23"/>
      <c r="GUY21" s="16"/>
      <c r="GUZ21" s="23"/>
      <c r="GVA21" s="16"/>
      <c r="GVB21" s="23"/>
      <c r="GVC21" s="16"/>
      <c r="GVD21" s="23"/>
      <c r="GVE21" s="16"/>
      <c r="GVF21" s="23"/>
      <c r="GVG21" s="16"/>
      <c r="GVH21" s="23"/>
      <c r="GVI21" s="16"/>
      <c r="GVJ21" s="23"/>
      <c r="GVK21" s="16"/>
      <c r="GVL21" s="23"/>
      <c r="GVM21" s="16"/>
      <c r="GVN21" s="23"/>
      <c r="GVO21" s="16"/>
      <c r="GVP21" s="23"/>
      <c r="GVQ21" s="16"/>
      <c r="GVR21" s="23"/>
      <c r="GVS21" s="16"/>
      <c r="GVT21" s="23"/>
      <c r="GVU21" s="16"/>
      <c r="GVV21" s="23"/>
      <c r="GVW21" s="16"/>
      <c r="GVX21" s="23"/>
      <c r="GVY21" s="16"/>
      <c r="GVZ21" s="23"/>
      <c r="GWA21" s="16"/>
      <c r="GWB21" s="23"/>
      <c r="GWC21" s="16"/>
      <c r="GWD21" s="23"/>
      <c r="GWE21" s="16"/>
      <c r="GWF21" s="23"/>
      <c r="GWG21" s="16"/>
      <c r="GWH21" s="23"/>
      <c r="GWI21" s="16"/>
      <c r="GWJ21" s="23"/>
      <c r="GWK21" s="16"/>
      <c r="GWL21" s="23"/>
      <c r="GWM21" s="16"/>
      <c r="GWN21" s="23"/>
      <c r="GWO21" s="16"/>
      <c r="GWP21" s="23"/>
      <c r="GWQ21" s="16"/>
      <c r="GWR21" s="23"/>
      <c r="GWS21" s="16"/>
      <c r="GWT21" s="23"/>
      <c r="GWU21" s="16"/>
      <c r="GWV21" s="23"/>
      <c r="GWW21" s="16"/>
      <c r="GWX21" s="23"/>
      <c r="GWY21" s="16"/>
      <c r="GWZ21" s="23"/>
      <c r="GXA21" s="16"/>
      <c r="GXB21" s="23"/>
      <c r="GXC21" s="16"/>
      <c r="GXD21" s="23"/>
      <c r="GXE21" s="16"/>
      <c r="GXF21" s="23"/>
      <c r="GXG21" s="16"/>
      <c r="GXH21" s="23"/>
      <c r="GXI21" s="16"/>
      <c r="GXJ21" s="23"/>
      <c r="GXK21" s="16"/>
      <c r="GXL21" s="23"/>
      <c r="GXM21" s="16"/>
      <c r="GXN21" s="23"/>
      <c r="GXO21" s="16"/>
      <c r="GXP21" s="23"/>
      <c r="GXQ21" s="16"/>
      <c r="GXR21" s="23"/>
      <c r="GXS21" s="16"/>
      <c r="GXT21" s="23"/>
      <c r="GXU21" s="16"/>
      <c r="GXV21" s="23"/>
      <c r="GXW21" s="16"/>
      <c r="GXX21" s="23"/>
      <c r="GXY21" s="16"/>
      <c r="GXZ21" s="23"/>
      <c r="GYA21" s="16"/>
      <c r="GYB21" s="23"/>
      <c r="GYC21" s="16"/>
      <c r="GYD21" s="23"/>
      <c r="GYE21" s="16"/>
      <c r="GYF21" s="23"/>
      <c r="GYG21" s="16"/>
      <c r="GYH21" s="23"/>
      <c r="GYI21" s="16"/>
      <c r="GYJ21" s="23"/>
      <c r="GYK21" s="16"/>
      <c r="GYL21" s="23"/>
      <c r="GYM21" s="16"/>
      <c r="GYN21" s="23"/>
      <c r="GYO21" s="16"/>
      <c r="GYP21" s="23"/>
      <c r="GYQ21" s="16"/>
      <c r="GYR21" s="23"/>
      <c r="GYS21" s="16"/>
      <c r="GYT21" s="23"/>
      <c r="GYU21" s="16"/>
      <c r="GYV21" s="23"/>
      <c r="GYW21" s="16"/>
      <c r="GYX21" s="23"/>
      <c r="GYY21" s="16"/>
      <c r="GYZ21" s="23"/>
      <c r="GZA21" s="16"/>
      <c r="GZB21" s="23"/>
      <c r="GZC21" s="16"/>
      <c r="GZD21" s="23"/>
      <c r="GZE21" s="16"/>
      <c r="GZF21" s="23"/>
      <c r="GZG21" s="16"/>
      <c r="GZH21" s="23"/>
      <c r="GZI21" s="16"/>
      <c r="GZJ21" s="23"/>
      <c r="GZK21" s="16"/>
      <c r="GZL21" s="23"/>
      <c r="GZM21" s="16"/>
      <c r="GZN21" s="23"/>
      <c r="GZO21" s="16"/>
      <c r="GZP21" s="23"/>
      <c r="GZQ21" s="16"/>
      <c r="GZR21" s="23"/>
      <c r="GZS21" s="16"/>
      <c r="GZT21" s="23"/>
      <c r="GZU21" s="16"/>
      <c r="GZV21" s="23"/>
      <c r="GZW21" s="16"/>
      <c r="GZX21" s="23"/>
      <c r="GZY21" s="16"/>
      <c r="GZZ21" s="23"/>
      <c r="HAA21" s="16"/>
      <c r="HAB21" s="23"/>
      <c r="HAC21" s="16"/>
      <c r="HAD21" s="23"/>
      <c r="HAE21" s="16"/>
      <c r="HAF21" s="23"/>
      <c r="HAG21" s="16"/>
      <c r="HAH21" s="23"/>
      <c r="HAI21" s="16"/>
      <c r="HAJ21" s="23"/>
      <c r="HAK21" s="16"/>
      <c r="HAL21" s="23"/>
      <c r="HAM21" s="16"/>
      <c r="HAN21" s="23"/>
      <c r="HAO21" s="16"/>
      <c r="HAP21" s="23"/>
      <c r="HAQ21" s="16"/>
      <c r="HAR21" s="23"/>
      <c r="HAS21" s="16"/>
      <c r="HAT21" s="23"/>
      <c r="HAU21" s="16"/>
      <c r="HAV21" s="23"/>
      <c r="HAW21" s="16"/>
      <c r="HAX21" s="23"/>
      <c r="HAY21" s="16"/>
      <c r="HAZ21" s="23"/>
      <c r="HBA21" s="16"/>
      <c r="HBB21" s="23"/>
      <c r="HBC21" s="16"/>
      <c r="HBD21" s="23"/>
      <c r="HBE21" s="16"/>
      <c r="HBF21" s="23"/>
      <c r="HBG21" s="16"/>
      <c r="HBH21" s="23"/>
      <c r="HBI21" s="16"/>
      <c r="HBJ21" s="23"/>
      <c r="HBK21" s="16"/>
      <c r="HBL21" s="23"/>
      <c r="HBM21" s="16"/>
      <c r="HBN21" s="23"/>
      <c r="HBO21" s="16"/>
      <c r="HBP21" s="23"/>
      <c r="HBQ21" s="16"/>
      <c r="HBR21" s="23"/>
      <c r="HBS21" s="16"/>
      <c r="HBT21" s="23"/>
      <c r="HBU21" s="16"/>
      <c r="HBV21" s="23"/>
      <c r="HBW21" s="16"/>
      <c r="HBX21" s="23"/>
      <c r="HBY21" s="16"/>
      <c r="HBZ21" s="23"/>
      <c r="HCA21" s="16"/>
      <c r="HCB21" s="23"/>
      <c r="HCC21" s="16"/>
      <c r="HCD21" s="23"/>
      <c r="HCE21" s="16"/>
      <c r="HCF21" s="23"/>
      <c r="HCG21" s="16"/>
      <c r="HCH21" s="23"/>
      <c r="HCI21" s="16"/>
      <c r="HCJ21" s="23"/>
      <c r="HCK21" s="16"/>
      <c r="HCL21" s="23"/>
      <c r="HCM21" s="16"/>
      <c r="HCN21" s="23"/>
      <c r="HCO21" s="16"/>
      <c r="HCP21" s="23"/>
      <c r="HCQ21" s="16"/>
      <c r="HCR21" s="23"/>
      <c r="HCS21" s="16"/>
      <c r="HCT21" s="23"/>
      <c r="HCU21" s="16"/>
      <c r="HCV21" s="23"/>
      <c r="HCW21" s="16"/>
      <c r="HCX21" s="23"/>
      <c r="HCY21" s="16"/>
      <c r="HCZ21" s="23"/>
      <c r="HDA21" s="16"/>
      <c r="HDB21" s="23"/>
      <c r="HDC21" s="16"/>
      <c r="HDD21" s="23"/>
      <c r="HDE21" s="16"/>
      <c r="HDF21" s="23"/>
      <c r="HDG21" s="16"/>
      <c r="HDH21" s="23"/>
      <c r="HDI21" s="16"/>
      <c r="HDJ21" s="23"/>
      <c r="HDK21" s="16"/>
      <c r="HDL21" s="23"/>
      <c r="HDM21" s="16"/>
      <c r="HDN21" s="23"/>
      <c r="HDO21" s="16"/>
      <c r="HDP21" s="23"/>
      <c r="HDQ21" s="16"/>
      <c r="HDR21" s="23"/>
      <c r="HDS21" s="16"/>
      <c r="HDT21" s="23"/>
      <c r="HDU21" s="16"/>
      <c r="HDV21" s="23"/>
      <c r="HDW21" s="16"/>
      <c r="HDX21" s="23"/>
      <c r="HDY21" s="16"/>
      <c r="HDZ21" s="23"/>
      <c r="HEA21" s="16"/>
      <c r="HEB21" s="23"/>
      <c r="HEC21" s="16"/>
      <c r="HED21" s="23"/>
      <c r="HEE21" s="16"/>
      <c r="HEF21" s="23"/>
      <c r="HEG21" s="16"/>
      <c r="HEH21" s="23"/>
      <c r="HEI21" s="16"/>
      <c r="HEJ21" s="23"/>
      <c r="HEK21" s="16"/>
      <c r="HEL21" s="23"/>
      <c r="HEM21" s="16"/>
      <c r="HEN21" s="23"/>
      <c r="HEO21" s="16"/>
      <c r="HEP21" s="23"/>
      <c r="HEQ21" s="16"/>
      <c r="HER21" s="23"/>
      <c r="HES21" s="16"/>
      <c r="HET21" s="23"/>
      <c r="HEU21" s="16"/>
      <c r="HEV21" s="23"/>
      <c r="HEW21" s="16"/>
      <c r="HEX21" s="23"/>
      <c r="HEY21" s="16"/>
      <c r="HEZ21" s="23"/>
      <c r="HFA21" s="16"/>
      <c r="HFB21" s="23"/>
      <c r="HFC21" s="16"/>
      <c r="HFD21" s="23"/>
      <c r="HFE21" s="16"/>
      <c r="HFF21" s="23"/>
      <c r="HFG21" s="16"/>
      <c r="HFH21" s="23"/>
      <c r="HFI21" s="16"/>
      <c r="HFJ21" s="23"/>
      <c r="HFK21" s="16"/>
      <c r="HFL21" s="23"/>
      <c r="HFM21" s="16"/>
      <c r="HFN21" s="23"/>
      <c r="HFO21" s="16"/>
      <c r="HFP21" s="23"/>
      <c r="HFQ21" s="16"/>
      <c r="HFR21" s="23"/>
      <c r="HFS21" s="16"/>
      <c r="HFT21" s="23"/>
      <c r="HFU21" s="16"/>
      <c r="HFV21" s="23"/>
      <c r="HFW21" s="16"/>
      <c r="HFX21" s="23"/>
      <c r="HFY21" s="16"/>
      <c r="HFZ21" s="23"/>
      <c r="HGA21" s="16"/>
      <c r="HGB21" s="23"/>
      <c r="HGC21" s="16"/>
      <c r="HGD21" s="23"/>
      <c r="HGE21" s="16"/>
      <c r="HGF21" s="23"/>
      <c r="HGG21" s="16"/>
      <c r="HGH21" s="23"/>
      <c r="HGI21" s="16"/>
      <c r="HGJ21" s="23"/>
      <c r="HGK21" s="16"/>
      <c r="HGL21" s="23"/>
      <c r="HGM21" s="16"/>
      <c r="HGN21" s="23"/>
      <c r="HGO21" s="16"/>
      <c r="HGP21" s="23"/>
      <c r="HGQ21" s="16"/>
      <c r="HGR21" s="23"/>
      <c r="HGS21" s="16"/>
      <c r="HGT21" s="23"/>
      <c r="HGU21" s="16"/>
      <c r="HGV21" s="23"/>
      <c r="HGW21" s="16"/>
      <c r="HGX21" s="23"/>
      <c r="HGY21" s="16"/>
      <c r="HGZ21" s="23"/>
      <c r="HHA21" s="16"/>
      <c r="HHB21" s="23"/>
      <c r="HHC21" s="16"/>
      <c r="HHD21" s="23"/>
      <c r="HHE21" s="16"/>
      <c r="HHF21" s="23"/>
      <c r="HHG21" s="16"/>
      <c r="HHH21" s="23"/>
      <c r="HHI21" s="16"/>
      <c r="HHJ21" s="23"/>
      <c r="HHK21" s="16"/>
      <c r="HHL21" s="23"/>
      <c r="HHM21" s="16"/>
      <c r="HHN21" s="23"/>
      <c r="HHO21" s="16"/>
      <c r="HHP21" s="23"/>
      <c r="HHQ21" s="16"/>
      <c r="HHR21" s="23"/>
      <c r="HHS21" s="16"/>
      <c r="HHT21" s="23"/>
      <c r="HHU21" s="16"/>
      <c r="HHV21" s="23"/>
      <c r="HHW21" s="16"/>
      <c r="HHX21" s="23"/>
      <c r="HHY21" s="16"/>
      <c r="HHZ21" s="23"/>
      <c r="HIA21" s="16"/>
      <c r="HIB21" s="23"/>
      <c r="HIC21" s="16"/>
      <c r="HID21" s="23"/>
      <c r="HIE21" s="16"/>
      <c r="HIF21" s="23"/>
      <c r="HIG21" s="16"/>
      <c r="HIH21" s="23"/>
      <c r="HII21" s="16"/>
      <c r="HIJ21" s="23"/>
      <c r="HIK21" s="16"/>
      <c r="HIL21" s="23"/>
      <c r="HIM21" s="16"/>
      <c r="HIN21" s="23"/>
      <c r="HIO21" s="16"/>
      <c r="HIP21" s="23"/>
      <c r="HIQ21" s="16"/>
      <c r="HIR21" s="23"/>
      <c r="HIS21" s="16"/>
      <c r="HIT21" s="23"/>
      <c r="HIU21" s="16"/>
      <c r="HIV21" s="23"/>
      <c r="HIW21" s="16"/>
      <c r="HIX21" s="23"/>
      <c r="HIY21" s="16"/>
      <c r="HIZ21" s="23"/>
      <c r="HJA21" s="16"/>
      <c r="HJB21" s="23"/>
      <c r="HJC21" s="16"/>
      <c r="HJD21" s="23"/>
      <c r="HJE21" s="16"/>
      <c r="HJF21" s="23"/>
      <c r="HJG21" s="16"/>
      <c r="HJH21" s="23"/>
      <c r="HJI21" s="16"/>
      <c r="HJJ21" s="23"/>
      <c r="HJK21" s="16"/>
      <c r="HJL21" s="23"/>
      <c r="HJM21" s="16"/>
      <c r="HJN21" s="23"/>
      <c r="HJO21" s="16"/>
      <c r="HJP21" s="23"/>
      <c r="HJQ21" s="16"/>
      <c r="HJR21" s="23"/>
      <c r="HJS21" s="16"/>
      <c r="HJT21" s="23"/>
      <c r="HJU21" s="16"/>
      <c r="HJV21" s="23"/>
      <c r="HJW21" s="16"/>
      <c r="HJX21" s="23"/>
      <c r="HJY21" s="16"/>
      <c r="HJZ21" s="23"/>
      <c r="HKA21" s="16"/>
      <c r="HKB21" s="23"/>
      <c r="HKC21" s="16"/>
      <c r="HKD21" s="23"/>
      <c r="HKE21" s="16"/>
      <c r="HKF21" s="23"/>
      <c r="HKG21" s="16"/>
      <c r="HKH21" s="23"/>
      <c r="HKI21" s="16"/>
      <c r="HKJ21" s="23"/>
      <c r="HKK21" s="16"/>
      <c r="HKL21" s="23"/>
      <c r="HKM21" s="16"/>
      <c r="HKN21" s="23"/>
      <c r="HKO21" s="16"/>
      <c r="HKP21" s="23"/>
      <c r="HKQ21" s="16"/>
      <c r="HKR21" s="23"/>
      <c r="HKS21" s="16"/>
      <c r="HKT21" s="23"/>
      <c r="HKU21" s="16"/>
      <c r="HKV21" s="23"/>
      <c r="HKW21" s="16"/>
      <c r="HKX21" s="23"/>
      <c r="HKY21" s="16"/>
      <c r="HKZ21" s="23"/>
      <c r="HLA21" s="16"/>
      <c r="HLB21" s="23"/>
      <c r="HLC21" s="16"/>
      <c r="HLD21" s="23"/>
      <c r="HLE21" s="16"/>
      <c r="HLF21" s="23"/>
      <c r="HLG21" s="16"/>
      <c r="HLH21" s="23"/>
      <c r="HLI21" s="16"/>
      <c r="HLJ21" s="23"/>
      <c r="HLK21" s="16"/>
      <c r="HLL21" s="23"/>
      <c r="HLM21" s="16"/>
      <c r="HLN21" s="23"/>
      <c r="HLO21" s="16"/>
      <c r="HLP21" s="23"/>
      <c r="HLQ21" s="16"/>
      <c r="HLR21" s="23"/>
      <c r="HLS21" s="16"/>
      <c r="HLT21" s="23"/>
      <c r="HLU21" s="16"/>
      <c r="HLV21" s="23"/>
      <c r="HLW21" s="16"/>
      <c r="HLX21" s="23"/>
      <c r="HLY21" s="16"/>
      <c r="HLZ21" s="23"/>
      <c r="HMA21" s="16"/>
      <c r="HMB21" s="23"/>
      <c r="HMC21" s="16"/>
      <c r="HMD21" s="23"/>
      <c r="HME21" s="16"/>
      <c r="HMF21" s="23"/>
      <c r="HMG21" s="16"/>
      <c r="HMH21" s="23"/>
      <c r="HMI21" s="16"/>
      <c r="HMJ21" s="23"/>
      <c r="HMK21" s="16"/>
      <c r="HML21" s="23"/>
      <c r="HMM21" s="16"/>
      <c r="HMN21" s="23"/>
      <c r="HMO21" s="16"/>
      <c r="HMP21" s="23"/>
      <c r="HMQ21" s="16"/>
      <c r="HMR21" s="23"/>
      <c r="HMS21" s="16"/>
      <c r="HMT21" s="23"/>
      <c r="HMU21" s="16"/>
      <c r="HMV21" s="23"/>
      <c r="HMW21" s="16"/>
      <c r="HMX21" s="23"/>
      <c r="HMY21" s="16"/>
      <c r="HMZ21" s="23"/>
      <c r="HNA21" s="16"/>
      <c r="HNB21" s="23"/>
      <c r="HNC21" s="16"/>
      <c r="HND21" s="23"/>
      <c r="HNE21" s="16"/>
      <c r="HNF21" s="23"/>
      <c r="HNG21" s="16"/>
      <c r="HNH21" s="23"/>
      <c r="HNI21" s="16"/>
      <c r="HNJ21" s="23"/>
      <c r="HNK21" s="16"/>
      <c r="HNL21" s="23"/>
      <c r="HNM21" s="16"/>
      <c r="HNN21" s="23"/>
      <c r="HNO21" s="16"/>
      <c r="HNP21" s="23"/>
      <c r="HNQ21" s="16"/>
      <c r="HNR21" s="23"/>
      <c r="HNS21" s="16"/>
      <c r="HNT21" s="23"/>
      <c r="HNU21" s="16"/>
      <c r="HNV21" s="23"/>
      <c r="HNW21" s="16"/>
      <c r="HNX21" s="23"/>
      <c r="HNY21" s="16"/>
      <c r="HNZ21" s="23"/>
      <c r="HOA21" s="16"/>
      <c r="HOB21" s="23"/>
      <c r="HOC21" s="16"/>
      <c r="HOD21" s="23"/>
      <c r="HOE21" s="16"/>
      <c r="HOF21" s="23"/>
      <c r="HOG21" s="16"/>
      <c r="HOH21" s="23"/>
      <c r="HOI21" s="16"/>
      <c r="HOJ21" s="23"/>
      <c r="HOK21" s="16"/>
      <c r="HOL21" s="23"/>
      <c r="HOM21" s="16"/>
      <c r="HON21" s="23"/>
      <c r="HOO21" s="16"/>
      <c r="HOP21" s="23"/>
      <c r="HOQ21" s="16"/>
      <c r="HOR21" s="23"/>
      <c r="HOS21" s="16"/>
      <c r="HOT21" s="23"/>
      <c r="HOU21" s="16"/>
      <c r="HOV21" s="23"/>
      <c r="HOW21" s="16"/>
      <c r="HOX21" s="23"/>
      <c r="HOY21" s="16"/>
      <c r="HOZ21" s="23"/>
      <c r="HPA21" s="16"/>
      <c r="HPB21" s="23"/>
      <c r="HPC21" s="16"/>
      <c r="HPD21" s="23"/>
      <c r="HPE21" s="16"/>
      <c r="HPF21" s="23"/>
      <c r="HPG21" s="16"/>
      <c r="HPH21" s="23"/>
      <c r="HPI21" s="16"/>
      <c r="HPJ21" s="23"/>
      <c r="HPK21" s="16"/>
      <c r="HPL21" s="23"/>
      <c r="HPM21" s="16"/>
      <c r="HPN21" s="23"/>
      <c r="HPO21" s="16"/>
      <c r="HPP21" s="23"/>
      <c r="HPQ21" s="16"/>
      <c r="HPR21" s="23"/>
      <c r="HPS21" s="16"/>
      <c r="HPT21" s="23"/>
      <c r="HPU21" s="16"/>
      <c r="HPV21" s="23"/>
      <c r="HPW21" s="16"/>
      <c r="HPX21" s="23"/>
      <c r="HPY21" s="16"/>
      <c r="HPZ21" s="23"/>
      <c r="HQA21" s="16"/>
      <c r="HQB21" s="23"/>
      <c r="HQC21" s="16"/>
      <c r="HQD21" s="23"/>
      <c r="HQE21" s="16"/>
      <c r="HQF21" s="23"/>
      <c r="HQG21" s="16"/>
      <c r="HQH21" s="23"/>
      <c r="HQI21" s="16"/>
      <c r="HQJ21" s="23"/>
      <c r="HQK21" s="16"/>
      <c r="HQL21" s="23"/>
      <c r="HQM21" s="16"/>
      <c r="HQN21" s="23"/>
      <c r="HQO21" s="16"/>
      <c r="HQP21" s="23"/>
      <c r="HQQ21" s="16"/>
      <c r="HQR21" s="23"/>
      <c r="HQS21" s="16"/>
      <c r="HQT21" s="23"/>
      <c r="HQU21" s="16"/>
      <c r="HQV21" s="23"/>
      <c r="HQW21" s="16"/>
      <c r="HQX21" s="23"/>
      <c r="HQY21" s="16"/>
      <c r="HQZ21" s="23"/>
      <c r="HRA21" s="16"/>
      <c r="HRB21" s="23"/>
      <c r="HRC21" s="16"/>
      <c r="HRD21" s="23"/>
      <c r="HRE21" s="16"/>
      <c r="HRF21" s="23"/>
      <c r="HRG21" s="16"/>
      <c r="HRH21" s="23"/>
      <c r="HRI21" s="16"/>
      <c r="HRJ21" s="23"/>
      <c r="HRK21" s="16"/>
      <c r="HRL21" s="23"/>
      <c r="HRM21" s="16"/>
      <c r="HRN21" s="23"/>
      <c r="HRO21" s="16"/>
      <c r="HRP21" s="23"/>
      <c r="HRQ21" s="16"/>
      <c r="HRR21" s="23"/>
      <c r="HRS21" s="16"/>
      <c r="HRT21" s="23"/>
      <c r="HRU21" s="16"/>
      <c r="HRV21" s="23"/>
      <c r="HRW21" s="16"/>
      <c r="HRX21" s="23"/>
      <c r="HRY21" s="16"/>
      <c r="HRZ21" s="23"/>
      <c r="HSA21" s="16"/>
      <c r="HSB21" s="23"/>
      <c r="HSC21" s="16"/>
      <c r="HSD21" s="23"/>
      <c r="HSE21" s="16"/>
      <c r="HSF21" s="23"/>
      <c r="HSG21" s="16"/>
      <c r="HSH21" s="23"/>
      <c r="HSI21" s="16"/>
      <c r="HSJ21" s="23"/>
      <c r="HSK21" s="16"/>
      <c r="HSL21" s="23"/>
      <c r="HSM21" s="16"/>
      <c r="HSN21" s="23"/>
      <c r="HSO21" s="16"/>
      <c r="HSP21" s="23"/>
      <c r="HSQ21" s="16"/>
      <c r="HSR21" s="23"/>
      <c r="HSS21" s="16"/>
      <c r="HST21" s="23"/>
      <c r="HSU21" s="16"/>
      <c r="HSV21" s="23"/>
      <c r="HSW21" s="16"/>
      <c r="HSX21" s="23"/>
      <c r="HSY21" s="16"/>
      <c r="HSZ21" s="23"/>
      <c r="HTA21" s="16"/>
      <c r="HTB21" s="23"/>
      <c r="HTC21" s="16"/>
      <c r="HTD21" s="23"/>
      <c r="HTE21" s="16"/>
      <c r="HTF21" s="23"/>
      <c r="HTG21" s="16"/>
      <c r="HTH21" s="23"/>
      <c r="HTI21" s="16"/>
      <c r="HTJ21" s="23"/>
      <c r="HTK21" s="16"/>
      <c r="HTL21" s="23"/>
      <c r="HTM21" s="16"/>
      <c r="HTN21" s="23"/>
      <c r="HTO21" s="16"/>
      <c r="HTP21" s="23"/>
      <c r="HTQ21" s="16"/>
      <c r="HTR21" s="23"/>
      <c r="HTS21" s="16"/>
      <c r="HTT21" s="23"/>
      <c r="HTU21" s="16"/>
      <c r="HTV21" s="23"/>
      <c r="HTW21" s="16"/>
      <c r="HTX21" s="23"/>
      <c r="HTY21" s="16"/>
      <c r="HTZ21" s="23"/>
      <c r="HUA21" s="16"/>
      <c r="HUB21" s="23"/>
      <c r="HUC21" s="16"/>
      <c r="HUD21" s="23"/>
      <c r="HUE21" s="16"/>
      <c r="HUF21" s="23"/>
      <c r="HUG21" s="16"/>
      <c r="HUH21" s="23"/>
      <c r="HUI21" s="16"/>
      <c r="HUJ21" s="23"/>
      <c r="HUK21" s="16"/>
      <c r="HUL21" s="23"/>
      <c r="HUM21" s="16"/>
      <c r="HUN21" s="23"/>
      <c r="HUO21" s="16"/>
      <c r="HUP21" s="23"/>
      <c r="HUQ21" s="16"/>
      <c r="HUR21" s="23"/>
      <c r="HUS21" s="16"/>
      <c r="HUT21" s="23"/>
      <c r="HUU21" s="16"/>
      <c r="HUV21" s="23"/>
      <c r="HUW21" s="16"/>
      <c r="HUX21" s="23"/>
      <c r="HUY21" s="16"/>
      <c r="HUZ21" s="23"/>
      <c r="HVA21" s="16"/>
      <c r="HVB21" s="23"/>
      <c r="HVC21" s="16"/>
      <c r="HVD21" s="23"/>
      <c r="HVE21" s="16"/>
      <c r="HVF21" s="23"/>
      <c r="HVG21" s="16"/>
      <c r="HVH21" s="23"/>
      <c r="HVI21" s="16"/>
      <c r="HVJ21" s="23"/>
      <c r="HVK21" s="16"/>
      <c r="HVL21" s="23"/>
      <c r="HVM21" s="16"/>
      <c r="HVN21" s="23"/>
      <c r="HVO21" s="16"/>
      <c r="HVP21" s="23"/>
      <c r="HVQ21" s="16"/>
      <c r="HVR21" s="23"/>
      <c r="HVS21" s="16"/>
      <c r="HVT21" s="23"/>
      <c r="HVU21" s="16"/>
      <c r="HVV21" s="23"/>
      <c r="HVW21" s="16"/>
      <c r="HVX21" s="23"/>
      <c r="HVY21" s="16"/>
      <c r="HVZ21" s="23"/>
      <c r="HWA21" s="16"/>
      <c r="HWB21" s="23"/>
      <c r="HWC21" s="16"/>
      <c r="HWD21" s="23"/>
      <c r="HWE21" s="16"/>
      <c r="HWF21" s="23"/>
      <c r="HWG21" s="16"/>
      <c r="HWH21" s="23"/>
      <c r="HWI21" s="16"/>
      <c r="HWJ21" s="23"/>
      <c r="HWK21" s="16"/>
      <c r="HWL21" s="23"/>
      <c r="HWM21" s="16"/>
      <c r="HWN21" s="23"/>
      <c r="HWO21" s="16"/>
      <c r="HWP21" s="23"/>
      <c r="HWQ21" s="16"/>
      <c r="HWR21" s="23"/>
      <c r="HWS21" s="16"/>
      <c r="HWT21" s="23"/>
      <c r="HWU21" s="16"/>
      <c r="HWV21" s="23"/>
      <c r="HWW21" s="16"/>
      <c r="HWX21" s="23"/>
      <c r="HWY21" s="16"/>
      <c r="HWZ21" s="23"/>
      <c r="HXA21" s="16"/>
      <c r="HXB21" s="23"/>
      <c r="HXC21" s="16"/>
      <c r="HXD21" s="23"/>
      <c r="HXE21" s="16"/>
      <c r="HXF21" s="23"/>
      <c r="HXG21" s="16"/>
      <c r="HXH21" s="23"/>
      <c r="HXI21" s="16"/>
      <c r="HXJ21" s="23"/>
      <c r="HXK21" s="16"/>
      <c r="HXL21" s="23"/>
      <c r="HXM21" s="16"/>
      <c r="HXN21" s="23"/>
      <c r="HXO21" s="16"/>
      <c r="HXP21" s="23"/>
      <c r="HXQ21" s="16"/>
      <c r="HXR21" s="23"/>
      <c r="HXS21" s="16"/>
      <c r="HXT21" s="23"/>
      <c r="HXU21" s="16"/>
      <c r="HXV21" s="23"/>
      <c r="HXW21" s="16"/>
      <c r="HXX21" s="23"/>
      <c r="HXY21" s="16"/>
      <c r="HXZ21" s="23"/>
      <c r="HYA21" s="16"/>
      <c r="HYB21" s="23"/>
      <c r="HYC21" s="16"/>
      <c r="HYD21" s="23"/>
      <c r="HYE21" s="16"/>
      <c r="HYF21" s="23"/>
      <c r="HYG21" s="16"/>
      <c r="HYH21" s="23"/>
      <c r="HYI21" s="16"/>
      <c r="HYJ21" s="23"/>
      <c r="HYK21" s="16"/>
      <c r="HYL21" s="23"/>
      <c r="HYM21" s="16"/>
      <c r="HYN21" s="23"/>
      <c r="HYO21" s="16"/>
      <c r="HYP21" s="23"/>
      <c r="HYQ21" s="16"/>
      <c r="HYR21" s="23"/>
      <c r="HYS21" s="16"/>
      <c r="HYT21" s="23"/>
      <c r="HYU21" s="16"/>
      <c r="HYV21" s="23"/>
      <c r="HYW21" s="16"/>
      <c r="HYX21" s="23"/>
      <c r="HYY21" s="16"/>
      <c r="HYZ21" s="23"/>
      <c r="HZA21" s="16"/>
      <c r="HZB21" s="23"/>
      <c r="HZC21" s="16"/>
      <c r="HZD21" s="23"/>
      <c r="HZE21" s="16"/>
      <c r="HZF21" s="23"/>
      <c r="HZG21" s="16"/>
      <c r="HZH21" s="23"/>
      <c r="HZI21" s="16"/>
      <c r="HZJ21" s="23"/>
      <c r="HZK21" s="16"/>
      <c r="HZL21" s="23"/>
      <c r="HZM21" s="16"/>
      <c r="HZN21" s="23"/>
      <c r="HZO21" s="16"/>
      <c r="HZP21" s="23"/>
      <c r="HZQ21" s="16"/>
      <c r="HZR21" s="23"/>
      <c r="HZS21" s="16"/>
      <c r="HZT21" s="23"/>
      <c r="HZU21" s="16"/>
      <c r="HZV21" s="23"/>
      <c r="HZW21" s="16"/>
      <c r="HZX21" s="23"/>
      <c r="HZY21" s="16"/>
      <c r="HZZ21" s="23"/>
      <c r="IAA21" s="16"/>
      <c r="IAB21" s="23"/>
      <c r="IAC21" s="16"/>
      <c r="IAD21" s="23"/>
      <c r="IAE21" s="16"/>
      <c r="IAF21" s="23"/>
      <c r="IAG21" s="16"/>
      <c r="IAH21" s="23"/>
      <c r="IAI21" s="16"/>
      <c r="IAJ21" s="23"/>
      <c r="IAK21" s="16"/>
      <c r="IAL21" s="23"/>
      <c r="IAM21" s="16"/>
      <c r="IAN21" s="23"/>
      <c r="IAO21" s="16"/>
      <c r="IAP21" s="23"/>
      <c r="IAQ21" s="16"/>
      <c r="IAR21" s="23"/>
      <c r="IAS21" s="16"/>
      <c r="IAT21" s="23"/>
      <c r="IAU21" s="16"/>
      <c r="IAV21" s="23"/>
      <c r="IAW21" s="16"/>
      <c r="IAX21" s="23"/>
      <c r="IAY21" s="16"/>
      <c r="IAZ21" s="23"/>
      <c r="IBA21" s="16"/>
      <c r="IBB21" s="23"/>
      <c r="IBC21" s="16"/>
      <c r="IBD21" s="23"/>
      <c r="IBE21" s="16"/>
      <c r="IBF21" s="23"/>
      <c r="IBG21" s="16"/>
      <c r="IBH21" s="23"/>
      <c r="IBI21" s="16"/>
      <c r="IBJ21" s="23"/>
      <c r="IBK21" s="16"/>
      <c r="IBL21" s="23"/>
      <c r="IBM21" s="16"/>
      <c r="IBN21" s="23"/>
      <c r="IBO21" s="16"/>
      <c r="IBP21" s="23"/>
      <c r="IBQ21" s="16"/>
      <c r="IBR21" s="23"/>
      <c r="IBS21" s="16"/>
      <c r="IBT21" s="23"/>
      <c r="IBU21" s="16"/>
      <c r="IBV21" s="23"/>
      <c r="IBW21" s="16"/>
      <c r="IBX21" s="23"/>
      <c r="IBY21" s="16"/>
      <c r="IBZ21" s="23"/>
      <c r="ICA21" s="16"/>
      <c r="ICB21" s="23"/>
      <c r="ICC21" s="16"/>
      <c r="ICD21" s="23"/>
      <c r="ICE21" s="16"/>
      <c r="ICF21" s="23"/>
      <c r="ICG21" s="16"/>
      <c r="ICH21" s="23"/>
      <c r="ICI21" s="16"/>
      <c r="ICJ21" s="23"/>
      <c r="ICK21" s="16"/>
      <c r="ICL21" s="23"/>
      <c r="ICM21" s="16"/>
      <c r="ICN21" s="23"/>
      <c r="ICO21" s="16"/>
      <c r="ICP21" s="23"/>
      <c r="ICQ21" s="16"/>
      <c r="ICR21" s="23"/>
      <c r="ICS21" s="16"/>
      <c r="ICT21" s="23"/>
      <c r="ICU21" s="16"/>
      <c r="ICV21" s="23"/>
      <c r="ICW21" s="16"/>
      <c r="ICX21" s="23"/>
      <c r="ICY21" s="16"/>
      <c r="ICZ21" s="23"/>
      <c r="IDA21" s="16"/>
      <c r="IDB21" s="23"/>
      <c r="IDC21" s="16"/>
      <c r="IDD21" s="23"/>
      <c r="IDE21" s="16"/>
      <c r="IDF21" s="23"/>
      <c r="IDG21" s="16"/>
      <c r="IDH21" s="23"/>
      <c r="IDI21" s="16"/>
      <c r="IDJ21" s="23"/>
      <c r="IDK21" s="16"/>
      <c r="IDL21" s="23"/>
      <c r="IDM21" s="16"/>
      <c r="IDN21" s="23"/>
      <c r="IDO21" s="16"/>
      <c r="IDP21" s="23"/>
      <c r="IDQ21" s="16"/>
      <c r="IDR21" s="23"/>
      <c r="IDS21" s="16"/>
      <c r="IDT21" s="23"/>
      <c r="IDU21" s="16"/>
      <c r="IDV21" s="23"/>
      <c r="IDW21" s="16"/>
      <c r="IDX21" s="23"/>
      <c r="IDY21" s="16"/>
      <c r="IDZ21" s="23"/>
      <c r="IEA21" s="16"/>
      <c r="IEB21" s="23"/>
      <c r="IEC21" s="16"/>
      <c r="IED21" s="23"/>
      <c r="IEE21" s="16"/>
      <c r="IEF21" s="23"/>
      <c r="IEG21" s="16"/>
      <c r="IEH21" s="23"/>
      <c r="IEI21" s="16"/>
      <c r="IEJ21" s="23"/>
      <c r="IEK21" s="16"/>
      <c r="IEL21" s="23"/>
      <c r="IEM21" s="16"/>
      <c r="IEN21" s="23"/>
      <c r="IEO21" s="16"/>
      <c r="IEP21" s="23"/>
      <c r="IEQ21" s="16"/>
      <c r="IER21" s="23"/>
      <c r="IES21" s="16"/>
      <c r="IET21" s="23"/>
      <c r="IEU21" s="16"/>
      <c r="IEV21" s="23"/>
      <c r="IEW21" s="16"/>
      <c r="IEX21" s="23"/>
      <c r="IEY21" s="16"/>
      <c r="IEZ21" s="23"/>
      <c r="IFA21" s="16"/>
      <c r="IFB21" s="23"/>
      <c r="IFC21" s="16"/>
      <c r="IFD21" s="23"/>
      <c r="IFE21" s="16"/>
      <c r="IFF21" s="23"/>
      <c r="IFG21" s="16"/>
      <c r="IFH21" s="23"/>
      <c r="IFI21" s="16"/>
      <c r="IFJ21" s="23"/>
      <c r="IFK21" s="16"/>
      <c r="IFL21" s="23"/>
      <c r="IFM21" s="16"/>
      <c r="IFN21" s="23"/>
      <c r="IFO21" s="16"/>
      <c r="IFP21" s="23"/>
      <c r="IFQ21" s="16"/>
      <c r="IFR21" s="23"/>
      <c r="IFS21" s="16"/>
      <c r="IFT21" s="23"/>
      <c r="IFU21" s="16"/>
      <c r="IFV21" s="23"/>
      <c r="IFW21" s="16"/>
      <c r="IFX21" s="23"/>
      <c r="IFY21" s="16"/>
      <c r="IFZ21" s="23"/>
      <c r="IGA21" s="16"/>
      <c r="IGB21" s="23"/>
      <c r="IGC21" s="16"/>
      <c r="IGD21" s="23"/>
      <c r="IGE21" s="16"/>
      <c r="IGF21" s="23"/>
      <c r="IGG21" s="16"/>
      <c r="IGH21" s="23"/>
      <c r="IGI21" s="16"/>
      <c r="IGJ21" s="23"/>
      <c r="IGK21" s="16"/>
      <c r="IGL21" s="23"/>
      <c r="IGM21" s="16"/>
      <c r="IGN21" s="23"/>
      <c r="IGO21" s="16"/>
      <c r="IGP21" s="23"/>
      <c r="IGQ21" s="16"/>
      <c r="IGR21" s="23"/>
      <c r="IGS21" s="16"/>
      <c r="IGT21" s="23"/>
      <c r="IGU21" s="16"/>
      <c r="IGV21" s="23"/>
      <c r="IGW21" s="16"/>
      <c r="IGX21" s="23"/>
      <c r="IGY21" s="16"/>
      <c r="IGZ21" s="23"/>
      <c r="IHA21" s="16"/>
      <c r="IHB21" s="23"/>
      <c r="IHC21" s="16"/>
      <c r="IHD21" s="23"/>
      <c r="IHE21" s="16"/>
      <c r="IHF21" s="23"/>
      <c r="IHG21" s="16"/>
      <c r="IHH21" s="23"/>
      <c r="IHI21" s="16"/>
      <c r="IHJ21" s="23"/>
      <c r="IHK21" s="16"/>
      <c r="IHL21" s="23"/>
      <c r="IHM21" s="16"/>
      <c r="IHN21" s="23"/>
      <c r="IHO21" s="16"/>
      <c r="IHP21" s="23"/>
      <c r="IHQ21" s="16"/>
      <c r="IHR21" s="23"/>
      <c r="IHS21" s="16"/>
      <c r="IHT21" s="23"/>
      <c r="IHU21" s="16"/>
      <c r="IHV21" s="23"/>
      <c r="IHW21" s="16"/>
      <c r="IHX21" s="23"/>
      <c r="IHY21" s="16"/>
      <c r="IHZ21" s="23"/>
      <c r="IIA21" s="16"/>
      <c r="IIB21" s="23"/>
      <c r="IIC21" s="16"/>
      <c r="IID21" s="23"/>
      <c r="IIE21" s="16"/>
      <c r="IIF21" s="23"/>
      <c r="IIG21" s="16"/>
      <c r="IIH21" s="23"/>
      <c r="III21" s="16"/>
      <c r="IIJ21" s="23"/>
      <c r="IIK21" s="16"/>
      <c r="IIL21" s="23"/>
      <c r="IIM21" s="16"/>
      <c r="IIN21" s="23"/>
      <c r="IIO21" s="16"/>
      <c r="IIP21" s="23"/>
      <c r="IIQ21" s="16"/>
      <c r="IIR21" s="23"/>
      <c r="IIS21" s="16"/>
      <c r="IIT21" s="23"/>
      <c r="IIU21" s="16"/>
      <c r="IIV21" s="23"/>
      <c r="IIW21" s="16"/>
      <c r="IIX21" s="23"/>
      <c r="IIY21" s="16"/>
      <c r="IIZ21" s="23"/>
      <c r="IJA21" s="16"/>
      <c r="IJB21" s="23"/>
      <c r="IJC21" s="16"/>
      <c r="IJD21" s="23"/>
      <c r="IJE21" s="16"/>
      <c r="IJF21" s="23"/>
      <c r="IJG21" s="16"/>
      <c r="IJH21" s="23"/>
      <c r="IJI21" s="16"/>
      <c r="IJJ21" s="23"/>
      <c r="IJK21" s="16"/>
      <c r="IJL21" s="23"/>
      <c r="IJM21" s="16"/>
      <c r="IJN21" s="23"/>
      <c r="IJO21" s="16"/>
      <c r="IJP21" s="23"/>
      <c r="IJQ21" s="16"/>
      <c r="IJR21" s="23"/>
      <c r="IJS21" s="16"/>
      <c r="IJT21" s="23"/>
      <c r="IJU21" s="16"/>
      <c r="IJV21" s="23"/>
      <c r="IJW21" s="16"/>
      <c r="IJX21" s="23"/>
      <c r="IJY21" s="16"/>
      <c r="IJZ21" s="23"/>
      <c r="IKA21" s="16"/>
      <c r="IKB21" s="23"/>
      <c r="IKC21" s="16"/>
      <c r="IKD21" s="23"/>
      <c r="IKE21" s="16"/>
      <c r="IKF21" s="23"/>
      <c r="IKG21" s="16"/>
      <c r="IKH21" s="23"/>
      <c r="IKI21" s="16"/>
      <c r="IKJ21" s="23"/>
      <c r="IKK21" s="16"/>
      <c r="IKL21" s="23"/>
      <c r="IKM21" s="16"/>
      <c r="IKN21" s="23"/>
      <c r="IKO21" s="16"/>
      <c r="IKP21" s="23"/>
      <c r="IKQ21" s="16"/>
      <c r="IKR21" s="23"/>
      <c r="IKS21" s="16"/>
      <c r="IKT21" s="23"/>
      <c r="IKU21" s="16"/>
      <c r="IKV21" s="23"/>
      <c r="IKW21" s="16"/>
      <c r="IKX21" s="23"/>
      <c r="IKY21" s="16"/>
      <c r="IKZ21" s="23"/>
      <c r="ILA21" s="16"/>
      <c r="ILB21" s="23"/>
      <c r="ILC21" s="16"/>
      <c r="ILD21" s="23"/>
      <c r="ILE21" s="16"/>
      <c r="ILF21" s="23"/>
      <c r="ILG21" s="16"/>
      <c r="ILH21" s="23"/>
      <c r="ILI21" s="16"/>
      <c r="ILJ21" s="23"/>
      <c r="ILK21" s="16"/>
      <c r="ILL21" s="23"/>
      <c r="ILM21" s="16"/>
      <c r="ILN21" s="23"/>
      <c r="ILO21" s="16"/>
      <c r="ILP21" s="23"/>
      <c r="ILQ21" s="16"/>
      <c r="ILR21" s="23"/>
      <c r="ILS21" s="16"/>
      <c r="ILT21" s="23"/>
      <c r="ILU21" s="16"/>
      <c r="ILV21" s="23"/>
      <c r="ILW21" s="16"/>
      <c r="ILX21" s="23"/>
      <c r="ILY21" s="16"/>
      <c r="ILZ21" s="23"/>
      <c r="IMA21" s="16"/>
      <c r="IMB21" s="23"/>
      <c r="IMC21" s="16"/>
      <c r="IMD21" s="23"/>
      <c r="IME21" s="16"/>
      <c r="IMF21" s="23"/>
      <c r="IMG21" s="16"/>
      <c r="IMH21" s="23"/>
      <c r="IMI21" s="16"/>
      <c r="IMJ21" s="23"/>
      <c r="IMK21" s="16"/>
      <c r="IML21" s="23"/>
      <c r="IMM21" s="16"/>
      <c r="IMN21" s="23"/>
      <c r="IMO21" s="16"/>
      <c r="IMP21" s="23"/>
      <c r="IMQ21" s="16"/>
      <c r="IMR21" s="23"/>
      <c r="IMS21" s="16"/>
      <c r="IMT21" s="23"/>
      <c r="IMU21" s="16"/>
      <c r="IMV21" s="23"/>
      <c r="IMW21" s="16"/>
      <c r="IMX21" s="23"/>
      <c r="IMY21" s="16"/>
      <c r="IMZ21" s="23"/>
      <c r="INA21" s="16"/>
      <c r="INB21" s="23"/>
      <c r="INC21" s="16"/>
      <c r="IND21" s="23"/>
      <c r="INE21" s="16"/>
      <c r="INF21" s="23"/>
      <c r="ING21" s="16"/>
      <c r="INH21" s="23"/>
      <c r="INI21" s="16"/>
      <c r="INJ21" s="23"/>
      <c r="INK21" s="16"/>
      <c r="INL21" s="23"/>
      <c r="INM21" s="16"/>
      <c r="INN21" s="23"/>
      <c r="INO21" s="16"/>
      <c r="INP21" s="23"/>
      <c r="INQ21" s="16"/>
      <c r="INR21" s="23"/>
      <c r="INS21" s="16"/>
      <c r="INT21" s="23"/>
      <c r="INU21" s="16"/>
      <c r="INV21" s="23"/>
      <c r="INW21" s="16"/>
      <c r="INX21" s="23"/>
      <c r="INY21" s="16"/>
      <c r="INZ21" s="23"/>
      <c r="IOA21" s="16"/>
      <c r="IOB21" s="23"/>
      <c r="IOC21" s="16"/>
      <c r="IOD21" s="23"/>
      <c r="IOE21" s="16"/>
      <c r="IOF21" s="23"/>
      <c r="IOG21" s="16"/>
      <c r="IOH21" s="23"/>
      <c r="IOI21" s="16"/>
      <c r="IOJ21" s="23"/>
      <c r="IOK21" s="16"/>
      <c r="IOL21" s="23"/>
      <c r="IOM21" s="16"/>
      <c r="ION21" s="23"/>
      <c r="IOO21" s="16"/>
      <c r="IOP21" s="23"/>
      <c r="IOQ21" s="16"/>
      <c r="IOR21" s="23"/>
      <c r="IOS21" s="16"/>
      <c r="IOT21" s="23"/>
      <c r="IOU21" s="16"/>
      <c r="IOV21" s="23"/>
      <c r="IOW21" s="16"/>
      <c r="IOX21" s="23"/>
      <c r="IOY21" s="16"/>
      <c r="IOZ21" s="23"/>
      <c r="IPA21" s="16"/>
      <c r="IPB21" s="23"/>
      <c r="IPC21" s="16"/>
      <c r="IPD21" s="23"/>
      <c r="IPE21" s="16"/>
      <c r="IPF21" s="23"/>
      <c r="IPG21" s="16"/>
      <c r="IPH21" s="23"/>
      <c r="IPI21" s="16"/>
      <c r="IPJ21" s="23"/>
      <c r="IPK21" s="16"/>
      <c r="IPL21" s="23"/>
      <c r="IPM21" s="16"/>
      <c r="IPN21" s="23"/>
      <c r="IPO21" s="16"/>
      <c r="IPP21" s="23"/>
      <c r="IPQ21" s="16"/>
      <c r="IPR21" s="23"/>
      <c r="IPS21" s="16"/>
      <c r="IPT21" s="23"/>
      <c r="IPU21" s="16"/>
      <c r="IPV21" s="23"/>
      <c r="IPW21" s="16"/>
      <c r="IPX21" s="23"/>
      <c r="IPY21" s="16"/>
      <c r="IPZ21" s="23"/>
      <c r="IQA21" s="16"/>
      <c r="IQB21" s="23"/>
      <c r="IQC21" s="16"/>
      <c r="IQD21" s="23"/>
      <c r="IQE21" s="16"/>
      <c r="IQF21" s="23"/>
      <c r="IQG21" s="16"/>
      <c r="IQH21" s="23"/>
      <c r="IQI21" s="16"/>
      <c r="IQJ21" s="23"/>
      <c r="IQK21" s="16"/>
      <c r="IQL21" s="23"/>
      <c r="IQM21" s="16"/>
      <c r="IQN21" s="23"/>
      <c r="IQO21" s="16"/>
      <c r="IQP21" s="23"/>
      <c r="IQQ21" s="16"/>
      <c r="IQR21" s="23"/>
      <c r="IQS21" s="16"/>
      <c r="IQT21" s="23"/>
      <c r="IQU21" s="16"/>
      <c r="IQV21" s="23"/>
      <c r="IQW21" s="16"/>
      <c r="IQX21" s="23"/>
      <c r="IQY21" s="16"/>
      <c r="IQZ21" s="23"/>
      <c r="IRA21" s="16"/>
      <c r="IRB21" s="23"/>
      <c r="IRC21" s="16"/>
      <c r="IRD21" s="23"/>
      <c r="IRE21" s="16"/>
      <c r="IRF21" s="23"/>
      <c r="IRG21" s="16"/>
      <c r="IRH21" s="23"/>
      <c r="IRI21" s="16"/>
      <c r="IRJ21" s="23"/>
      <c r="IRK21" s="16"/>
      <c r="IRL21" s="23"/>
      <c r="IRM21" s="16"/>
      <c r="IRN21" s="23"/>
      <c r="IRO21" s="16"/>
      <c r="IRP21" s="23"/>
      <c r="IRQ21" s="16"/>
      <c r="IRR21" s="23"/>
      <c r="IRS21" s="16"/>
      <c r="IRT21" s="23"/>
      <c r="IRU21" s="16"/>
      <c r="IRV21" s="23"/>
      <c r="IRW21" s="16"/>
      <c r="IRX21" s="23"/>
      <c r="IRY21" s="16"/>
      <c r="IRZ21" s="23"/>
      <c r="ISA21" s="16"/>
      <c r="ISB21" s="23"/>
      <c r="ISC21" s="16"/>
      <c r="ISD21" s="23"/>
      <c r="ISE21" s="16"/>
      <c r="ISF21" s="23"/>
      <c r="ISG21" s="16"/>
      <c r="ISH21" s="23"/>
      <c r="ISI21" s="16"/>
      <c r="ISJ21" s="23"/>
      <c r="ISK21" s="16"/>
      <c r="ISL21" s="23"/>
      <c r="ISM21" s="16"/>
      <c r="ISN21" s="23"/>
      <c r="ISO21" s="16"/>
      <c r="ISP21" s="23"/>
      <c r="ISQ21" s="16"/>
      <c r="ISR21" s="23"/>
      <c r="ISS21" s="16"/>
      <c r="IST21" s="23"/>
      <c r="ISU21" s="16"/>
      <c r="ISV21" s="23"/>
      <c r="ISW21" s="16"/>
      <c r="ISX21" s="23"/>
      <c r="ISY21" s="16"/>
      <c r="ISZ21" s="23"/>
      <c r="ITA21" s="16"/>
      <c r="ITB21" s="23"/>
      <c r="ITC21" s="16"/>
      <c r="ITD21" s="23"/>
      <c r="ITE21" s="16"/>
      <c r="ITF21" s="23"/>
      <c r="ITG21" s="16"/>
      <c r="ITH21" s="23"/>
      <c r="ITI21" s="16"/>
      <c r="ITJ21" s="23"/>
      <c r="ITK21" s="16"/>
      <c r="ITL21" s="23"/>
      <c r="ITM21" s="16"/>
      <c r="ITN21" s="23"/>
      <c r="ITO21" s="16"/>
      <c r="ITP21" s="23"/>
      <c r="ITQ21" s="16"/>
      <c r="ITR21" s="23"/>
      <c r="ITS21" s="16"/>
      <c r="ITT21" s="23"/>
      <c r="ITU21" s="16"/>
      <c r="ITV21" s="23"/>
      <c r="ITW21" s="16"/>
      <c r="ITX21" s="23"/>
      <c r="ITY21" s="16"/>
      <c r="ITZ21" s="23"/>
      <c r="IUA21" s="16"/>
      <c r="IUB21" s="23"/>
      <c r="IUC21" s="16"/>
      <c r="IUD21" s="23"/>
      <c r="IUE21" s="16"/>
      <c r="IUF21" s="23"/>
      <c r="IUG21" s="16"/>
      <c r="IUH21" s="23"/>
      <c r="IUI21" s="16"/>
      <c r="IUJ21" s="23"/>
      <c r="IUK21" s="16"/>
      <c r="IUL21" s="23"/>
      <c r="IUM21" s="16"/>
      <c r="IUN21" s="23"/>
      <c r="IUO21" s="16"/>
      <c r="IUP21" s="23"/>
      <c r="IUQ21" s="16"/>
      <c r="IUR21" s="23"/>
      <c r="IUS21" s="16"/>
      <c r="IUT21" s="23"/>
      <c r="IUU21" s="16"/>
      <c r="IUV21" s="23"/>
      <c r="IUW21" s="16"/>
      <c r="IUX21" s="23"/>
      <c r="IUY21" s="16"/>
      <c r="IUZ21" s="23"/>
      <c r="IVA21" s="16"/>
      <c r="IVB21" s="23"/>
      <c r="IVC21" s="16"/>
      <c r="IVD21" s="23"/>
      <c r="IVE21" s="16"/>
      <c r="IVF21" s="23"/>
      <c r="IVG21" s="16"/>
      <c r="IVH21" s="23"/>
      <c r="IVI21" s="16"/>
      <c r="IVJ21" s="23"/>
      <c r="IVK21" s="16"/>
      <c r="IVL21" s="23"/>
      <c r="IVM21" s="16"/>
      <c r="IVN21" s="23"/>
      <c r="IVO21" s="16"/>
      <c r="IVP21" s="23"/>
      <c r="IVQ21" s="16"/>
      <c r="IVR21" s="23"/>
      <c r="IVS21" s="16"/>
      <c r="IVT21" s="23"/>
      <c r="IVU21" s="16"/>
      <c r="IVV21" s="23"/>
      <c r="IVW21" s="16"/>
      <c r="IVX21" s="23"/>
      <c r="IVY21" s="16"/>
      <c r="IVZ21" s="23"/>
      <c r="IWA21" s="16"/>
      <c r="IWB21" s="23"/>
      <c r="IWC21" s="16"/>
      <c r="IWD21" s="23"/>
      <c r="IWE21" s="16"/>
      <c r="IWF21" s="23"/>
      <c r="IWG21" s="16"/>
      <c r="IWH21" s="23"/>
      <c r="IWI21" s="16"/>
      <c r="IWJ21" s="23"/>
      <c r="IWK21" s="16"/>
      <c r="IWL21" s="23"/>
      <c r="IWM21" s="16"/>
      <c r="IWN21" s="23"/>
      <c r="IWO21" s="16"/>
      <c r="IWP21" s="23"/>
      <c r="IWQ21" s="16"/>
      <c r="IWR21" s="23"/>
      <c r="IWS21" s="16"/>
      <c r="IWT21" s="23"/>
      <c r="IWU21" s="16"/>
      <c r="IWV21" s="23"/>
      <c r="IWW21" s="16"/>
      <c r="IWX21" s="23"/>
      <c r="IWY21" s="16"/>
      <c r="IWZ21" s="23"/>
      <c r="IXA21" s="16"/>
      <c r="IXB21" s="23"/>
      <c r="IXC21" s="16"/>
      <c r="IXD21" s="23"/>
      <c r="IXE21" s="16"/>
      <c r="IXF21" s="23"/>
      <c r="IXG21" s="16"/>
      <c r="IXH21" s="23"/>
      <c r="IXI21" s="16"/>
      <c r="IXJ21" s="23"/>
      <c r="IXK21" s="16"/>
      <c r="IXL21" s="23"/>
      <c r="IXM21" s="16"/>
      <c r="IXN21" s="23"/>
      <c r="IXO21" s="16"/>
      <c r="IXP21" s="23"/>
      <c r="IXQ21" s="16"/>
      <c r="IXR21" s="23"/>
      <c r="IXS21" s="16"/>
      <c r="IXT21" s="23"/>
      <c r="IXU21" s="16"/>
      <c r="IXV21" s="23"/>
      <c r="IXW21" s="16"/>
      <c r="IXX21" s="23"/>
      <c r="IXY21" s="16"/>
      <c r="IXZ21" s="23"/>
      <c r="IYA21" s="16"/>
      <c r="IYB21" s="23"/>
      <c r="IYC21" s="16"/>
      <c r="IYD21" s="23"/>
      <c r="IYE21" s="16"/>
      <c r="IYF21" s="23"/>
      <c r="IYG21" s="16"/>
      <c r="IYH21" s="23"/>
      <c r="IYI21" s="16"/>
      <c r="IYJ21" s="23"/>
      <c r="IYK21" s="16"/>
      <c r="IYL21" s="23"/>
      <c r="IYM21" s="16"/>
      <c r="IYN21" s="23"/>
      <c r="IYO21" s="16"/>
      <c r="IYP21" s="23"/>
      <c r="IYQ21" s="16"/>
      <c r="IYR21" s="23"/>
      <c r="IYS21" s="16"/>
      <c r="IYT21" s="23"/>
      <c r="IYU21" s="16"/>
      <c r="IYV21" s="23"/>
      <c r="IYW21" s="16"/>
      <c r="IYX21" s="23"/>
      <c r="IYY21" s="16"/>
      <c r="IYZ21" s="23"/>
      <c r="IZA21" s="16"/>
      <c r="IZB21" s="23"/>
      <c r="IZC21" s="16"/>
      <c r="IZD21" s="23"/>
      <c r="IZE21" s="16"/>
      <c r="IZF21" s="23"/>
      <c r="IZG21" s="16"/>
      <c r="IZH21" s="23"/>
      <c r="IZI21" s="16"/>
      <c r="IZJ21" s="23"/>
      <c r="IZK21" s="16"/>
      <c r="IZL21" s="23"/>
      <c r="IZM21" s="16"/>
      <c r="IZN21" s="23"/>
      <c r="IZO21" s="16"/>
      <c r="IZP21" s="23"/>
      <c r="IZQ21" s="16"/>
      <c r="IZR21" s="23"/>
      <c r="IZS21" s="16"/>
      <c r="IZT21" s="23"/>
      <c r="IZU21" s="16"/>
      <c r="IZV21" s="23"/>
      <c r="IZW21" s="16"/>
      <c r="IZX21" s="23"/>
      <c r="IZY21" s="16"/>
      <c r="IZZ21" s="23"/>
      <c r="JAA21" s="16"/>
      <c r="JAB21" s="23"/>
      <c r="JAC21" s="16"/>
      <c r="JAD21" s="23"/>
      <c r="JAE21" s="16"/>
      <c r="JAF21" s="23"/>
      <c r="JAG21" s="16"/>
      <c r="JAH21" s="23"/>
      <c r="JAI21" s="16"/>
      <c r="JAJ21" s="23"/>
      <c r="JAK21" s="16"/>
      <c r="JAL21" s="23"/>
      <c r="JAM21" s="16"/>
      <c r="JAN21" s="23"/>
      <c r="JAO21" s="16"/>
      <c r="JAP21" s="23"/>
      <c r="JAQ21" s="16"/>
      <c r="JAR21" s="23"/>
      <c r="JAS21" s="16"/>
      <c r="JAT21" s="23"/>
      <c r="JAU21" s="16"/>
      <c r="JAV21" s="23"/>
      <c r="JAW21" s="16"/>
      <c r="JAX21" s="23"/>
      <c r="JAY21" s="16"/>
      <c r="JAZ21" s="23"/>
      <c r="JBA21" s="16"/>
      <c r="JBB21" s="23"/>
      <c r="JBC21" s="16"/>
      <c r="JBD21" s="23"/>
      <c r="JBE21" s="16"/>
      <c r="JBF21" s="23"/>
      <c r="JBG21" s="16"/>
      <c r="JBH21" s="23"/>
      <c r="JBI21" s="16"/>
      <c r="JBJ21" s="23"/>
      <c r="JBK21" s="16"/>
      <c r="JBL21" s="23"/>
      <c r="JBM21" s="16"/>
      <c r="JBN21" s="23"/>
      <c r="JBO21" s="16"/>
      <c r="JBP21" s="23"/>
      <c r="JBQ21" s="16"/>
      <c r="JBR21" s="23"/>
      <c r="JBS21" s="16"/>
      <c r="JBT21" s="23"/>
      <c r="JBU21" s="16"/>
      <c r="JBV21" s="23"/>
      <c r="JBW21" s="16"/>
      <c r="JBX21" s="23"/>
      <c r="JBY21" s="16"/>
      <c r="JBZ21" s="23"/>
      <c r="JCA21" s="16"/>
      <c r="JCB21" s="23"/>
      <c r="JCC21" s="16"/>
      <c r="JCD21" s="23"/>
      <c r="JCE21" s="16"/>
      <c r="JCF21" s="23"/>
      <c r="JCG21" s="16"/>
      <c r="JCH21" s="23"/>
      <c r="JCI21" s="16"/>
      <c r="JCJ21" s="23"/>
      <c r="JCK21" s="16"/>
      <c r="JCL21" s="23"/>
      <c r="JCM21" s="16"/>
      <c r="JCN21" s="23"/>
      <c r="JCO21" s="16"/>
      <c r="JCP21" s="23"/>
      <c r="JCQ21" s="16"/>
      <c r="JCR21" s="23"/>
      <c r="JCS21" s="16"/>
      <c r="JCT21" s="23"/>
      <c r="JCU21" s="16"/>
      <c r="JCV21" s="23"/>
      <c r="JCW21" s="16"/>
      <c r="JCX21" s="23"/>
      <c r="JCY21" s="16"/>
      <c r="JCZ21" s="23"/>
      <c r="JDA21" s="16"/>
      <c r="JDB21" s="23"/>
      <c r="JDC21" s="16"/>
      <c r="JDD21" s="23"/>
      <c r="JDE21" s="16"/>
      <c r="JDF21" s="23"/>
      <c r="JDG21" s="16"/>
      <c r="JDH21" s="23"/>
      <c r="JDI21" s="16"/>
      <c r="JDJ21" s="23"/>
      <c r="JDK21" s="16"/>
      <c r="JDL21" s="23"/>
      <c r="JDM21" s="16"/>
      <c r="JDN21" s="23"/>
      <c r="JDO21" s="16"/>
      <c r="JDP21" s="23"/>
      <c r="JDQ21" s="16"/>
      <c r="JDR21" s="23"/>
      <c r="JDS21" s="16"/>
      <c r="JDT21" s="23"/>
      <c r="JDU21" s="16"/>
      <c r="JDV21" s="23"/>
      <c r="JDW21" s="16"/>
      <c r="JDX21" s="23"/>
      <c r="JDY21" s="16"/>
      <c r="JDZ21" s="23"/>
      <c r="JEA21" s="16"/>
      <c r="JEB21" s="23"/>
      <c r="JEC21" s="16"/>
      <c r="JED21" s="23"/>
      <c r="JEE21" s="16"/>
      <c r="JEF21" s="23"/>
      <c r="JEG21" s="16"/>
      <c r="JEH21" s="23"/>
      <c r="JEI21" s="16"/>
      <c r="JEJ21" s="23"/>
      <c r="JEK21" s="16"/>
      <c r="JEL21" s="23"/>
      <c r="JEM21" s="16"/>
      <c r="JEN21" s="23"/>
      <c r="JEO21" s="16"/>
      <c r="JEP21" s="23"/>
      <c r="JEQ21" s="16"/>
      <c r="JER21" s="23"/>
      <c r="JES21" s="16"/>
      <c r="JET21" s="23"/>
      <c r="JEU21" s="16"/>
      <c r="JEV21" s="23"/>
      <c r="JEW21" s="16"/>
      <c r="JEX21" s="23"/>
      <c r="JEY21" s="16"/>
      <c r="JEZ21" s="23"/>
      <c r="JFA21" s="16"/>
      <c r="JFB21" s="23"/>
      <c r="JFC21" s="16"/>
      <c r="JFD21" s="23"/>
      <c r="JFE21" s="16"/>
      <c r="JFF21" s="23"/>
      <c r="JFG21" s="16"/>
      <c r="JFH21" s="23"/>
      <c r="JFI21" s="16"/>
      <c r="JFJ21" s="23"/>
      <c r="JFK21" s="16"/>
      <c r="JFL21" s="23"/>
      <c r="JFM21" s="16"/>
      <c r="JFN21" s="23"/>
      <c r="JFO21" s="16"/>
      <c r="JFP21" s="23"/>
      <c r="JFQ21" s="16"/>
      <c r="JFR21" s="23"/>
      <c r="JFS21" s="16"/>
      <c r="JFT21" s="23"/>
      <c r="JFU21" s="16"/>
      <c r="JFV21" s="23"/>
      <c r="JFW21" s="16"/>
      <c r="JFX21" s="23"/>
      <c r="JFY21" s="16"/>
      <c r="JFZ21" s="23"/>
      <c r="JGA21" s="16"/>
      <c r="JGB21" s="23"/>
      <c r="JGC21" s="16"/>
      <c r="JGD21" s="23"/>
      <c r="JGE21" s="16"/>
      <c r="JGF21" s="23"/>
      <c r="JGG21" s="16"/>
      <c r="JGH21" s="23"/>
      <c r="JGI21" s="16"/>
      <c r="JGJ21" s="23"/>
      <c r="JGK21" s="16"/>
      <c r="JGL21" s="23"/>
      <c r="JGM21" s="16"/>
      <c r="JGN21" s="23"/>
      <c r="JGO21" s="16"/>
      <c r="JGP21" s="23"/>
      <c r="JGQ21" s="16"/>
      <c r="JGR21" s="23"/>
      <c r="JGS21" s="16"/>
      <c r="JGT21" s="23"/>
      <c r="JGU21" s="16"/>
      <c r="JGV21" s="23"/>
      <c r="JGW21" s="16"/>
      <c r="JGX21" s="23"/>
      <c r="JGY21" s="16"/>
      <c r="JGZ21" s="23"/>
      <c r="JHA21" s="16"/>
      <c r="JHB21" s="23"/>
      <c r="JHC21" s="16"/>
      <c r="JHD21" s="23"/>
      <c r="JHE21" s="16"/>
      <c r="JHF21" s="23"/>
      <c r="JHG21" s="16"/>
      <c r="JHH21" s="23"/>
      <c r="JHI21" s="16"/>
      <c r="JHJ21" s="23"/>
      <c r="JHK21" s="16"/>
      <c r="JHL21" s="23"/>
      <c r="JHM21" s="16"/>
      <c r="JHN21" s="23"/>
      <c r="JHO21" s="16"/>
      <c r="JHP21" s="23"/>
      <c r="JHQ21" s="16"/>
      <c r="JHR21" s="23"/>
      <c r="JHS21" s="16"/>
      <c r="JHT21" s="23"/>
      <c r="JHU21" s="16"/>
      <c r="JHV21" s="23"/>
      <c r="JHW21" s="16"/>
      <c r="JHX21" s="23"/>
      <c r="JHY21" s="16"/>
      <c r="JHZ21" s="23"/>
      <c r="JIA21" s="16"/>
      <c r="JIB21" s="23"/>
      <c r="JIC21" s="16"/>
      <c r="JID21" s="23"/>
      <c r="JIE21" s="16"/>
      <c r="JIF21" s="23"/>
      <c r="JIG21" s="16"/>
      <c r="JIH21" s="23"/>
      <c r="JII21" s="16"/>
      <c r="JIJ21" s="23"/>
      <c r="JIK21" s="16"/>
      <c r="JIL21" s="23"/>
      <c r="JIM21" s="16"/>
      <c r="JIN21" s="23"/>
      <c r="JIO21" s="16"/>
      <c r="JIP21" s="23"/>
      <c r="JIQ21" s="16"/>
      <c r="JIR21" s="23"/>
      <c r="JIS21" s="16"/>
      <c r="JIT21" s="23"/>
      <c r="JIU21" s="16"/>
      <c r="JIV21" s="23"/>
      <c r="JIW21" s="16"/>
      <c r="JIX21" s="23"/>
      <c r="JIY21" s="16"/>
      <c r="JIZ21" s="23"/>
      <c r="JJA21" s="16"/>
      <c r="JJB21" s="23"/>
      <c r="JJC21" s="16"/>
      <c r="JJD21" s="23"/>
      <c r="JJE21" s="16"/>
      <c r="JJF21" s="23"/>
      <c r="JJG21" s="16"/>
      <c r="JJH21" s="23"/>
      <c r="JJI21" s="16"/>
      <c r="JJJ21" s="23"/>
      <c r="JJK21" s="16"/>
      <c r="JJL21" s="23"/>
      <c r="JJM21" s="16"/>
      <c r="JJN21" s="23"/>
      <c r="JJO21" s="16"/>
      <c r="JJP21" s="23"/>
      <c r="JJQ21" s="16"/>
      <c r="JJR21" s="23"/>
      <c r="JJS21" s="16"/>
      <c r="JJT21" s="23"/>
      <c r="JJU21" s="16"/>
      <c r="JJV21" s="23"/>
      <c r="JJW21" s="16"/>
      <c r="JJX21" s="23"/>
      <c r="JJY21" s="16"/>
      <c r="JJZ21" s="23"/>
      <c r="JKA21" s="16"/>
      <c r="JKB21" s="23"/>
      <c r="JKC21" s="16"/>
      <c r="JKD21" s="23"/>
      <c r="JKE21" s="16"/>
      <c r="JKF21" s="23"/>
      <c r="JKG21" s="16"/>
      <c r="JKH21" s="23"/>
      <c r="JKI21" s="16"/>
      <c r="JKJ21" s="23"/>
      <c r="JKK21" s="16"/>
      <c r="JKL21" s="23"/>
      <c r="JKM21" s="16"/>
      <c r="JKN21" s="23"/>
      <c r="JKO21" s="16"/>
      <c r="JKP21" s="23"/>
      <c r="JKQ21" s="16"/>
      <c r="JKR21" s="23"/>
      <c r="JKS21" s="16"/>
      <c r="JKT21" s="23"/>
      <c r="JKU21" s="16"/>
      <c r="JKV21" s="23"/>
      <c r="JKW21" s="16"/>
      <c r="JKX21" s="23"/>
      <c r="JKY21" s="16"/>
      <c r="JKZ21" s="23"/>
      <c r="JLA21" s="16"/>
      <c r="JLB21" s="23"/>
      <c r="JLC21" s="16"/>
      <c r="JLD21" s="23"/>
      <c r="JLE21" s="16"/>
      <c r="JLF21" s="23"/>
      <c r="JLG21" s="16"/>
      <c r="JLH21" s="23"/>
      <c r="JLI21" s="16"/>
      <c r="JLJ21" s="23"/>
      <c r="JLK21" s="16"/>
      <c r="JLL21" s="23"/>
      <c r="JLM21" s="16"/>
      <c r="JLN21" s="23"/>
      <c r="JLO21" s="16"/>
      <c r="JLP21" s="23"/>
      <c r="JLQ21" s="16"/>
      <c r="JLR21" s="23"/>
      <c r="JLS21" s="16"/>
      <c r="JLT21" s="23"/>
      <c r="JLU21" s="16"/>
      <c r="JLV21" s="23"/>
      <c r="JLW21" s="16"/>
      <c r="JLX21" s="23"/>
      <c r="JLY21" s="16"/>
      <c r="JLZ21" s="23"/>
      <c r="JMA21" s="16"/>
      <c r="JMB21" s="23"/>
      <c r="JMC21" s="16"/>
      <c r="JMD21" s="23"/>
      <c r="JME21" s="16"/>
      <c r="JMF21" s="23"/>
      <c r="JMG21" s="16"/>
      <c r="JMH21" s="23"/>
      <c r="JMI21" s="16"/>
      <c r="JMJ21" s="23"/>
      <c r="JMK21" s="16"/>
      <c r="JML21" s="23"/>
      <c r="JMM21" s="16"/>
      <c r="JMN21" s="23"/>
      <c r="JMO21" s="16"/>
      <c r="JMP21" s="23"/>
      <c r="JMQ21" s="16"/>
      <c r="JMR21" s="23"/>
      <c r="JMS21" s="16"/>
      <c r="JMT21" s="23"/>
      <c r="JMU21" s="16"/>
      <c r="JMV21" s="23"/>
      <c r="JMW21" s="16"/>
      <c r="JMX21" s="23"/>
      <c r="JMY21" s="16"/>
      <c r="JMZ21" s="23"/>
      <c r="JNA21" s="16"/>
      <c r="JNB21" s="23"/>
      <c r="JNC21" s="16"/>
      <c r="JND21" s="23"/>
      <c r="JNE21" s="16"/>
      <c r="JNF21" s="23"/>
      <c r="JNG21" s="16"/>
      <c r="JNH21" s="23"/>
      <c r="JNI21" s="16"/>
      <c r="JNJ21" s="23"/>
      <c r="JNK21" s="16"/>
      <c r="JNL21" s="23"/>
      <c r="JNM21" s="16"/>
      <c r="JNN21" s="23"/>
      <c r="JNO21" s="16"/>
      <c r="JNP21" s="23"/>
      <c r="JNQ21" s="16"/>
      <c r="JNR21" s="23"/>
      <c r="JNS21" s="16"/>
      <c r="JNT21" s="23"/>
      <c r="JNU21" s="16"/>
      <c r="JNV21" s="23"/>
      <c r="JNW21" s="16"/>
      <c r="JNX21" s="23"/>
      <c r="JNY21" s="16"/>
      <c r="JNZ21" s="23"/>
      <c r="JOA21" s="16"/>
      <c r="JOB21" s="23"/>
      <c r="JOC21" s="16"/>
      <c r="JOD21" s="23"/>
      <c r="JOE21" s="16"/>
      <c r="JOF21" s="23"/>
      <c r="JOG21" s="16"/>
      <c r="JOH21" s="23"/>
      <c r="JOI21" s="16"/>
      <c r="JOJ21" s="23"/>
      <c r="JOK21" s="16"/>
      <c r="JOL21" s="23"/>
      <c r="JOM21" s="16"/>
      <c r="JON21" s="23"/>
      <c r="JOO21" s="16"/>
      <c r="JOP21" s="23"/>
      <c r="JOQ21" s="16"/>
      <c r="JOR21" s="23"/>
      <c r="JOS21" s="16"/>
      <c r="JOT21" s="23"/>
      <c r="JOU21" s="16"/>
      <c r="JOV21" s="23"/>
      <c r="JOW21" s="16"/>
      <c r="JOX21" s="23"/>
      <c r="JOY21" s="16"/>
      <c r="JOZ21" s="23"/>
      <c r="JPA21" s="16"/>
      <c r="JPB21" s="23"/>
      <c r="JPC21" s="16"/>
      <c r="JPD21" s="23"/>
      <c r="JPE21" s="16"/>
      <c r="JPF21" s="23"/>
      <c r="JPG21" s="16"/>
      <c r="JPH21" s="23"/>
      <c r="JPI21" s="16"/>
      <c r="JPJ21" s="23"/>
      <c r="JPK21" s="16"/>
      <c r="JPL21" s="23"/>
      <c r="JPM21" s="16"/>
      <c r="JPN21" s="23"/>
      <c r="JPO21" s="16"/>
      <c r="JPP21" s="23"/>
      <c r="JPQ21" s="16"/>
      <c r="JPR21" s="23"/>
      <c r="JPS21" s="16"/>
      <c r="JPT21" s="23"/>
      <c r="JPU21" s="16"/>
      <c r="JPV21" s="23"/>
      <c r="JPW21" s="16"/>
      <c r="JPX21" s="23"/>
      <c r="JPY21" s="16"/>
      <c r="JPZ21" s="23"/>
      <c r="JQA21" s="16"/>
      <c r="JQB21" s="23"/>
      <c r="JQC21" s="16"/>
      <c r="JQD21" s="23"/>
      <c r="JQE21" s="16"/>
      <c r="JQF21" s="23"/>
      <c r="JQG21" s="16"/>
      <c r="JQH21" s="23"/>
      <c r="JQI21" s="16"/>
      <c r="JQJ21" s="23"/>
      <c r="JQK21" s="16"/>
      <c r="JQL21" s="23"/>
      <c r="JQM21" s="16"/>
      <c r="JQN21" s="23"/>
      <c r="JQO21" s="16"/>
      <c r="JQP21" s="23"/>
      <c r="JQQ21" s="16"/>
      <c r="JQR21" s="23"/>
      <c r="JQS21" s="16"/>
      <c r="JQT21" s="23"/>
      <c r="JQU21" s="16"/>
      <c r="JQV21" s="23"/>
      <c r="JQW21" s="16"/>
      <c r="JQX21" s="23"/>
      <c r="JQY21" s="16"/>
      <c r="JQZ21" s="23"/>
      <c r="JRA21" s="16"/>
      <c r="JRB21" s="23"/>
      <c r="JRC21" s="16"/>
      <c r="JRD21" s="23"/>
      <c r="JRE21" s="16"/>
      <c r="JRF21" s="23"/>
      <c r="JRG21" s="16"/>
      <c r="JRH21" s="23"/>
      <c r="JRI21" s="16"/>
      <c r="JRJ21" s="23"/>
      <c r="JRK21" s="16"/>
      <c r="JRL21" s="23"/>
      <c r="JRM21" s="16"/>
      <c r="JRN21" s="23"/>
      <c r="JRO21" s="16"/>
      <c r="JRP21" s="23"/>
      <c r="JRQ21" s="16"/>
      <c r="JRR21" s="23"/>
      <c r="JRS21" s="16"/>
      <c r="JRT21" s="23"/>
      <c r="JRU21" s="16"/>
      <c r="JRV21" s="23"/>
      <c r="JRW21" s="16"/>
      <c r="JRX21" s="23"/>
      <c r="JRY21" s="16"/>
      <c r="JRZ21" s="23"/>
      <c r="JSA21" s="16"/>
      <c r="JSB21" s="23"/>
      <c r="JSC21" s="16"/>
      <c r="JSD21" s="23"/>
      <c r="JSE21" s="16"/>
      <c r="JSF21" s="23"/>
      <c r="JSG21" s="16"/>
      <c r="JSH21" s="23"/>
      <c r="JSI21" s="16"/>
      <c r="JSJ21" s="23"/>
      <c r="JSK21" s="16"/>
      <c r="JSL21" s="23"/>
      <c r="JSM21" s="16"/>
      <c r="JSN21" s="23"/>
      <c r="JSO21" s="16"/>
      <c r="JSP21" s="23"/>
      <c r="JSQ21" s="16"/>
      <c r="JSR21" s="23"/>
      <c r="JSS21" s="16"/>
      <c r="JST21" s="23"/>
      <c r="JSU21" s="16"/>
      <c r="JSV21" s="23"/>
      <c r="JSW21" s="16"/>
      <c r="JSX21" s="23"/>
      <c r="JSY21" s="16"/>
      <c r="JSZ21" s="23"/>
      <c r="JTA21" s="16"/>
      <c r="JTB21" s="23"/>
      <c r="JTC21" s="16"/>
      <c r="JTD21" s="23"/>
      <c r="JTE21" s="16"/>
      <c r="JTF21" s="23"/>
      <c r="JTG21" s="16"/>
      <c r="JTH21" s="23"/>
      <c r="JTI21" s="16"/>
      <c r="JTJ21" s="23"/>
      <c r="JTK21" s="16"/>
      <c r="JTL21" s="23"/>
      <c r="JTM21" s="16"/>
      <c r="JTN21" s="23"/>
      <c r="JTO21" s="16"/>
      <c r="JTP21" s="23"/>
      <c r="JTQ21" s="16"/>
      <c r="JTR21" s="23"/>
      <c r="JTS21" s="16"/>
      <c r="JTT21" s="23"/>
      <c r="JTU21" s="16"/>
      <c r="JTV21" s="23"/>
      <c r="JTW21" s="16"/>
      <c r="JTX21" s="23"/>
      <c r="JTY21" s="16"/>
      <c r="JTZ21" s="23"/>
      <c r="JUA21" s="16"/>
      <c r="JUB21" s="23"/>
      <c r="JUC21" s="16"/>
      <c r="JUD21" s="23"/>
      <c r="JUE21" s="16"/>
      <c r="JUF21" s="23"/>
      <c r="JUG21" s="16"/>
      <c r="JUH21" s="23"/>
      <c r="JUI21" s="16"/>
      <c r="JUJ21" s="23"/>
      <c r="JUK21" s="16"/>
      <c r="JUL21" s="23"/>
      <c r="JUM21" s="16"/>
      <c r="JUN21" s="23"/>
      <c r="JUO21" s="16"/>
      <c r="JUP21" s="23"/>
      <c r="JUQ21" s="16"/>
      <c r="JUR21" s="23"/>
      <c r="JUS21" s="16"/>
      <c r="JUT21" s="23"/>
      <c r="JUU21" s="16"/>
      <c r="JUV21" s="23"/>
      <c r="JUW21" s="16"/>
      <c r="JUX21" s="23"/>
      <c r="JUY21" s="16"/>
      <c r="JUZ21" s="23"/>
      <c r="JVA21" s="16"/>
      <c r="JVB21" s="23"/>
      <c r="JVC21" s="16"/>
      <c r="JVD21" s="23"/>
      <c r="JVE21" s="16"/>
      <c r="JVF21" s="23"/>
      <c r="JVG21" s="16"/>
      <c r="JVH21" s="23"/>
      <c r="JVI21" s="16"/>
      <c r="JVJ21" s="23"/>
      <c r="JVK21" s="16"/>
      <c r="JVL21" s="23"/>
      <c r="JVM21" s="16"/>
      <c r="JVN21" s="23"/>
      <c r="JVO21" s="16"/>
      <c r="JVP21" s="23"/>
      <c r="JVQ21" s="16"/>
      <c r="JVR21" s="23"/>
      <c r="JVS21" s="16"/>
      <c r="JVT21" s="23"/>
      <c r="JVU21" s="16"/>
      <c r="JVV21" s="23"/>
      <c r="JVW21" s="16"/>
      <c r="JVX21" s="23"/>
      <c r="JVY21" s="16"/>
      <c r="JVZ21" s="23"/>
      <c r="JWA21" s="16"/>
      <c r="JWB21" s="23"/>
      <c r="JWC21" s="16"/>
      <c r="JWD21" s="23"/>
      <c r="JWE21" s="16"/>
      <c r="JWF21" s="23"/>
      <c r="JWG21" s="16"/>
      <c r="JWH21" s="23"/>
      <c r="JWI21" s="16"/>
      <c r="JWJ21" s="23"/>
      <c r="JWK21" s="16"/>
      <c r="JWL21" s="23"/>
      <c r="JWM21" s="16"/>
      <c r="JWN21" s="23"/>
      <c r="JWO21" s="16"/>
      <c r="JWP21" s="23"/>
      <c r="JWQ21" s="16"/>
      <c r="JWR21" s="23"/>
      <c r="JWS21" s="16"/>
      <c r="JWT21" s="23"/>
      <c r="JWU21" s="16"/>
      <c r="JWV21" s="23"/>
      <c r="JWW21" s="16"/>
      <c r="JWX21" s="23"/>
      <c r="JWY21" s="16"/>
      <c r="JWZ21" s="23"/>
      <c r="JXA21" s="16"/>
      <c r="JXB21" s="23"/>
      <c r="JXC21" s="16"/>
      <c r="JXD21" s="23"/>
      <c r="JXE21" s="16"/>
      <c r="JXF21" s="23"/>
      <c r="JXG21" s="16"/>
      <c r="JXH21" s="23"/>
      <c r="JXI21" s="16"/>
      <c r="JXJ21" s="23"/>
      <c r="JXK21" s="16"/>
      <c r="JXL21" s="23"/>
      <c r="JXM21" s="16"/>
      <c r="JXN21" s="23"/>
      <c r="JXO21" s="16"/>
      <c r="JXP21" s="23"/>
      <c r="JXQ21" s="16"/>
      <c r="JXR21" s="23"/>
      <c r="JXS21" s="16"/>
      <c r="JXT21" s="23"/>
      <c r="JXU21" s="16"/>
      <c r="JXV21" s="23"/>
      <c r="JXW21" s="16"/>
      <c r="JXX21" s="23"/>
      <c r="JXY21" s="16"/>
      <c r="JXZ21" s="23"/>
      <c r="JYA21" s="16"/>
      <c r="JYB21" s="23"/>
      <c r="JYC21" s="16"/>
      <c r="JYD21" s="23"/>
      <c r="JYE21" s="16"/>
      <c r="JYF21" s="23"/>
      <c r="JYG21" s="16"/>
      <c r="JYH21" s="23"/>
      <c r="JYI21" s="16"/>
      <c r="JYJ21" s="23"/>
      <c r="JYK21" s="16"/>
      <c r="JYL21" s="23"/>
      <c r="JYM21" s="16"/>
      <c r="JYN21" s="23"/>
      <c r="JYO21" s="16"/>
      <c r="JYP21" s="23"/>
      <c r="JYQ21" s="16"/>
      <c r="JYR21" s="23"/>
      <c r="JYS21" s="16"/>
      <c r="JYT21" s="23"/>
      <c r="JYU21" s="16"/>
      <c r="JYV21" s="23"/>
      <c r="JYW21" s="16"/>
      <c r="JYX21" s="23"/>
      <c r="JYY21" s="16"/>
      <c r="JYZ21" s="23"/>
      <c r="JZA21" s="16"/>
      <c r="JZB21" s="23"/>
      <c r="JZC21" s="16"/>
      <c r="JZD21" s="23"/>
      <c r="JZE21" s="16"/>
      <c r="JZF21" s="23"/>
      <c r="JZG21" s="16"/>
      <c r="JZH21" s="23"/>
      <c r="JZI21" s="16"/>
      <c r="JZJ21" s="23"/>
      <c r="JZK21" s="16"/>
      <c r="JZL21" s="23"/>
      <c r="JZM21" s="16"/>
      <c r="JZN21" s="23"/>
      <c r="JZO21" s="16"/>
      <c r="JZP21" s="23"/>
      <c r="JZQ21" s="16"/>
      <c r="JZR21" s="23"/>
      <c r="JZS21" s="16"/>
      <c r="JZT21" s="23"/>
      <c r="JZU21" s="16"/>
      <c r="JZV21" s="23"/>
      <c r="JZW21" s="16"/>
      <c r="JZX21" s="23"/>
      <c r="JZY21" s="16"/>
      <c r="JZZ21" s="23"/>
      <c r="KAA21" s="16"/>
      <c r="KAB21" s="23"/>
      <c r="KAC21" s="16"/>
      <c r="KAD21" s="23"/>
      <c r="KAE21" s="16"/>
      <c r="KAF21" s="23"/>
      <c r="KAG21" s="16"/>
      <c r="KAH21" s="23"/>
      <c r="KAI21" s="16"/>
      <c r="KAJ21" s="23"/>
      <c r="KAK21" s="16"/>
      <c r="KAL21" s="23"/>
      <c r="KAM21" s="16"/>
      <c r="KAN21" s="23"/>
      <c r="KAO21" s="16"/>
      <c r="KAP21" s="23"/>
      <c r="KAQ21" s="16"/>
      <c r="KAR21" s="23"/>
      <c r="KAS21" s="16"/>
      <c r="KAT21" s="23"/>
      <c r="KAU21" s="16"/>
      <c r="KAV21" s="23"/>
      <c r="KAW21" s="16"/>
      <c r="KAX21" s="23"/>
      <c r="KAY21" s="16"/>
      <c r="KAZ21" s="23"/>
      <c r="KBA21" s="16"/>
      <c r="KBB21" s="23"/>
      <c r="KBC21" s="16"/>
      <c r="KBD21" s="23"/>
      <c r="KBE21" s="16"/>
      <c r="KBF21" s="23"/>
      <c r="KBG21" s="16"/>
      <c r="KBH21" s="23"/>
      <c r="KBI21" s="16"/>
      <c r="KBJ21" s="23"/>
      <c r="KBK21" s="16"/>
      <c r="KBL21" s="23"/>
      <c r="KBM21" s="16"/>
      <c r="KBN21" s="23"/>
      <c r="KBO21" s="16"/>
      <c r="KBP21" s="23"/>
      <c r="KBQ21" s="16"/>
      <c r="KBR21" s="23"/>
      <c r="KBS21" s="16"/>
      <c r="KBT21" s="23"/>
      <c r="KBU21" s="16"/>
      <c r="KBV21" s="23"/>
      <c r="KBW21" s="16"/>
      <c r="KBX21" s="23"/>
      <c r="KBY21" s="16"/>
      <c r="KBZ21" s="23"/>
      <c r="KCA21" s="16"/>
      <c r="KCB21" s="23"/>
      <c r="KCC21" s="16"/>
      <c r="KCD21" s="23"/>
      <c r="KCE21" s="16"/>
      <c r="KCF21" s="23"/>
      <c r="KCG21" s="16"/>
      <c r="KCH21" s="23"/>
      <c r="KCI21" s="16"/>
      <c r="KCJ21" s="23"/>
      <c r="KCK21" s="16"/>
      <c r="KCL21" s="23"/>
      <c r="KCM21" s="16"/>
      <c r="KCN21" s="23"/>
      <c r="KCO21" s="16"/>
      <c r="KCP21" s="23"/>
      <c r="KCQ21" s="16"/>
      <c r="KCR21" s="23"/>
      <c r="KCS21" s="16"/>
      <c r="KCT21" s="23"/>
      <c r="KCU21" s="16"/>
      <c r="KCV21" s="23"/>
      <c r="KCW21" s="16"/>
      <c r="KCX21" s="23"/>
      <c r="KCY21" s="16"/>
      <c r="KCZ21" s="23"/>
      <c r="KDA21" s="16"/>
      <c r="KDB21" s="23"/>
      <c r="KDC21" s="16"/>
      <c r="KDD21" s="23"/>
      <c r="KDE21" s="16"/>
      <c r="KDF21" s="23"/>
      <c r="KDG21" s="16"/>
      <c r="KDH21" s="23"/>
      <c r="KDI21" s="16"/>
      <c r="KDJ21" s="23"/>
      <c r="KDK21" s="16"/>
      <c r="KDL21" s="23"/>
      <c r="KDM21" s="16"/>
      <c r="KDN21" s="23"/>
      <c r="KDO21" s="16"/>
      <c r="KDP21" s="23"/>
      <c r="KDQ21" s="16"/>
      <c r="KDR21" s="23"/>
      <c r="KDS21" s="16"/>
      <c r="KDT21" s="23"/>
      <c r="KDU21" s="16"/>
      <c r="KDV21" s="23"/>
      <c r="KDW21" s="16"/>
      <c r="KDX21" s="23"/>
      <c r="KDY21" s="16"/>
      <c r="KDZ21" s="23"/>
      <c r="KEA21" s="16"/>
      <c r="KEB21" s="23"/>
      <c r="KEC21" s="16"/>
      <c r="KED21" s="23"/>
      <c r="KEE21" s="16"/>
      <c r="KEF21" s="23"/>
      <c r="KEG21" s="16"/>
      <c r="KEH21" s="23"/>
      <c r="KEI21" s="16"/>
      <c r="KEJ21" s="23"/>
      <c r="KEK21" s="16"/>
      <c r="KEL21" s="23"/>
      <c r="KEM21" s="16"/>
      <c r="KEN21" s="23"/>
      <c r="KEO21" s="16"/>
      <c r="KEP21" s="23"/>
      <c r="KEQ21" s="16"/>
      <c r="KER21" s="23"/>
      <c r="KES21" s="16"/>
      <c r="KET21" s="23"/>
      <c r="KEU21" s="16"/>
      <c r="KEV21" s="23"/>
      <c r="KEW21" s="16"/>
      <c r="KEX21" s="23"/>
      <c r="KEY21" s="16"/>
      <c r="KEZ21" s="23"/>
      <c r="KFA21" s="16"/>
      <c r="KFB21" s="23"/>
      <c r="KFC21" s="16"/>
      <c r="KFD21" s="23"/>
      <c r="KFE21" s="16"/>
      <c r="KFF21" s="23"/>
      <c r="KFG21" s="16"/>
      <c r="KFH21" s="23"/>
      <c r="KFI21" s="16"/>
      <c r="KFJ21" s="23"/>
      <c r="KFK21" s="16"/>
      <c r="KFL21" s="23"/>
      <c r="KFM21" s="16"/>
      <c r="KFN21" s="23"/>
      <c r="KFO21" s="16"/>
      <c r="KFP21" s="23"/>
      <c r="KFQ21" s="16"/>
      <c r="KFR21" s="23"/>
      <c r="KFS21" s="16"/>
      <c r="KFT21" s="23"/>
      <c r="KFU21" s="16"/>
      <c r="KFV21" s="23"/>
      <c r="KFW21" s="16"/>
      <c r="KFX21" s="23"/>
      <c r="KFY21" s="16"/>
      <c r="KFZ21" s="23"/>
      <c r="KGA21" s="16"/>
      <c r="KGB21" s="23"/>
      <c r="KGC21" s="16"/>
      <c r="KGD21" s="23"/>
      <c r="KGE21" s="16"/>
      <c r="KGF21" s="23"/>
      <c r="KGG21" s="16"/>
      <c r="KGH21" s="23"/>
      <c r="KGI21" s="16"/>
      <c r="KGJ21" s="23"/>
      <c r="KGK21" s="16"/>
      <c r="KGL21" s="23"/>
      <c r="KGM21" s="16"/>
      <c r="KGN21" s="23"/>
      <c r="KGO21" s="16"/>
      <c r="KGP21" s="23"/>
      <c r="KGQ21" s="16"/>
      <c r="KGR21" s="23"/>
      <c r="KGS21" s="16"/>
      <c r="KGT21" s="23"/>
      <c r="KGU21" s="16"/>
      <c r="KGV21" s="23"/>
      <c r="KGW21" s="16"/>
      <c r="KGX21" s="23"/>
      <c r="KGY21" s="16"/>
      <c r="KGZ21" s="23"/>
      <c r="KHA21" s="16"/>
      <c r="KHB21" s="23"/>
      <c r="KHC21" s="16"/>
      <c r="KHD21" s="23"/>
      <c r="KHE21" s="16"/>
      <c r="KHF21" s="23"/>
      <c r="KHG21" s="16"/>
      <c r="KHH21" s="23"/>
      <c r="KHI21" s="16"/>
      <c r="KHJ21" s="23"/>
      <c r="KHK21" s="16"/>
      <c r="KHL21" s="23"/>
      <c r="KHM21" s="16"/>
      <c r="KHN21" s="23"/>
      <c r="KHO21" s="16"/>
      <c r="KHP21" s="23"/>
      <c r="KHQ21" s="16"/>
      <c r="KHR21" s="23"/>
      <c r="KHS21" s="16"/>
      <c r="KHT21" s="23"/>
      <c r="KHU21" s="16"/>
      <c r="KHV21" s="23"/>
      <c r="KHW21" s="16"/>
      <c r="KHX21" s="23"/>
      <c r="KHY21" s="16"/>
      <c r="KHZ21" s="23"/>
      <c r="KIA21" s="16"/>
      <c r="KIB21" s="23"/>
      <c r="KIC21" s="16"/>
      <c r="KID21" s="23"/>
      <c r="KIE21" s="16"/>
      <c r="KIF21" s="23"/>
      <c r="KIG21" s="16"/>
      <c r="KIH21" s="23"/>
      <c r="KII21" s="16"/>
      <c r="KIJ21" s="23"/>
      <c r="KIK21" s="16"/>
      <c r="KIL21" s="23"/>
      <c r="KIM21" s="16"/>
      <c r="KIN21" s="23"/>
      <c r="KIO21" s="16"/>
      <c r="KIP21" s="23"/>
      <c r="KIQ21" s="16"/>
      <c r="KIR21" s="23"/>
      <c r="KIS21" s="16"/>
      <c r="KIT21" s="23"/>
      <c r="KIU21" s="16"/>
      <c r="KIV21" s="23"/>
      <c r="KIW21" s="16"/>
      <c r="KIX21" s="23"/>
      <c r="KIY21" s="16"/>
      <c r="KIZ21" s="23"/>
      <c r="KJA21" s="16"/>
      <c r="KJB21" s="23"/>
      <c r="KJC21" s="16"/>
      <c r="KJD21" s="23"/>
      <c r="KJE21" s="16"/>
      <c r="KJF21" s="23"/>
      <c r="KJG21" s="16"/>
      <c r="KJH21" s="23"/>
      <c r="KJI21" s="16"/>
      <c r="KJJ21" s="23"/>
      <c r="KJK21" s="16"/>
      <c r="KJL21" s="23"/>
      <c r="KJM21" s="16"/>
      <c r="KJN21" s="23"/>
      <c r="KJO21" s="16"/>
      <c r="KJP21" s="23"/>
      <c r="KJQ21" s="16"/>
      <c r="KJR21" s="23"/>
      <c r="KJS21" s="16"/>
      <c r="KJT21" s="23"/>
      <c r="KJU21" s="16"/>
      <c r="KJV21" s="23"/>
      <c r="KJW21" s="16"/>
      <c r="KJX21" s="23"/>
      <c r="KJY21" s="16"/>
      <c r="KJZ21" s="23"/>
      <c r="KKA21" s="16"/>
      <c r="KKB21" s="23"/>
      <c r="KKC21" s="16"/>
      <c r="KKD21" s="23"/>
      <c r="KKE21" s="16"/>
      <c r="KKF21" s="23"/>
      <c r="KKG21" s="16"/>
      <c r="KKH21" s="23"/>
      <c r="KKI21" s="16"/>
      <c r="KKJ21" s="23"/>
      <c r="KKK21" s="16"/>
      <c r="KKL21" s="23"/>
      <c r="KKM21" s="16"/>
      <c r="KKN21" s="23"/>
      <c r="KKO21" s="16"/>
      <c r="KKP21" s="23"/>
      <c r="KKQ21" s="16"/>
      <c r="KKR21" s="23"/>
      <c r="KKS21" s="16"/>
      <c r="KKT21" s="23"/>
      <c r="KKU21" s="16"/>
      <c r="KKV21" s="23"/>
      <c r="KKW21" s="16"/>
      <c r="KKX21" s="23"/>
      <c r="KKY21" s="16"/>
      <c r="KKZ21" s="23"/>
      <c r="KLA21" s="16"/>
      <c r="KLB21" s="23"/>
      <c r="KLC21" s="16"/>
      <c r="KLD21" s="23"/>
      <c r="KLE21" s="16"/>
      <c r="KLF21" s="23"/>
      <c r="KLG21" s="16"/>
      <c r="KLH21" s="23"/>
      <c r="KLI21" s="16"/>
      <c r="KLJ21" s="23"/>
      <c r="KLK21" s="16"/>
      <c r="KLL21" s="23"/>
      <c r="KLM21" s="16"/>
      <c r="KLN21" s="23"/>
      <c r="KLO21" s="16"/>
      <c r="KLP21" s="23"/>
      <c r="KLQ21" s="16"/>
      <c r="KLR21" s="23"/>
      <c r="KLS21" s="16"/>
      <c r="KLT21" s="23"/>
      <c r="KLU21" s="16"/>
      <c r="KLV21" s="23"/>
      <c r="KLW21" s="16"/>
      <c r="KLX21" s="23"/>
      <c r="KLY21" s="16"/>
      <c r="KLZ21" s="23"/>
      <c r="KMA21" s="16"/>
      <c r="KMB21" s="23"/>
      <c r="KMC21" s="16"/>
      <c r="KMD21" s="23"/>
      <c r="KME21" s="16"/>
      <c r="KMF21" s="23"/>
      <c r="KMG21" s="16"/>
      <c r="KMH21" s="23"/>
      <c r="KMI21" s="16"/>
      <c r="KMJ21" s="23"/>
      <c r="KMK21" s="16"/>
      <c r="KML21" s="23"/>
      <c r="KMM21" s="16"/>
      <c r="KMN21" s="23"/>
      <c r="KMO21" s="16"/>
      <c r="KMP21" s="23"/>
      <c r="KMQ21" s="16"/>
      <c r="KMR21" s="23"/>
      <c r="KMS21" s="16"/>
      <c r="KMT21" s="23"/>
      <c r="KMU21" s="16"/>
      <c r="KMV21" s="23"/>
      <c r="KMW21" s="16"/>
      <c r="KMX21" s="23"/>
      <c r="KMY21" s="16"/>
      <c r="KMZ21" s="23"/>
      <c r="KNA21" s="16"/>
      <c r="KNB21" s="23"/>
      <c r="KNC21" s="16"/>
      <c r="KND21" s="23"/>
      <c r="KNE21" s="16"/>
      <c r="KNF21" s="23"/>
      <c r="KNG21" s="16"/>
      <c r="KNH21" s="23"/>
      <c r="KNI21" s="16"/>
      <c r="KNJ21" s="23"/>
      <c r="KNK21" s="16"/>
      <c r="KNL21" s="23"/>
      <c r="KNM21" s="16"/>
      <c r="KNN21" s="23"/>
      <c r="KNO21" s="16"/>
      <c r="KNP21" s="23"/>
      <c r="KNQ21" s="16"/>
      <c r="KNR21" s="23"/>
      <c r="KNS21" s="16"/>
      <c r="KNT21" s="23"/>
      <c r="KNU21" s="16"/>
      <c r="KNV21" s="23"/>
      <c r="KNW21" s="16"/>
      <c r="KNX21" s="23"/>
      <c r="KNY21" s="16"/>
      <c r="KNZ21" s="23"/>
      <c r="KOA21" s="16"/>
      <c r="KOB21" s="23"/>
      <c r="KOC21" s="16"/>
      <c r="KOD21" s="23"/>
      <c r="KOE21" s="16"/>
      <c r="KOF21" s="23"/>
      <c r="KOG21" s="16"/>
      <c r="KOH21" s="23"/>
      <c r="KOI21" s="16"/>
      <c r="KOJ21" s="23"/>
      <c r="KOK21" s="16"/>
      <c r="KOL21" s="23"/>
      <c r="KOM21" s="16"/>
      <c r="KON21" s="23"/>
      <c r="KOO21" s="16"/>
      <c r="KOP21" s="23"/>
      <c r="KOQ21" s="16"/>
      <c r="KOR21" s="23"/>
      <c r="KOS21" s="16"/>
      <c r="KOT21" s="23"/>
      <c r="KOU21" s="16"/>
      <c r="KOV21" s="23"/>
      <c r="KOW21" s="16"/>
      <c r="KOX21" s="23"/>
      <c r="KOY21" s="16"/>
      <c r="KOZ21" s="23"/>
      <c r="KPA21" s="16"/>
      <c r="KPB21" s="23"/>
      <c r="KPC21" s="16"/>
      <c r="KPD21" s="23"/>
      <c r="KPE21" s="16"/>
      <c r="KPF21" s="23"/>
      <c r="KPG21" s="16"/>
      <c r="KPH21" s="23"/>
      <c r="KPI21" s="16"/>
      <c r="KPJ21" s="23"/>
      <c r="KPK21" s="16"/>
      <c r="KPL21" s="23"/>
      <c r="KPM21" s="16"/>
      <c r="KPN21" s="23"/>
      <c r="KPO21" s="16"/>
      <c r="KPP21" s="23"/>
      <c r="KPQ21" s="16"/>
      <c r="KPR21" s="23"/>
      <c r="KPS21" s="16"/>
      <c r="KPT21" s="23"/>
      <c r="KPU21" s="16"/>
      <c r="KPV21" s="23"/>
      <c r="KPW21" s="16"/>
      <c r="KPX21" s="23"/>
      <c r="KPY21" s="16"/>
      <c r="KPZ21" s="23"/>
      <c r="KQA21" s="16"/>
      <c r="KQB21" s="23"/>
      <c r="KQC21" s="16"/>
      <c r="KQD21" s="23"/>
      <c r="KQE21" s="16"/>
      <c r="KQF21" s="23"/>
      <c r="KQG21" s="16"/>
      <c r="KQH21" s="23"/>
      <c r="KQI21" s="16"/>
      <c r="KQJ21" s="23"/>
      <c r="KQK21" s="16"/>
      <c r="KQL21" s="23"/>
      <c r="KQM21" s="16"/>
      <c r="KQN21" s="23"/>
      <c r="KQO21" s="16"/>
      <c r="KQP21" s="23"/>
      <c r="KQQ21" s="16"/>
      <c r="KQR21" s="23"/>
      <c r="KQS21" s="16"/>
      <c r="KQT21" s="23"/>
      <c r="KQU21" s="16"/>
      <c r="KQV21" s="23"/>
      <c r="KQW21" s="16"/>
      <c r="KQX21" s="23"/>
      <c r="KQY21" s="16"/>
      <c r="KQZ21" s="23"/>
      <c r="KRA21" s="16"/>
      <c r="KRB21" s="23"/>
      <c r="KRC21" s="16"/>
      <c r="KRD21" s="23"/>
      <c r="KRE21" s="16"/>
      <c r="KRF21" s="23"/>
      <c r="KRG21" s="16"/>
      <c r="KRH21" s="23"/>
      <c r="KRI21" s="16"/>
      <c r="KRJ21" s="23"/>
      <c r="KRK21" s="16"/>
      <c r="KRL21" s="23"/>
      <c r="KRM21" s="16"/>
      <c r="KRN21" s="23"/>
      <c r="KRO21" s="16"/>
      <c r="KRP21" s="23"/>
      <c r="KRQ21" s="16"/>
      <c r="KRR21" s="23"/>
      <c r="KRS21" s="16"/>
      <c r="KRT21" s="23"/>
      <c r="KRU21" s="16"/>
      <c r="KRV21" s="23"/>
      <c r="KRW21" s="16"/>
      <c r="KRX21" s="23"/>
      <c r="KRY21" s="16"/>
      <c r="KRZ21" s="23"/>
      <c r="KSA21" s="16"/>
      <c r="KSB21" s="23"/>
      <c r="KSC21" s="16"/>
      <c r="KSD21" s="23"/>
      <c r="KSE21" s="16"/>
      <c r="KSF21" s="23"/>
      <c r="KSG21" s="16"/>
      <c r="KSH21" s="23"/>
      <c r="KSI21" s="16"/>
      <c r="KSJ21" s="23"/>
      <c r="KSK21" s="16"/>
      <c r="KSL21" s="23"/>
      <c r="KSM21" s="16"/>
      <c r="KSN21" s="23"/>
      <c r="KSO21" s="16"/>
      <c r="KSP21" s="23"/>
      <c r="KSQ21" s="16"/>
      <c r="KSR21" s="23"/>
      <c r="KSS21" s="16"/>
      <c r="KST21" s="23"/>
      <c r="KSU21" s="16"/>
      <c r="KSV21" s="23"/>
      <c r="KSW21" s="16"/>
      <c r="KSX21" s="23"/>
      <c r="KSY21" s="16"/>
      <c r="KSZ21" s="23"/>
      <c r="KTA21" s="16"/>
      <c r="KTB21" s="23"/>
      <c r="KTC21" s="16"/>
      <c r="KTD21" s="23"/>
      <c r="KTE21" s="16"/>
      <c r="KTF21" s="23"/>
      <c r="KTG21" s="16"/>
      <c r="KTH21" s="23"/>
      <c r="KTI21" s="16"/>
      <c r="KTJ21" s="23"/>
      <c r="KTK21" s="16"/>
      <c r="KTL21" s="23"/>
      <c r="KTM21" s="16"/>
      <c r="KTN21" s="23"/>
      <c r="KTO21" s="16"/>
      <c r="KTP21" s="23"/>
      <c r="KTQ21" s="16"/>
      <c r="KTR21" s="23"/>
      <c r="KTS21" s="16"/>
      <c r="KTT21" s="23"/>
      <c r="KTU21" s="16"/>
      <c r="KTV21" s="23"/>
      <c r="KTW21" s="16"/>
      <c r="KTX21" s="23"/>
      <c r="KTY21" s="16"/>
      <c r="KTZ21" s="23"/>
      <c r="KUA21" s="16"/>
      <c r="KUB21" s="23"/>
      <c r="KUC21" s="16"/>
      <c r="KUD21" s="23"/>
      <c r="KUE21" s="16"/>
      <c r="KUF21" s="23"/>
      <c r="KUG21" s="16"/>
      <c r="KUH21" s="23"/>
      <c r="KUI21" s="16"/>
      <c r="KUJ21" s="23"/>
      <c r="KUK21" s="16"/>
      <c r="KUL21" s="23"/>
      <c r="KUM21" s="16"/>
      <c r="KUN21" s="23"/>
      <c r="KUO21" s="16"/>
      <c r="KUP21" s="23"/>
      <c r="KUQ21" s="16"/>
      <c r="KUR21" s="23"/>
      <c r="KUS21" s="16"/>
      <c r="KUT21" s="23"/>
      <c r="KUU21" s="16"/>
      <c r="KUV21" s="23"/>
      <c r="KUW21" s="16"/>
      <c r="KUX21" s="23"/>
      <c r="KUY21" s="16"/>
      <c r="KUZ21" s="23"/>
      <c r="KVA21" s="16"/>
      <c r="KVB21" s="23"/>
      <c r="KVC21" s="16"/>
      <c r="KVD21" s="23"/>
      <c r="KVE21" s="16"/>
      <c r="KVF21" s="23"/>
      <c r="KVG21" s="16"/>
      <c r="KVH21" s="23"/>
      <c r="KVI21" s="16"/>
      <c r="KVJ21" s="23"/>
      <c r="KVK21" s="16"/>
      <c r="KVL21" s="23"/>
      <c r="KVM21" s="16"/>
      <c r="KVN21" s="23"/>
      <c r="KVO21" s="16"/>
      <c r="KVP21" s="23"/>
      <c r="KVQ21" s="16"/>
      <c r="KVR21" s="23"/>
      <c r="KVS21" s="16"/>
      <c r="KVT21" s="23"/>
      <c r="KVU21" s="16"/>
      <c r="KVV21" s="23"/>
      <c r="KVW21" s="16"/>
      <c r="KVX21" s="23"/>
      <c r="KVY21" s="16"/>
      <c r="KVZ21" s="23"/>
      <c r="KWA21" s="16"/>
      <c r="KWB21" s="23"/>
      <c r="KWC21" s="16"/>
      <c r="KWD21" s="23"/>
      <c r="KWE21" s="16"/>
      <c r="KWF21" s="23"/>
      <c r="KWG21" s="16"/>
      <c r="KWH21" s="23"/>
      <c r="KWI21" s="16"/>
      <c r="KWJ21" s="23"/>
      <c r="KWK21" s="16"/>
      <c r="KWL21" s="23"/>
      <c r="KWM21" s="16"/>
      <c r="KWN21" s="23"/>
      <c r="KWO21" s="16"/>
      <c r="KWP21" s="23"/>
      <c r="KWQ21" s="16"/>
      <c r="KWR21" s="23"/>
      <c r="KWS21" s="16"/>
      <c r="KWT21" s="23"/>
      <c r="KWU21" s="16"/>
      <c r="KWV21" s="23"/>
      <c r="KWW21" s="16"/>
      <c r="KWX21" s="23"/>
      <c r="KWY21" s="16"/>
      <c r="KWZ21" s="23"/>
      <c r="KXA21" s="16"/>
      <c r="KXB21" s="23"/>
      <c r="KXC21" s="16"/>
      <c r="KXD21" s="23"/>
      <c r="KXE21" s="16"/>
      <c r="KXF21" s="23"/>
      <c r="KXG21" s="16"/>
      <c r="KXH21" s="23"/>
      <c r="KXI21" s="16"/>
      <c r="KXJ21" s="23"/>
      <c r="KXK21" s="16"/>
      <c r="KXL21" s="23"/>
      <c r="KXM21" s="16"/>
      <c r="KXN21" s="23"/>
      <c r="KXO21" s="16"/>
      <c r="KXP21" s="23"/>
      <c r="KXQ21" s="16"/>
      <c r="KXR21" s="23"/>
      <c r="KXS21" s="16"/>
      <c r="KXT21" s="23"/>
      <c r="KXU21" s="16"/>
      <c r="KXV21" s="23"/>
      <c r="KXW21" s="16"/>
      <c r="KXX21" s="23"/>
      <c r="KXY21" s="16"/>
      <c r="KXZ21" s="23"/>
      <c r="KYA21" s="16"/>
      <c r="KYB21" s="23"/>
      <c r="KYC21" s="16"/>
      <c r="KYD21" s="23"/>
      <c r="KYE21" s="16"/>
      <c r="KYF21" s="23"/>
      <c r="KYG21" s="16"/>
      <c r="KYH21" s="23"/>
      <c r="KYI21" s="16"/>
      <c r="KYJ21" s="23"/>
      <c r="KYK21" s="16"/>
      <c r="KYL21" s="23"/>
      <c r="KYM21" s="16"/>
      <c r="KYN21" s="23"/>
      <c r="KYO21" s="16"/>
      <c r="KYP21" s="23"/>
      <c r="KYQ21" s="16"/>
      <c r="KYR21" s="23"/>
      <c r="KYS21" s="16"/>
      <c r="KYT21" s="23"/>
      <c r="KYU21" s="16"/>
      <c r="KYV21" s="23"/>
      <c r="KYW21" s="16"/>
      <c r="KYX21" s="23"/>
      <c r="KYY21" s="16"/>
      <c r="KYZ21" s="23"/>
      <c r="KZA21" s="16"/>
      <c r="KZB21" s="23"/>
      <c r="KZC21" s="16"/>
      <c r="KZD21" s="23"/>
      <c r="KZE21" s="16"/>
      <c r="KZF21" s="23"/>
      <c r="KZG21" s="16"/>
      <c r="KZH21" s="23"/>
      <c r="KZI21" s="16"/>
      <c r="KZJ21" s="23"/>
      <c r="KZK21" s="16"/>
      <c r="KZL21" s="23"/>
      <c r="KZM21" s="16"/>
      <c r="KZN21" s="23"/>
      <c r="KZO21" s="16"/>
      <c r="KZP21" s="23"/>
      <c r="KZQ21" s="16"/>
      <c r="KZR21" s="23"/>
      <c r="KZS21" s="16"/>
      <c r="KZT21" s="23"/>
      <c r="KZU21" s="16"/>
      <c r="KZV21" s="23"/>
      <c r="KZW21" s="16"/>
      <c r="KZX21" s="23"/>
      <c r="KZY21" s="16"/>
      <c r="KZZ21" s="23"/>
      <c r="LAA21" s="16"/>
      <c r="LAB21" s="23"/>
      <c r="LAC21" s="16"/>
      <c r="LAD21" s="23"/>
      <c r="LAE21" s="16"/>
      <c r="LAF21" s="23"/>
      <c r="LAG21" s="16"/>
      <c r="LAH21" s="23"/>
      <c r="LAI21" s="16"/>
      <c r="LAJ21" s="23"/>
      <c r="LAK21" s="16"/>
      <c r="LAL21" s="23"/>
      <c r="LAM21" s="16"/>
      <c r="LAN21" s="23"/>
      <c r="LAO21" s="16"/>
      <c r="LAP21" s="23"/>
      <c r="LAQ21" s="16"/>
      <c r="LAR21" s="23"/>
      <c r="LAS21" s="16"/>
      <c r="LAT21" s="23"/>
      <c r="LAU21" s="16"/>
      <c r="LAV21" s="23"/>
      <c r="LAW21" s="16"/>
      <c r="LAX21" s="23"/>
      <c r="LAY21" s="16"/>
      <c r="LAZ21" s="23"/>
      <c r="LBA21" s="16"/>
      <c r="LBB21" s="23"/>
      <c r="LBC21" s="16"/>
      <c r="LBD21" s="23"/>
      <c r="LBE21" s="16"/>
      <c r="LBF21" s="23"/>
      <c r="LBG21" s="16"/>
      <c r="LBH21" s="23"/>
      <c r="LBI21" s="16"/>
      <c r="LBJ21" s="23"/>
      <c r="LBK21" s="16"/>
      <c r="LBL21" s="23"/>
      <c r="LBM21" s="16"/>
      <c r="LBN21" s="23"/>
      <c r="LBO21" s="16"/>
      <c r="LBP21" s="23"/>
      <c r="LBQ21" s="16"/>
      <c r="LBR21" s="23"/>
      <c r="LBS21" s="16"/>
      <c r="LBT21" s="23"/>
      <c r="LBU21" s="16"/>
      <c r="LBV21" s="23"/>
      <c r="LBW21" s="16"/>
      <c r="LBX21" s="23"/>
      <c r="LBY21" s="16"/>
      <c r="LBZ21" s="23"/>
      <c r="LCA21" s="16"/>
      <c r="LCB21" s="23"/>
      <c r="LCC21" s="16"/>
      <c r="LCD21" s="23"/>
      <c r="LCE21" s="16"/>
      <c r="LCF21" s="23"/>
      <c r="LCG21" s="16"/>
      <c r="LCH21" s="23"/>
      <c r="LCI21" s="16"/>
      <c r="LCJ21" s="23"/>
      <c r="LCK21" s="16"/>
      <c r="LCL21" s="23"/>
      <c r="LCM21" s="16"/>
      <c r="LCN21" s="23"/>
      <c r="LCO21" s="16"/>
      <c r="LCP21" s="23"/>
      <c r="LCQ21" s="16"/>
      <c r="LCR21" s="23"/>
      <c r="LCS21" s="16"/>
      <c r="LCT21" s="23"/>
      <c r="LCU21" s="16"/>
      <c r="LCV21" s="23"/>
      <c r="LCW21" s="16"/>
      <c r="LCX21" s="23"/>
      <c r="LCY21" s="16"/>
      <c r="LCZ21" s="23"/>
      <c r="LDA21" s="16"/>
      <c r="LDB21" s="23"/>
      <c r="LDC21" s="16"/>
      <c r="LDD21" s="23"/>
      <c r="LDE21" s="16"/>
      <c r="LDF21" s="23"/>
      <c r="LDG21" s="16"/>
      <c r="LDH21" s="23"/>
      <c r="LDI21" s="16"/>
      <c r="LDJ21" s="23"/>
      <c r="LDK21" s="16"/>
      <c r="LDL21" s="23"/>
      <c r="LDM21" s="16"/>
      <c r="LDN21" s="23"/>
      <c r="LDO21" s="16"/>
      <c r="LDP21" s="23"/>
      <c r="LDQ21" s="16"/>
      <c r="LDR21" s="23"/>
      <c r="LDS21" s="16"/>
      <c r="LDT21" s="23"/>
      <c r="LDU21" s="16"/>
      <c r="LDV21" s="23"/>
      <c r="LDW21" s="16"/>
      <c r="LDX21" s="23"/>
      <c r="LDY21" s="16"/>
      <c r="LDZ21" s="23"/>
      <c r="LEA21" s="16"/>
      <c r="LEB21" s="23"/>
      <c r="LEC21" s="16"/>
      <c r="LED21" s="23"/>
      <c r="LEE21" s="16"/>
      <c r="LEF21" s="23"/>
      <c r="LEG21" s="16"/>
      <c r="LEH21" s="23"/>
      <c r="LEI21" s="16"/>
      <c r="LEJ21" s="23"/>
      <c r="LEK21" s="16"/>
      <c r="LEL21" s="23"/>
      <c r="LEM21" s="16"/>
      <c r="LEN21" s="23"/>
      <c r="LEO21" s="16"/>
      <c r="LEP21" s="23"/>
      <c r="LEQ21" s="16"/>
      <c r="LER21" s="23"/>
      <c r="LES21" s="16"/>
      <c r="LET21" s="23"/>
      <c r="LEU21" s="16"/>
      <c r="LEV21" s="23"/>
      <c r="LEW21" s="16"/>
      <c r="LEX21" s="23"/>
      <c r="LEY21" s="16"/>
      <c r="LEZ21" s="23"/>
      <c r="LFA21" s="16"/>
      <c r="LFB21" s="23"/>
      <c r="LFC21" s="16"/>
      <c r="LFD21" s="23"/>
      <c r="LFE21" s="16"/>
      <c r="LFF21" s="23"/>
      <c r="LFG21" s="16"/>
      <c r="LFH21" s="23"/>
      <c r="LFI21" s="16"/>
      <c r="LFJ21" s="23"/>
      <c r="LFK21" s="16"/>
      <c r="LFL21" s="23"/>
      <c r="LFM21" s="16"/>
      <c r="LFN21" s="23"/>
      <c r="LFO21" s="16"/>
      <c r="LFP21" s="23"/>
      <c r="LFQ21" s="16"/>
      <c r="LFR21" s="23"/>
      <c r="LFS21" s="16"/>
      <c r="LFT21" s="23"/>
      <c r="LFU21" s="16"/>
      <c r="LFV21" s="23"/>
      <c r="LFW21" s="16"/>
      <c r="LFX21" s="23"/>
      <c r="LFY21" s="16"/>
      <c r="LFZ21" s="23"/>
      <c r="LGA21" s="16"/>
      <c r="LGB21" s="23"/>
      <c r="LGC21" s="16"/>
      <c r="LGD21" s="23"/>
      <c r="LGE21" s="16"/>
      <c r="LGF21" s="23"/>
      <c r="LGG21" s="16"/>
      <c r="LGH21" s="23"/>
      <c r="LGI21" s="16"/>
      <c r="LGJ21" s="23"/>
      <c r="LGK21" s="16"/>
      <c r="LGL21" s="23"/>
      <c r="LGM21" s="16"/>
      <c r="LGN21" s="23"/>
      <c r="LGO21" s="16"/>
      <c r="LGP21" s="23"/>
      <c r="LGQ21" s="16"/>
      <c r="LGR21" s="23"/>
      <c r="LGS21" s="16"/>
      <c r="LGT21" s="23"/>
      <c r="LGU21" s="16"/>
      <c r="LGV21" s="23"/>
      <c r="LGW21" s="16"/>
      <c r="LGX21" s="23"/>
      <c r="LGY21" s="16"/>
      <c r="LGZ21" s="23"/>
      <c r="LHA21" s="16"/>
      <c r="LHB21" s="23"/>
      <c r="LHC21" s="16"/>
      <c r="LHD21" s="23"/>
      <c r="LHE21" s="16"/>
      <c r="LHF21" s="23"/>
      <c r="LHG21" s="16"/>
      <c r="LHH21" s="23"/>
      <c r="LHI21" s="16"/>
      <c r="LHJ21" s="23"/>
      <c r="LHK21" s="16"/>
      <c r="LHL21" s="23"/>
      <c r="LHM21" s="16"/>
      <c r="LHN21" s="23"/>
      <c r="LHO21" s="16"/>
      <c r="LHP21" s="23"/>
      <c r="LHQ21" s="16"/>
      <c r="LHR21" s="23"/>
      <c r="LHS21" s="16"/>
      <c r="LHT21" s="23"/>
      <c r="LHU21" s="16"/>
      <c r="LHV21" s="23"/>
      <c r="LHW21" s="16"/>
      <c r="LHX21" s="23"/>
      <c r="LHY21" s="16"/>
      <c r="LHZ21" s="23"/>
      <c r="LIA21" s="16"/>
      <c r="LIB21" s="23"/>
      <c r="LIC21" s="16"/>
      <c r="LID21" s="23"/>
      <c r="LIE21" s="16"/>
      <c r="LIF21" s="23"/>
      <c r="LIG21" s="16"/>
      <c r="LIH21" s="23"/>
      <c r="LII21" s="16"/>
      <c r="LIJ21" s="23"/>
      <c r="LIK21" s="16"/>
      <c r="LIL21" s="23"/>
      <c r="LIM21" s="16"/>
      <c r="LIN21" s="23"/>
      <c r="LIO21" s="16"/>
      <c r="LIP21" s="23"/>
      <c r="LIQ21" s="16"/>
      <c r="LIR21" s="23"/>
      <c r="LIS21" s="16"/>
      <c r="LIT21" s="23"/>
      <c r="LIU21" s="16"/>
      <c r="LIV21" s="23"/>
      <c r="LIW21" s="16"/>
      <c r="LIX21" s="23"/>
      <c r="LIY21" s="16"/>
      <c r="LIZ21" s="23"/>
      <c r="LJA21" s="16"/>
      <c r="LJB21" s="23"/>
      <c r="LJC21" s="16"/>
      <c r="LJD21" s="23"/>
      <c r="LJE21" s="16"/>
      <c r="LJF21" s="23"/>
      <c r="LJG21" s="16"/>
      <c r="LJH21" s="23"/>
      <c r="LJI21" s="16"/>
      <c r="LJJ21" s="23"/>
      <c r="LJK21" s="16"/>
      <c r="LJL21" s="23"/>
      <c r="LJM21" s="16"/>
      <c r="LJN21" s="23"/>
      <c r="LJO21" s="16"/>
      <c r="LJP21" s="23"/>
      <c r="LJQ21" s="16"/>
      <c r="LJR21" s="23"/>
      <c r="LJS21" s="16"/>
      <c r="LJT21" s="23"/>
      <c r="LJU21" s="16"/>
      <c r="LJV21" s="23"/>
      <c r="LJW21" s="16"/>
      <c r="LJX21" s="23"/>
      <c r="LJY21" s="16"/>
      <c r="LJZ21" s="23"/>
      <c r="LKA21" s="16"/>
      <c r="LKB21" s="23"/>
      <c r="LKC21" s="16"/>
      <c r="LKD21" s="23"/>
      <c r="LKE21" s="16"/>
      <c r="LKF21" s="23"/>
      <c r="LKG21" s="16"/>
      <c r="LKH21" s="23"/>
      <c r="LKI21" s="16"/>
      <c r="LKJ21" s="23"/>
      <c r="LKK21" s="16"/>
      <c r="LKL21" s="23"/>
      <c r="LKM21" s="16"/>
      <c r="LKN21" s="23"/>
      <c r="LKO21" s="16"/>
      <c r="LKP21" s="23"/>
      <c r="LKQ21" s="16"/>
      <c r="LKR21" s="23"/>
      <c r="LKS21" s="16"/>
      <c r="LKT21" s="23"/>
      <c r="LKU21" s="16"/>
      <c r="LKV21" s="23"/>
      <c r="LKW21" s="16"/>
      <c r="LKX21" s="23"/>
      <c r="LKY21" s="16"/>
      <c r="LKZ21" s="23"/>
      <c r="LLA21" s="16"/>
      <c r="LLB21" s="23"/>
      <c r="LLC21" s="16"/>
      <c r="LLD21" s="23"/>
      <c r="LLE21" s="16"/>
      <c r="LLF21" s="23"/>
      <c r="LLG21" s="16"/>
      <c r="LLH21" s="23"/>
      <c r="LLI21" s="16"/>
      <c r="LLJ21" s="23"/>
      <c r="LLK21" s="16"/>
      <c r="LLL21" s="23"/>
      <c r="LLM21" s="16"/>
      <c r="LLN21" s="23"/>
      <c r="LLO21" s="16"/>
      <c r="LLP21" s="23"/>
      <c r="LLQ21" s="16"/>
      <c r="LLR21" s="23"/>
      <c r="LLS21" s="16"/>
      <c r="LLT21" s="23"/>
      <c r="LLU21" s="16"/>
      <c r="LLV21" s="23"/>
      <c r="LLW21" s="16"/>
      <c r="LLX21" s="23"/>
      <c r="LLY21" s="16"/>
      <c r="LLZ21" s="23"/>
      <c r="LMA21" s="16"/>
      <c r="LMB21" s="23"/>
      <c r="LMC21" s="16"/>
      <c r="LMD21" s="23"/>
      <c r="LME21" s="16"/>
      <c r="LMF21" s="23"/>
      <c r="LMG21" s="16"/>
      <c r="LMH21" s="23"/>
      <c r="LMI21" s="16"/>
      <c r="LMJ21" s="23"/>
      <c r="LMK21" s="16"/>
      <c r="LML21" s="23"/>
      <c r="LMM21" s="16"/>
      <c r="LMN21" s="23"/>
      <c r="LMO21" s="16"/>
      <c r="LMP21" s="23"/>
      <c r="LMQ21" s="16"/>
      <c r="LMR21" s="23"/>
      <c r="LMS21" s="16"/>
      <c r="LMT21" s="23"/>
      <c r="LMU21" s="16"/>
      <c r="LMV21" s="23"/>
      <c r="LMW21" s="16"/>
      <c r="LMX21" s="23"/>
      <c r="LMY21" s="16"/>
      <c r="LMZ21" s="23"/>
      <c r="LNA21" s="16"/>
      <c r="LNB21" s="23"/>
      <c r="LNC21" s="16"/>
      <c r="LND21" s="23"/>
      <c r="LNE21" s="16"/>
      <c r="LNF21" s="23"/>
      <c r="LNG21" s="16"/>
      <c r="LNH21" s="23"/>
      <c r="LNI21" s="16"/>
      <c r="LNJ21" s="23"/>
      <c r="LNK21" s="16"/>
      <c r="LNL21" s="23"/>
      <c r="LNM21" s="16"/>
      <c r="LNN21" s="23"/>
      <c r="LNO21" s="16"/>
      <c r="LNP21" s="23"/>
      <c r="LNQ21" s="16"/>
      <c r="LNR21" s="23"/>
      <c r="LNS21" s="16"/>
      <c r="LNT21" s="23"/>
      <c r="LNU21" s="16"/>
      <c r="LNV21" s="23"/>
      <c r="LNW21" s="16"/>
      <c r="LNX21" s="23"/>
      <c r="LNY21" s="16"/>
      <c r="LNZ21" s="23"/>
      <c r="LOA21" s="16"/>
      <c r="LOB21" s="23"/>
      <c r="LOC21" s="16"/>
      <c r="LOD21" s="23"/>
      <c r="LOE21" s="16"/>
      <c r="LOF21" s="23"/>
      <c r="LOG21" s="16"/>
      <c r="LOH21" s="23"/>
      <c r="LOI21" s="16"/>
      <c r="LOJ21" s="23"/>
      <c r="LOK21" s="16"/>
      <c r="LOL21" s="23"/>
      <c r="LOM21" s="16"/>
      <c r="LON21" s="23"/>
      <c r="LOO21" s="16"/>
      <c r="LOP21" s="23"/>
      <c r="LOQ21" s="16"/>
      <c r="LOR21" s="23"/>
      <c r="LOS21" s="16"/>
      <c r="LOT21" s="23"/>
      <c r="LOU21" s="16"/>
      <c r="LOV21" s="23"/>
      <c r="LOW21" s="16"/>
      <c r="LOX21" s="23"/>
      <c r="LOY21" s="16"/>
      <c r="LOZ21" s="23"/>
      <c r="LPA21" s="16"/>
      <c r="LPB21" s="23"/>
      <c r="LPC21" s="16"/>
      <c r="LPD21" s="23"/>
      <c r="LPE21" s="16"/>
      <c r="LPF21" s="23"/>
      <c r="LPG21" s="16"/>
      <c r="LPH21" s="23"/>
      <c r="LPI21" s="16"/>
      <c r="LPJ21" s="23"/>
      <c r="LPK21" s="16"/>
      <c r="LPL21" s="23"/>
      <c r="LPM21" s="16"/>
      <c r="LPN21" s="23"/>
      <c r="LPO21" s="16"/>
      <c r="LPP21" s="23"/>
      <c r="LPQ21" s="16"/>
      <c r="LPR21" s="23"/>
      <c r="LPS21" s="16"/>
      <c r="LPT21" s="23"/>
      <c r="LPU21" s="16"/>
      <c r="LPV21" s="23"/>
      <c r="LPW21" s="16"/>
      <c r="LPX21" s="23"/>
      <c r="LPY21" s="16"/>
      <c r="LPZ21" s="23"/>
      <c r="LQA21" s="16"/>
      <c r="LQB21" s="23"/>
      <c r="LQC21" s="16"/>
      <c r="LQD21" s="23"/>
      <c r="LQE21" s="16"/>
      <c r="LQF21" s="23"/>
      <c r="LQG21" s="16"/>
      <c r="LQH21" s="23"/>
      <c r="LQI21" s="16"/>
      <c r="LQJ21" s="23"/>
      <c r="LQK21" s="16"/>
      <c r="LQL21" s="23"/>
      <c r="LQM21" s="16"/>
      <c r="LQN21" s="23"/>
      <c r="LQO21" s="16"/>
      <c r="LQP21" s="23"/>
      <c r="LQQ21" s="16"/>
      <c r="LQR21" s="23"/>
      <c r="LQS21" s="16"/>
      <c r="LQT21" s="23"/>
      <c r="LQU21" s="16"/>
      <c r="LQV21" s="23"/>
      <c r="LQW21" s="16"/>
      <c r="LQX21" s="23"/>
      <c r="LQY21" s="16"/>
      <c r="LQZ21" s="23"/>
      <c r="LRA21" s="16"/>
      <c r="LRB21" s="23"/>
      <c r="LRC21" s="16"/>
      <c r="LRD21" s="23"/>
      <c r="LRE21" s="16"/>
      <c r="LRF21" s="23"/>
      <c r="LRG21" s="16"/>
      <c r="LRH21" s="23"/>
      <c r="LRI21" s="16"/>
      <c r="LRJ21" s="23"/>
      <c r="LRK21" s="16"/>
      <c r="LRL21" s="23"/>
      <c r="LRM21" s="16"/>
      <c r="LRN21" s="23"/>
      <c r="LRO21" s="16"/>
      <c r="LRP21" s="23"/>
      <c r="LRQ21" s="16"/>
      <c r="LRR21" s="23"/>
      <c r="LRS21" s="16"/>
      <c r="LRT21" s="23"/>
      <c r="LRU21" s="16"/>
      <c r="LRV21" s="23"/>
      <c r="LRW21" s="16"/>
      <c r="LRX21" s="23"/>
      <c r="LRY21" s="16"/>
      <c r="LRZ21" s="23"/>
      <c r="LSA21" s="16"/>
      <c r="LSB21" s="23"/>
      <c r="LSC21" s="16"/>
      <c r="LSD21" s="23"/>
      <c r="LSE21" s="16"/>
      <c r="LSF21" s="23"/>
      <c r="LSG21" s="16"/>
      <c r="LSH21" s="23"/>
      <c r="LSI21" s="16"/>
      <c r="LSJ21" s="23"/>
      <c r="LSK21" s="16"/>
      <c r="LSL21" s="23"/>
      <c r="LSM21" s="16"/>
      <c r="LSN21" s="23"/>
      <c r="LSO21" s="16"/>
      <c r="LSP21" s="23"/>
      <c r="LSQ21" s="16"/>
      <c r="LSR21" s="23"/>
      <c r="LSS21" s="16"/>
      <c r="LST21" s="23"/>
      <c r="LSU21" s="16"/>
      <c r="LSV21" s="23"/>
      <c r="LSW21" s="16"/>
      <c r="LSX21" s="23"/>
      <c r="LSY21" s="16"/>
      <c r="LSZ21" s="23"/>
      <c r="LTA21" s="16"/>
      <c r="LTB21" s="23"/>
      <c r="LTC21" s="16"/>
      <c r="LTD21" s="23"/>
      <c r="LTE21" s="16"/>
      <c r="LTF21" s="23"/>
      <c r="LTG21" s="16"/>
      <c r="LTH21" s="23"/>
      <c r="LTI21" s="16"/>
      <c r="LTJ21" s="23"/>
      <c r="LTK21" s="16"/>
      <c r="LTL21" s="23"/>
      <c r="LTM21" s="16"/>
      <c r="LTN21" s="23"/>
      <c r="LTO21" s="16"/>
      <c r="LTP21" s="23"/>
      <c r="LTQ21" s="16"/>
      <c r="LTR21" s="23"/>
      <c r="LTS21" s="16"/>
      <c r="LTT21" s="23"/>
      <c r="LTU21" s="16"/>
      <c r="LTV21" s="23"/>
      <c r="LTW21" s="16"/>
      <c r="LTX21" s="23"/>
      <c r="LTY21" s="16"/>
      <c r="LTZ21" s="23"/>
      <c r="LUA21" s="16"/>
      <c r="LUB21" s="23"/>
      <c r="LUC21" s="16"/>
      <c r="LUD21" s="23"/>
      <c r="LUE21" s="16"/>
      <c r="LUF21" s="23"/>
      <c r="LUG21" s="16"/>
      <c r="LUH21" s="23"/>
      <c r="LUI21" s="16"/>
      <c r="LUJ21" s="23"/>
      <c r="LUK21" s="16"/>
      <c r="LUL21" s="23"/>
      <c r="LUM21" s="16"/>
      <c r="LUN21" s="23"/>
      <c r="LUO21" s="16"/>
      <c r="LUP21" s="23"/>
      <c r="LUQ21" s="16"/>
      <c r="LUR21" s="23"/>
      <c r="LUS21" s="16"/>
      <c r="LUT21" s="23"/>
      <c r="LUU21" s="16"/>
      <c r="LUV21" s="23"/>
      <c r="LUW21" s="16"/>
      <c r="LUX21" s="23"/>
      <c r="LUY21" s="16"/>
      <c r="LUZ21" s="23"/>
      <c r="LVA21" s="16"/>
      <c r="LVB21" s="23"/>
      <c r="LVC21" s="16"/>
      <c r="LVD21" s="23"/>
      <c r="LVE21" s="16"/>
      <c r="LVF21" s="23"/>
      <c r="LVG21" s="16"/>
      <c r="LVH21" s="23"/>
      <c r="LVI21" s="16"/>
      <c r="LVJ21" s="23"/>
      <c r="LVK21" s="16"/>
      <c r="LVL21" s="23"/>
      <c r="LVM21" s="16"/>
      <c r="LVN21" s="23"/>
      <c r="LVO21" s="16"/>
      <c r="LVP21" s="23"/>
      <c r="LVQ21" s="16"/>
      <c r="LVR21" s="23"/>
      <c r="LVS21" s="16"/>
      <c r="LVT21" s="23"/>
      <c r="LVU21" s="16"/>
      <c r="LVV21" s="23"/>
      <c r="LVW21" s="16"/>
      <c r="LVX21" s="23"/>
      <c r="LVY21" s="16"/>
      <c r="LVZ21" s="23"/>
      <c r="LWA21" s="16"/>
      <c r="LWB21" s="23"/>
      <c r="LWC21" s="16"/>
      <c r="LWD21" s="23"/>
      <c r="LWE21" s="16"/>
      <c r="LWF21" s="23"/>
      <c r="LWG21" s="16"/>
      <c r="LWH21" s="23"/>
      <c r="LWI21" s="16"/>
      <c r="LWJ21" s="23"/>
      <c r="LWK21" s="16"/>
      <c r="LWL21" s="23"/>
      <c r="LWM21" s="16"/>
      <c r="LWN21" s="23"/>
      <c r="LWO21" s="16"/>
      <c r="LWP21" s="23"/>
      <c r="LWQ21" s="16"/>
      <c r="LWR21" s="23"/>
      <c r="LWS21" s="16"/>
      <c r="LWT21" s="23"/>
      <c r="LWU21" s="16"/>
      <c r="LWV21" s="23"/>
      <c r="LWW21" s="16"/>
      <c r="LWX21" s="23"/>
      <c r="LWY21" s="16"/>
      <c r="LWZ21" s="23"/>
      <c r="LXA21" s="16"/>
      <c r="LXB21" s="23"/>
      <c r="LXC21" s="16"/>
      <c r="LXD21" s="23"/>
      <c r="LXE21" s="16"/>
      <c r="LXF21" s="23"/>
      <c r="LXG21" s="16"/>
      <c r="LXH21" s="23"/>
      <c r="LXI21" s="16"/>
      <c r="LXJ21" s="23"/>
      <c r="LXK21" s="16"/>
      <c r="LXL21" s="23"/>
      <c r="LXM21" s="16"/>
      <c r="LXN21" s="23"/>
      <c r="LXO21" s="16"/>
      <c r="LXP21" s="23"/>
      <c r="LXQ21" s="16"/>
      <c r="LXR21" s="23"/>
      <c r="LXS21" s="16"/>
      <c r="LXT21" s="23"/>
      <c r="LXU21" s="16"/>
      <c r="LXV21" s="23"/>
      <c r="LXW21" s="16"/>
      <c r="LXX21" s="23"/>
      <c r="LXY21" s="16"/>
      <c r="LXZ21" s="23"/>
      <c r="LYA21" s="16"/>
      <c r="LYB21" s="23"/>
      <c r="LYC21" s="16"/>
      <c r="LYD21" s="23"/>
      <c r="LYE21" s="16"/>
      <c r="LYF21" s="23"/>
      <c r="LYG21" s="16"/>
      <c r="LYH21" s="23"/>
      <c r="LYI21" s="16"/>
      <c r="LYJ21" s="23"/>
      <c r="LYK21" s="16"/>
      <c r="LYL21" s="23"/>
      <c r="LYM21" s="16"/>
      <c r="LYN21" s="23"/>
      <c r="LYO21" s="16"/>
      <c r="LYP21" s="23"/>
      <c r="LYQ21" s="16"/>
      <c r="LYR21" s="23"/>
      <c r="LYS21" s="16"/>
      <c r="LYT21" s="23"/>
      <c r="LYU21" s="16"/>
      <c r="LYV21" s="23"/>
      <c r="LYW21" s="16"/>
      <c r="LYX21" s="23"/>
      <c r="LYY21" s="16"/>
      <c r="LYZ21" s="23"/>
      <c r="LZA21" s="16"/>
      <c r="LZB21" s="23"/>
      <c r="LZC21" s="16"/>
      <c r="LZD21" s="23"/>
      <c r="LZE21" s="16"/>
      <c r="LZF21" s="23"/>
      <c r="LZG21" s="16"/>
      <c r="LZH21" s="23"/>
      <c r="LZI21" s="16"/>
      <c r="LZJ21" s="23"/>
      <c r="LZK21" s="16"/>
      <c r="LZL21" s="23"/>
      <c r="LZM21" s="16"/>
      <c r="LZN21" s="23"/>
      <c r="LZO21" s="16"/>
      <c r="LZP21" s="23"/>
      <c r="LZQ21" s="16"/>
      <c r="LZR21" s="23"/>
      <c r="LZS21" s="16"/>
      <c r="LZT21" s="23"/>
      <c r="LZU21" s="16"/>
      <c r="LZV21" s="23"/>
      <c r="LZW21" s="16"/>
      <c r="LZX21" s="23"/>
      <c r="LZY21" s="16"/>
      <c r="LZZ21" s="23"/>
      <c r="MAA21" s="16"/>
      <c r="MAB21" s="23"/>
      <c r="MAC21" s="16"/>
      <c r="MAD21" s="23"/>
      <c r="MAE21" s="16"/>
      <c r="MAF21" s="23"/>
      <c r="MAG21" s="16"/>
      <c r="MAH21" s="23"/>
      <c r="MAI21" s="16"/>
      <c r="MAJ21" s="23"/>
      <c r="MAK21" s="16"/>
      <c r="MAL21" s="23"/>
      <c r="MAM21" s="16"/>
      <c r="MAN21" s="23"/>
      <c r="MAO21" s="16"/>
      <c r="MAP21" s="23"/>
      <c r="MAQ21" s="16"/>
      <c r="MAR21" s="23"/>
      <c r="MAS21" s="16"/>
      <c r="MAT21" s="23"/>
      <c r="MAU21" s="16"/>
      <c r="MAV21" s="23"/>
      <c r="MAW21" s="16"/>
      <c r="MAX21" s="23"/>
      <c r="MAY21" s="16"/>
      <c r="MAZ21" s="23"/>
      <c r="MBA21" s="16"/>
      <c r="MBB21" s="23"/>
      <c r="MBC21" s="16"/>
      <c r="MBD21" s="23"/>
      <c r="MBE21" s="16"/>
      <c r="MBF21" s="23"/>
      <c r="MBG21" s="16"/>
      <c r="MBH21" s="23"/>
      <c r="MBI21" s="16"/>
      <c r="MBJ21" s="23"/>
      <c r="MBK21" s="16"/>
      <c r="MBL21" s="23"/>
      <c r="MBM21" s="16"/>
      <c r="MBN21" s="23"/>
      <c r="MBO21" s="16"/>
      <c r="MBP21" s="23"/>
      <c r="MBQ21" s="16"/>
      <c r="MBR21" s="23"/>
      <c r="MBS21" s="16"/>
      <c r="MBT21" s="23"/>
      <c r="MBU21" s="16"/>
      <c r="MBV21" s="23"/>
      <c r="MBW21" s="16"/>
      <c r="MBX21" s="23"/>
      <c r="MBY21" s="16"/>
      <c r="MBZ21" s="23"/>
      <c r="MCA21" s="16"/>
      <c r="MCB21" s="23"/>
      <c r="MCC21" s="16"/>
      <c r="MCD21" s="23"/>
      <c r="MCE21" s="16"/>
      <c r="MCF21" s="23"/>
      <c r="MCG21" s="16"/>
      <c r="MCH21" s="23"/>
      <c r="MCI21" s="16"/>
      <c r="MCJ21" s="23"/>
      <c r="MCK21" s="16"/>
      <c r="MCL21" s="23"/>
      <c r="MCM21" s="16"/>
      <c r="MCN21" s="23"/>
      <c r="MCO21" s="16"/>
      <c r="MCP21" s="23"/>
      <c r="MCQ21" s="16"/>
      <c r="MCR21" s="23"/>
      <c r="MCS21" s="16"/>
      <c r="MCT21" s="23"/>
      <c r="MCU21" s="16"/>
      <c r="MCV21" s="23"/>
      <c r="MCW21" s="16"/>
      <c r="MCX21" s="23"/>
      <c r="MCY21" s="16"/>
      <c r="MCZ21" s="23"/>
      <c r="MDA21" s="16"/>
      <c r="MDB21" s="23"/>
      <c r="MDC21" s="16"/>
      <c r="MDD21" s="23"/>
      <c r="MDE21" s="16"/>
      <c r="MDF21" s="23"/>
      <c r="MDG21" s="16"/>
      <c r="MDH21" s="23"/>
      <c r="MDI21" s="16"/>
      <c r="MDJ21" s="23"/>
      <c r="MDK21" s="16"/>
      <c r="MDL21" s="23"/>
      <c r="MDM21" s="16"/>
      <c r="MDN21" s="23"/>
      <c r="MDO21" s="16"/>
      <c r="MDP21" s="23"/>
      <c r="MDQ21" s="16"/>
      <c r="MDR21" s="23"/>
      <c r="MDS21" s="16"/>
      <c r="MDT21" s="23"/>
      <c r="MDU21" s="16"/>
      <c r="MDV21" s="23"/>
      <c r="MDW21" s="16"/>
      <c r="MDX21" s="23"/>
      <c r="MDY21" s="16"/>
      <c r="MDZ21" s="23"/>
      <c r="MEA21" s="16"/>
      <c r="MEB21" s="23"/>
      <c r="MEC21" s="16"/>
      <c r="MED21" s="23"/>
      <c r="MEE21" s="16"/>
      <c r="MEF21" s="23"/>
      <c r="MEG21" s="16"/>
      <c r="MEH21" s="23"/>
      <c r="MEI21" s="16"/>
      <c r="MEJ21" s="23"/>
      <c r="MEK21" s="16"/>
      <c r="MEL21" s="23"/>
      <c r="MEM21" s="16"/>
      <c r="MEN21" s="23"/>
      <c r="MEO21" s="16"/>
      <c r="MEP21" s="23"/>
      <c r="MEQ21" s="16"/>
      <c r="MER21" s="23"/>
      <c r="MES21" s="16"/>
      <c r="MET21" s="23"/>
      <c r="MEU21" s="16"/>
      <c r="MEV21" s="23"/>
      <c r="MEW21" s="16"/>
      <c r="MEX21" s="23"/>
      <c r="MEY21" s="16"/>
      <c r="MEZ21" s="23"/>
      <c r="MFA21" s="16"/>
      <c r="MFB21" s="23"/>
      <c r="MFC21" s="16"/>
      <c r="MFD21" s="23"/>
      <c r="MFE21" s="16"/>
      <c r="MFF21" s="23"/>
      <c r="MFG21" s="16"/>
      <c r="MFH21" s="23"/>
      <c r="MFI21" s="16"/>
      <c r="MFJ21" s="23"/>
      <c r="MFK21" s="16"/>
      <c r="MFL21" s="23"/>
      <c r="MFM21" s="16"/>
      <c r="MFN21" s="23"/>
      <c r="MFO21" s="16"/>
      <c r="MFP21" s="23"/>
      <c r="MFQ21" s="16"/>
      <c r="MFR21" s="23"/>
      <c r="MFS21" s="16"/>
      <c r="MFT21" s="23"/>
      <c r="MFU21" s="16"/>
      <c r="MFV21" s="23"/>
      <c r="MFW21" s="16"/>
      <c r="MFX21" s="23"/>
      <c r="MFY21" s="16"/>
      <c r="MFZ21" s="23"/>
      <c r="MGA21" s="16"/>
      <c r="MGB21" s="23"/>
      <c r="MGC21" s="16"/>
      <c r="MGD21" s="23"/>
      <c r="MGE21" s="16"/>
      <c r="MGF21" s="23"/>
      <c r="MGG21" s="16"/>
      <c r="MGH21" s="23"/>
      <c r="MGI21" s="16"/>
      <c r="MGJ21" s="23"/>
      <c r="MGK21" s="16"/>
      <c r="MGL21" s="23"/>
      <c r="MGM21" s="16"/>
      <c r="MGN21" s="23"/>
      <c r="MGO21" s="16"/>
      <c r="MGP21" s="23"/>
      <c r="MGQ21" s="16"/>
      <c r="MGR21" s="23"/>
      <c r="MGS21" s="16"/>
      <c r="MGT21" s="23"/>
      <c r="MGU21" s="16"/>
      <c r="MGV21" s="23"/>
      <c r="MGW21" s="16"/>
      <c r="MGX21" s="23"/>
      <c r="MGY21" s="16"/>
      <c r="MGZ21" s="23"/>
      <c r="MHA21" s="16"/>
      <c r="MHB21" s="23"/>
      <c r="MHC21" s="16"/>
      <c r="MHD21" s="23"/>
      <c r="MHE21" s="16"/>
      <c r="MHF21" s="23"/>
      <c r="MHG21" s="16"/>
      <c r="MHH21" s="23"/>
      <c r="MHI21" s="16"/>
      <c r="MHJ21" s="23"/>
      <c r="MHK21" s="16"/>
      <c r="MHL21" s="23"/>
      <c r="MHM21" s="16"/>
      <c r="MHN21" s="23"/>
      <c r="MHO21" s="16"/>
      <c r="MHP21" s="23"/>
      <c r="MHQ21" s="16"/>
      <c r="MHR21" s="23"/>
      <c r="MHS21" s="16"/>
      <c r="MHT21" s="23"/>
      <c r="MHU21" s="16"/>
      <c r="MHV21" s="23"/>
      <c r="MHW21" s="16"/>
      <c r="MHX21" s="23"/>
      <c r="MHY21" s="16"/>
      <c r="MHZ21" s="23"/>
      <c r="MIA21" s="16"/>
      <c r="MIB21" s="23"/>
      <c r="MIC21" s="16"/>
      <c r="MID21" s="23"/>
      <c r="MIE21" s="16"/>
      <c r="MIF21" s="23"/>
      <c r="MIG21" s="16"/>
      <c r="MIH21" s="23"/>
      <c r="MII21" s="16"/>
      <c r="MIJ21" s="23"/>
      <c r="MIK21" s="16"/>
      <c r="MIL21" s="23"/>
      <c r="MIM21" s="16"/>
      <c r="MIN21" s="23"/>
      <c r="MIO21" s="16"/>
      <c r="MIP21" s="23"/>
      <c r="MIQ21" s="16"/>
      <c r="MIR21" s="23"/>
      <c r="MIS21" s="16"/>
      <c r="MIT21" s="23"/>
      <c r="MIU21" s="16"/>
      <c r="MIV21" s="23"/>
      <c r="MIW21" s="16"/>
      <c r="MIX21" s="23"/>
      <c r="MIY21" s="16"/>
      <c r="MIZ21" s="23"/>
      <c r="MJA21" s="16"/>
      <c r="MJB21" s="23"/>
      <c r="MJC21" s="16"/>
      <c r="MJD21" s="23"/>
      <c r="MJE21" s="16"/>
      <c r="MJF21" s="23"/>
      <c r="MJG21" s="16"/>
      <c r="MJH21" s="23"/>
      <c r="MJI21" s="16"/>
      <c r="MJJ21" s="23"/>
      <c r="MJK21" s="16"/>
      <c r="MJL21" s="23"/>
      <c r="MJM21" s="16"/>
      <c r="MJN21" s="23"/>
      <c r="MJO21" s="16"/>
      <c r="MJP21" s="23"/>
      <c r="MJQ21" s="16"/>
      <c r="MJR21" s="23"/>
      <c r="MJS21" s="16"/>
      <c r="MJT21" s="23"/>
      <c r="MJU21" s="16"/>
      <c r="MJV21" s="23"/>
      <c r="MJW21" s="16"/>
      <c r="MJX21" s="23"/>
      <c r="MJY21" s="16"/>
      <c r="MJZ21" s="23"/>
      <c r="MKA21" s="16"/>
      <c r="MKB21" s="23"/>
      <c r="MKC21" s="16"/>
      <c r="MKD21" s="23"/>
      <c r="MKE21" s="16"/>
      <c r="MKF21" s="23"/>
      <c r="MKG21" s="16"/>
      <c r="MKH21" s="23"/>
      <c r="MKI21" s="16"/>
      <c r="MKJ21" s="23"/>
      <c r="MKK21" s="16"/>
      <c r="MKL21" s="23"/>
      <c r="MKM21" s="16"/>
      <c r="MKN21" s="23"/>
      <c r="MKO21" s="16"/>
      <c r="MKP21" s="23"/>
      <c r="MKQ21" s="16"/>
      <c r="MKR21" s="23"/>
      <c r="MKS21" s="16"/>
      <c r="MKT21" s="23"/>
      <c r="MKU21" s="16"/>
      <c r="MKV21" s="23"/>
      <c r="MKW21" s="16"/>
      <c r="MKX21" s="23"/>
      <c r="MKY21" s="16"/>
      <c r="MKZ21" s="23"/>
      <c r="MLA21" s="16"/>
      <c r="MLB21" s="23"/>
      <c r="MLC21" s="16"/>
      <c r="MLD21" s="23"/>
      <c r="MLE21" s="16"/>
      <c r="MLF21" s="23"/>
      <c r="MLG21" s="16"/>
      <c r="MLH21" s="23"/>
      <c r="MLI21" s="16"/>
      <c r="MLJ21" s="23"/>
      <c r="MLK21" s="16"/>
      <c r="MLL21" s="23"/>
      <c r="MLM21" s="16"/>
      <c r="MLN21" s="23"/>
      <c r="MLO21" s="16"/>
      <c r="MLP21" s="23"/>
      <c r="MLQ21" s="16"/>
      <c r="MLR21" s="23"/>
      <c r="MLS21" s="16"/>
      <c r="MLT21" s="23"/>
      <c r="MLU21" s="16"/>
      <c r="MLV21" s="23"/>
      <c r="MLW21" s="16"/>
      <c r="MLX21" s="23"/>
      <c r="MLY21" s="16"/>
      <c r="MLZ21" s="23"/>
      <c r="MMA21" s="16"/>
      <c r="MMB21" s="23"/>
      <c r="MMC21" s="16"/>
      <c r="MMD21" s="23"/>
      <c r="MME21" s="16"/>
      <c r="MMF21" s="23"/>
      <c r="MMG21" s="16"/>
      <c r="MMH21" s="23"/>
      <c r="MMI21" s="16"/>
      <c r="MMJ21" s="23"/>
      <c r="MMK21" s="16"/>
      <c r="MML21" s="23"/>
      <c r="MMM21" s="16"/>
      <c r="MMN21" s="23"/>
      <c r="MMO21" s="16"/>
      <c r="MMP21" s="23"/>
      <c r="MMQ21" s="16"/>
      <c r="MMR21" s="23"/>
      <c r="MMS21" s="16"/>
      <c r="MMT21" s="23"/>
      <c r="MMU21" s="16"/>
      <c r="MMV21" s="23"/>
      <c r="MMW21" s="16"/>
      <c r="MMX21" s="23"/>
      <c r="MMY21" s="16"/>
      <c r="MMZ21" s="23"/>
      <c r="MNA21" s="16"/>
      <c r="MNB21" s="23"/>
      <c r="MNC21" s="16"/>
      <c r="MND21" s="23"/>
      <c r="MNE21" s="16"/>
      <c r="MNF21" s="23"/>
      <c r="MNG21" s="16"/>
      <c r="MNH21" s="23"/>
      <c r="MNI21" s="16"/>
      <c r="MNJ21" s="23"/>
      <c r="MNK21" s="16"/>
      <c r="MNL21" s="23"/>
      <c r="MNM21" s="16"/>
      <c r="MNN21" s="23"/>
      <c r="MNO21" s="16"/>
      <c r="MNP21" s="23"/>
      <c r="MNQ21" s="16"/>
      <c r="MNR21" s="23"/>
      <c r="MNS21" s="16"/>
      <c r="MNT21" s="23"/>
      <c r="MNU21" s="16"/>
      <c r="MNV21" s="23"/>
      <c r="MNW21" s="16"/>
      <c r="MNX21" s="23"/>
      <c r="MNY21" s="16"/>
      <c r="MNZ21" s="23"/>
      <c r="MOA21" s="16"/>
      <c r="MOB21" s="23"/>
      <c r="MOC21" s="16"/>
      <c r="MOD21" s="23"/>
      <c r="MOE21" s="16"/>
      <c r="MOF21" s="23"/>
      <c r="MOG21" s="16"/>
      <c r="MOH21" s="23"/>
      <c r="MOI21" s="16"/>
      <c r="MOJ21" s="23"/>
      <c r="MOK21" s="16"/>
      <c r="MOL21" s="23"/>
      <c r="MOM21" s="16"/>
      <c r="MON21" s="23"/>
      <c r="MOO21" s="16"/>
      <c r="MOP21" s="23"/>
      <c r="MOQ21" s="16"/>
      <c r="MOR21" s="23"/>
      <c r="MOS21" s="16"/>
      <c r="MOT21" s="23"/>
      <c r="MOU21" s="16"/>
      <c r="MOV21" s="23"/>
      <c r="MOW21" s="16"/>
      <c r="MOX21" s="23"/>
      <c r="MOY21" s="16"/>
      <c r="MOZ21" s="23"/>
      <c r="MPA21" s="16"/>
      <c r="MPB21" s="23"/>
      <c r="MPC21" s="16"/>
      <c r="MPD21" s="23"/>
      <c r="MPE21" s="16"/>
      <c r="MPF21" s="23"/>
      <c r="MPG21" s="16"/>
      <c r="MPH21" s="23"/>
      <c r="MPI21" s="16"/>
      <c r="MPJ21" s="23"/>
      <c r="MPK21" s="16"/>
      <c r="MPL21" s="23"/>
      <c r="MPM21" s="16"/>
      <c r="MPN21" s="23"/>
      <c r="MPO21" s="16"/>
      <c r="MPP21" s="23"/>
      <c r="MPQ21" s="16"/>
      <c r="MPR21" s="23"/>
      <c r="MPS21" s="16"/>
      <c r="MPT21" s="23"/>
      <c r="MPU21" s="16"/>
      <c r="MPV21" s="23"/>
      <c r="MPW21" s="16"/>
      <c r="MPX21" s="23"/>
      <c r="MPY21" s="16"/>
      <c r="MPZ21" s="23"/>
      <c r="MQA21" s="16"/>
      <c r="MQB21" s="23"/>
      <c r="MQC21" s="16"/>
      <c r="MQD21" s="23"/>
      <c r="MQE21" s="16"/>
      <c r="MQF21" s="23"/>
      <c r="MQG21" s="16"/>
      <c r="MQH21" s="23"/>
      <c r="MQI21" s="16"/>
      <c r="MQJ21" s="23"/>
      <c r="MQK21" s="16"/>
      <c r="MQL21" s="23"/>
      <c r="MQM21" s="16"/>
      <c r="MQN21" s="23"/>
      <c r="MQO21" s="16"/>
      <c r="MQP21" s="23"/>
      <c r="MQQ21" s="16"/>
      <c r="MQR21" s="23"/>
      <c r="MQS21" s="16"/>
      <c r="MQT21" s="23"/>
      <c r="MQU21" s="16"/>
      <c r="MQV21" s="23"/>
      <c r="MQW21" s="16"/>
      <c r="MQX21" s="23"/>
      <c r="MQY21" s="16"/>
      <c r="MQZ21" s="23"/>
      <c r="MRA21" s="16"/>
      <c r="MRB21" s="23"/>
      <c r="MRC21" s="16"/>
      <c r="MRD21" s="23"/>
      <c r="MRE21" s="16"/>
      <c r="MRF21" s="23"/>
      <c r="MRG21" s="16"/>
      <c r="MRH21" s="23"/>
      <c r="MRI21" s="16"/>
      <c r="MRJ21" s="23"/>
      <c r="MRK21" s="16"/>
      <c r="MRL21" s="23"/>
      <c r="MRM21" s="16"/>
      <c r="MRN21" s="23"/>
      <c r="MRO21" s="16"/>
      <c r="MRP21" s="23"/>
      <c r="MRQ21" s="16"/>
      <c r="MRR21" s="23"/>
      <c r="MRS21" s="16"/>
      <c r="MRT21" s="23"/>
      <c r="MRU21" s="16"/>
      <c r="MRV21" s="23"/>
      <c r="MRW21" s="16"/>
      <c r="MRX21" s="23"/>
      <c r="MRY21" s="16"/>
      <c r="MRZ21" s="23"/>
      <c r="MSA21" s="16"/>
      <c r="MSB21" s="23"/>
      <c r="MSC21" s="16"/>
      <c r="MSD21" s="23"/>
      <c r="MSE21" s="16"/>
      <c r="MSF21" s="23"/>
      <c r="MSG21" s="16"/>
      <c r="MSH21" s="23"/>
      <c r="MSI21" s="16"/>
      <c r="MSJ21" s="23"/>
      <c r="MSK21" s="16"/>
      <c r="MSL21" s="23"/>
      <c r="MSM21" s="16"/>
      <c r="MSN21" s="23"/>
      <c r="MSO21" s="16"/>
      <c r="MSP21" s="23"/>
      <c r="MSQ21" s="16"/>
      <c r="MSR21" s="23"/>
      <c r="MSS21" s="16"/>
      <c r="MST21" s="23"/>
      <c r="MSU21" s="16"/>
      <c r="MSV21" s="23"/>
      <c r="MSW21" s="16"/>
      <c r="MSX21" s="23"/>
      <c r="MSY21" s="16"/>
      <c r="MSZ21" s="23"/>
      <c r="MTA21" s="16"/>
      <c r="MTB21" s="23"/>
      <c r="MTC21" s="16"/>
      <c r="MTD21" s="23"/>
      <c r="MTE21" s="16"/>
      <c r="MTF21" s="23"/>
      <c r="MTG21" s="16"/>
      <c r="MTH21" s="23"/>
      <c r="MTI21" s="16"/>
      <c r="MTJ21" s="23"/>
      <c r="MTK21" s="16"/>
      <c r="MTL21" s="23"/>
      <c r="MTM21" s="16"/>
      <c r="MTN21" s="23"/>
      <c r="MTO21" s="16"/>
      <c r="MTP21" s="23"/>
      <c r="MTQ21" s="16"/>
      <c r="MTR21" s="23"/>
      <c r="MTS21" s="16"/>
      <c r="MTT21" s="23"/>
      <c r="MTU21" s="16"/>
      <c r="MTV21" s="23"/>
      <c r="MTW21" s="16"/>
      <c r="MTX21" s="23"/>
      <c r="MTY21" s="16"/>
      <c r="MTZ21" s="23"/>
      <c r="MUA21" s="16"/>
      <c r="MUB21" s="23"/>
      <c r="MUC21" s="16"/>
      <c r="MUD21" s="23"/>
      <c r="MUE21" s="16"/>
      <c r="MUF21" s="23"/>
      <c r="MUG21" s="16"/>
      <c r="MUH21" s="23"/>
      <c r="MUI21" s="16"/>
      <c r="MUJ21" s="23"/>
      <c r="MUK21" s="16"/>
      <c r="MUL21" s="23"/>
      <c r="MUM21" s="16"/>
      <c r="MUN21" s="23"/>
      <c r="MUO21" s="16"/>
      <c r="MUP21" s="23"/>
      <c r="MUQ21" s="16"/>
      <c r="MUR21" s="23"/>
      <c r="MUS21" s="16"/>
      <c r="MUT21" s="23"/>
      <c r="MUU21" s="16"/>
      <c r="MUV21" s="23"/>
      <c r="MUW21" s="16"/>
      <c r="MUX21" s="23"/>
      <c r="MUY21" s="16"/>
      <c r="MUZ21" s="23"/>
      <c r="MVA21" s="16"/>
      <c r="MVB21" s="23"/>
      <c r="MVC21" s="16"/>
      <c r="MVD21" s="23"/>
      <c r="MVE21" s="16"/>
      <c r="MVF21" s="23"/>
      <c r="MVG21" s="16"/>
      <c r="MVH21" s="23"/>
      <c r="MVI21" s="16"/>
      <c r="MVJ21" s="23"/>
      <c r="MVK21" s="16"/>
      <c r="MVL21" s="23"/>
      <c r="MVM21" s="16"/>
      <c r="MVN21" s="23"/>
      <c r="MVO21" s="16"/>
      <c r="MVP21" s="23"/>
      <c r="MVQ21" s="16"/>
      <c r="MVR21" s="23"/>
      <c r="MVS21" s="16"/>
      <c r="MVT21" s="23"/>
      <c r="MVU21" s="16"/>
      <c r="MVV21" s="23"/>
      <c r="MVW21" s="16"/>
      <c r="MVX21" s="23"/>
      <c r="MVY21" s="16"/>
      <c r="MVZ21" s="23"/>
      <c r="MWA21" s="16"/>
      <c r="MWB21" s="23"/>
      <c r="MWC21" s="16"/>
      <c r="MWD21" s="23"/>
      <c r="MWE21" s="16"/>
      <c r="MWF21" s="23"/>
      <c r="MWG21" s="16"/>
      <c r="MWH21" s="23"/>
      <c r="MWI21" s="16"/>
      <c r="MWJ21" s="23"/>
      <c r="MWK21" s="16"/>
      <c r="MWL21" s="23"/>
      <c r="MWM21" s="16"/>
      <c r="MWN21" s="23"/>
      <c r="MWO21" s="16"/>
      <c r="MWP21" s="23"/>
      <c r="MWQ21" s="16"/>
      <c r="MWR21" s="23"/>
      <c r="MWS21" s="16"/>
      <c r="MWT21" s="23"/>
      <c r="MWU21" s="16"/>
      <c r="MWV21" s="23"/>
      <c r="MWW21" s="16"/>
      <c r="MWX21" s="23"/>
      <c r="MWY21" s="16"/>
      <c r="MWZ21" s="23"/>
      <c r="MXA21" s="16"/>
      <c r="MXB21" s="23"/>
      <c r="MXC21" s="16"/>
      <c r="MXD21" s="23"/>
      <c r="MXE21" s="16"/>
      <c r="MXF21" s="23"/>
      <c r="MXG21" s="16"/>
      <c r="MXH21" s="23"/>
      <c r="MXI21" s="16"/>
      <c r="MXJ21" s="23"/>
      <c r="MXK21" s="16"/>
      <c r="MXL21" s="23"/>
      <c r="MXM21" s="16"/>
      <c r="MXN21" s="23"/>
      <c r="MXO21" s="16"/>
      <c r="MXP21" s="23"/>
      <c r="MXQ21" s="16"/>
      <c r="MXR21" s="23"/>
      <c r="MXS21" s="16"/>
      <c r="MXT21" s="23"/>
      <c r="MXU21" s="16"/>
      <c r="MXV21" s="23"/>
      <c r="MXW21" s="16"/>
      <c r="MXX21" s="23"/>
      <c r="MXY21" s="16"/>
      <c r="MXZ21" s="23"/>
      <c r="MYA21" s="16"/>
      <c r="MYB21" s="23"/>
      <c r="MYC21" s="16"/>
      <c r="MYD21" s="23"/>
      <c r="MYE21" s="16"/>
      <c r="MYF21" s="23"/>
      <c r="MYG21" s="16"/>
      <c r="MYH21" s="23"/>
      <c r="MYI21" s="16"/>
      <c r="MYJ21" s="23"/>
      <c r="MYK21" s="16"/>
      <c r="MYL21" s="23"/>
      <c r="MYM21" s="16"/>
      <c r="MYN21" s="23"/>
      <c r="MYO21" s="16"/>
      <c r="MYP21" s="23"/>
      <c r="MYQ21" s="16"/>
      <c r="MYR21" s="23"/>
      <c r="MYS21" s="16"/>
      <c r="MYT21" s="23"/>
      <c r="MYU21" s="16"/>
      <c r="MYV21" s="23"/>
      <c r="MYW21" s="16"/>
      <c r="MYX21" s="23"/>
      <c r="MYY21" s="16"/>
      <c r="MYZ21" s="23"/>
      <c r="MZA21" s="16"/>
      <c r="MZB21" s="23"/>
      <c r="MZC21" s="16"/>
      <c r="MZD21" s="23"/>
      <c r="MZE21" s="16"/>
      <c r="MZF21" s="23"/>
      <c r="MZG21" s="16"/>
      <c r="MZH21" s="23"/>
      <c r="MZI21" s="16"/>
      <c r="MZJ21" s="23"/>
      <c r="MZK21" s="16"/>
      <c r="MZL21" s="23"/>
      <c r="MZM21" s="16"/>
      <c r="MZN21" s="23"/>
      <c r="MZO21" s="16"/>
      <c r="MZP21" s="23"/>
      <c r="MZQ21" s="16"/>
      <c r="MZR21" s="23"/>
      <c r="MZS21" s="16"/>
      <c r="MZT21" s="23"/>
      <c r="MZU21" s="16"/>
      <c r="MZV21" s="23"/>
      <c r="MZW21" s="16"/>
      <c r="MZX21" s="23"/>
      <c r="MZY21" s="16"/>
      <c r="MZZ21" s="23"/>
      <c r="NAA21" s="16"/>
      <c r="NAB21" s="23"/>
      <c r="NAC21" s="16"/>
      <c r="NAD21" s="23"/>
      <c r="NAE21" s="16"/>
      <c r="NAF21" s="23"/>
      <c r="NAG21" s="16"/>
      <c r="NAH21" s="23"/>
      <c r="NAI21" s="16"/>
      <c r="NAJ21" s="23"/>
      <c r="NAK21" s="16"/>
      <c r="NAL21" s="23"/>
      <c r="NAM21" s="16"/>
      <c r="NAN21" s="23"/>
      <c r="NAO21" s="16"/>
      <c r="NAP21" s="23"/>
      <c r="NAQ21" s="16"/>
      <c r="NAR21" s="23"/>
      <c r="NAS21" s="16"/>
      <c r="NAT21" s="23"/>
      <c r="NAU21" s="16"/>
      <c r="NAV21" s="23"/>
      <c r="NAW21" s="16"/>
      <c r="NAX21" s="23"/>
      <c r="NAY21" s="16"/>
      <c r="NAZ21" s="23"/>
      <c r="NBA21" s="16"/>
      <c r="NBB21" s="23"/>
      <c r="NBC21" s="16"/>
      <c r="NBD21" s="23"/>
      <c r="NBE21" s="16"/>
      <c r="NBF21" s="23"/>
      <c r="NBG21" s="16"/>
      <c r="NBH21" s="23"/>
      <c r="NBI21" s="16"/>
      <c r="NBJ21" s="23"/>
      <c r="NBK21" s="16"/>
      <c r="NBL21" s="23"/>
      <c r="NBM21" s="16"/>
      <c r="NBN21" s="23"/>
      <c r="NBO21" s="16"/>
      <c r="NBP21" s="23"/>
      <c r="NBQ21" s="16"/>
      <c r="NBR21" s="23"/>
      <c r="NBS21" s="16"/>
      <c r="NBT21" s="23"/>
      <c r="NBU21" s="16"/>
      <c r="NBV21" s="23"/>
      <c r="NBW21" s="16"/>
      <c r="NBX21" s="23"/>
      <c r="NBY21" s="16"/>
      <c r="NBZ21" s="23"/>
      <c r="NCA21" s="16"/>
      <c r="NCB21" s="23"/>
      <c r="NCC21" s="16"/>
      <c r="NCD21" s="23"/>
      <c r="NCE21" s="16"/>
      <c r="NCF21" s="23"/>
      <c r="NCG21" s="16"/>
      <c r="NCH21" s="23"/>
      <c r="NCI21" s="16"/>
      <c r="NCJ21" s="23"/>
      <c r="NCK21" s="16"/>
      <c r="NCL21" s="23"/>
      <c r="NCM21" s="16"/>
      <c r="NCN21" s="23"/>
      <c r="NCO21" s="16"/>
      <c r="NCP21" s="23"/>
      <c r="NCQ21" s="16"/>
      <c r="NCR21" s="23"/>
      <c r="NCS21" s="16"/>
      <c r="NCT21" s="23"/>
      <c r="NCU21" s="16"/>
      <c r="NCV21" s="23"/>
      <c r="NCW21" s="16"/>
      <c r="NCX21" s="23"/>
      <c r="NCY21" s="16"/>
      <c r="NCZ21" s="23"/>
      <c r="NDA21" s="16"/>
      <c r="NDB21" s="23"/>
      <c r="NDC21" s="16"/>
      <c r="NDD21" s="23"/>
      <c r="NDE21" s="16"/>
      <c r="NDF21" s="23"/>
      <c r="NDG21" s="16"/>
      <c r="NDH21" s="23"/>
      <c r="NDI21" s="16"/>
      <c r="NDJ21" s="23"/>
      <c r="NDK21" s="16"/>
      <c r="NDL21" s="23"/>
      <c r="NDM21" s="16"/>
      <c r="NDN21" s="23"/>
      <c r="NDO21" s="16"/>
      <c r="NDP21" s="23"/>
      <c r="NDQ21" s="16"/>
      <c r="NDR21" s="23"/>
      <c r="NDS21" s="16"/>
      <c r="NDT21" s="23"/>
      <c r="NDU21" s="16"/>
      <c r="NDV21" s="23"/>
      <c r="NDW21" s="16"/>
      <c r="NDX21" s="23"/>
      <c r="NDY21" s="16"/>
      <c r="NDZ21" s="23"/>
      <c r="NEA21" s="16"/>
      <c r="NEB21" s="23"/>
      <c r="NEC21" s="16"/>
      <c r="NED21" s="23"/>
      <c r="NEE21" s="16"/>
      <c r="NEF21" s="23"/>
      <c r="NEG21" s="16"/>
      <c r="NEH21" s="23"/>
      <c r="NEI21" s="16"/>
      <c r="NEJ21" s="23"/>
      <c r="NEK21" s="16"/>
      <c r="NEL21" s="23"/>
      <c r="NEM21" s="16"/>
      <c r="NEN21" s="23"/>
      <c r="NEO21" s="16"/>
      <c r="NEP21" s="23"/>
      <c r="NEQ21" s="16"/>
      <c r="NER21" s="23"/>
      <c r="NES21" s="16"/>
      <c r="NET21" s="23"/>
      <c r="NEU21" s="16"/>
      <c r="NEV21" s="23"/>
      <c r="NEW21" s="16"/>
      <c r="NEX21" s="23"/>
      <c r="NEY21" s="16"/>
      <c r="NEZ21" s="23"/>
      <c r="NFA21" s="16"/>
      <c r="NFB21" s="23"/>
      <c r="NFC21" s="16"/>
      <c r="NFD21" s="23"/>
      <c r="NFE21" s="16"/>
      <c r="NFF21" s="23"/>
      <c r="NFG21" s="16"/>
      <c r="NFH21" s="23"/>
      <c r="NFI21" s="16"/>
      <c r="NFJ21" s="23"/>
      <c r="NFK21" s="16"/>
      <c r="NFL21" s="23"/>
      <c r="NFM21" s="16"/>
      <c r="NFN21" s="23"/>
      <c r="NFO21" s="16"/>
      <c r="NFP21" s="23"/>
      <c r="NFQ21" s="16"/>
      <c r="NFR21" s="23"/>
      <c r="NFS21" s="16"/>
      <c r="NFT21" s="23"/>
      <c r="NFU21" s="16"/>
      <c r="NFV21" s="23"/>
      <c r="NFW21" s="16"/>
      <c r="NFX21" s="23"/>
      <c r="NFY21" s="16"/>
      <c r="NFZ21" s="23"/>
      <c r="NGA21" s="16"/>
      <c r="NGB21" s="23"/>
      <c r="NGC21" s="16"/>
      <c r="NGD21" s="23"/>
      <c r="NGE21" s="16"/>
      <c r="NGF21" s="23"/>
      <c r="NGG21" s="16"/>
      <c r="NGH21" s="23"/>
      <c r="NGI21" s="16"/>
      <c r="NGJ21" s="23"/>
      <c r="NGK21" s="16"/>
      <c r="NGL21" s="23"/>
      <c r="NGM21" s="16"/>
      <c r="NGN21" s="23"/>
      <c r="NGO21" s="16"/>
      <c r="NGP21" s="23"/>
      <c r="NGQ21" s="16"/>
      <c r="NGR21" s="23"/>
      <c r="NGS21" s="16"/>
      <c r="NGT21" s="23"/>
      <c r="NGU21" s="16"/>
      <c r="NGV21" s="23"/>
      <c r="NGW21" s="16"/>
      <c r="NGX21" s="23"/>
      <c r="NGY21" s="16"/>
      <c r="NGZ21" s="23"/>
      <c r="NHA21" s="16"/>
      <c r="NHB21" s="23"/>
      <c r="NHC21" s="16"/>
      <c r="NHD21" s="23"/>
      <c r="NHE21" s="16"/>
      <c r="NHF21" s="23"/>
      <c r="NHG21" s="16"/>
      <c r="NHH21" s="23"/>
      <c r="NHI21" s="16"/>
      <c r="NHJ21" s="23"/>
      <c r="NHK21" s="16"/>
      <c r="NHL21" s="23"/>
      <c r="NHM21" s="16"/>
      <c r="NHN21" s="23"/>
      <c r="NHO21" s="16"/>
      <c r="NHP21" s="23"/>
      <c r="NHQ21" s="16"/>
      <c r="NHR21" s="23"/>
      <c r="NHS21" s="16"/>
      <c r="NHT21" s="23"/>
      <c r="NHU21" s="16"/>
      <c r="NHV21" s="23"/>
      <c r="NHW21" s="16"/>
      <c r="NHX21" s="23"/>
      <c r="NHY21" s="16"/>
      <c r="NHZ21" s="23"/>
      <c r="NIA21" s="16"/>
      <c r="NIB21" s="23"/>
      <c r="NIC21" s="16"/>
      <c r="NID21" s="23"/>
      <c r="NIE21" s="16"/>
      <c r="NIF21" s="23"/>
      <c r="NIG21" s="16"/>
      <c r="NIH21" s="23"/>
      <c r="NII21" s="16"/>
      <c r="NIJ21" s="23"/>
      <c r="NIK21" s="16"/>
      <c r="NIL21" s="23"/>
      <c r="NIM21" s="16"/>
      <c r="NIN21" s="23"/>
      <c r="NIO21" s="16"/>
      <c r="NIP21" s="23"/>
      <c r="NIQ21" s="16"/>
      <c r="NIR21" s="23"/>
      <c r="NIS21" s="16"/>
      <c r="NIT21" s="23"/>
      <c r="NIU21" s="16"/>
      <c r="NIV21" s="23"/>
      <c r="NIW21" s="16"/>
      <c r="NIX21" s="23"/>
      <c r="NIY21" s="16"/>
      <c r="NIZ21" s="23"/>
      <c r="NJA21" s="16"/>
      <c r="NJB21" s="23"/>
      <c r="NJC21" s="16"/>
      <c r="NJD21" s="23"/>
      <c r="NJE21" s="16"/>
      <c r="NJF21" s="23"/>
      <c r="NJG21" s="16"/>
      <c r="NJH21" s="23"/>
      <c r="NJI21" s="16"/>
      <c r="NJJ21" s="23"/>
      <c r="NJK21" s="16"/>
      <c r="NJL21" s="23"/>
      <c r="NJM21" s="16"/>
      <c r="NJN21" s="23"/>
      <c r="NJO21" s="16"/>
      <c r="NJP21" s="23"/>
      <c r="NJQ21" s="16"/>
      <c r="NJR21" s="23"/>
      <c r="NJS21" s="16"/>
      <c r="NJT21" s="23"/>
      <c r="NJU21" s="16"/>
      <c r="NJV21" s="23"/>
      <c r="NJW21" s="16"/>
      <c r="NJX21" s="23"/>
      <c r="NJY21" s="16"/>
      <c r="NJZ21" s="23"/>
      <c r="NKA21" s="16"/>
      <c r="NKB21" s="23"/>
      <c r="NKC21" s="16"/>
      <c r="NKD21" s="23"/>
      <c r="NKE21" s="16"/>
      <c r="NKF21" s="23"/>
      <c r="NKG21" s="16"/>
      <c r="NKH21" s="23"/>
      <c r="NKI21" s="16"/>
      <c r="NKJ21" s="23"/>
      <c r="NKK21" s="16"/>
      <c r="NKL21" s="23"/>
      <c r="NKM21" s="16"/>
      <c r="NKN21" s="23"/>
      <c r="NKO21" s="16"/>
      <c r="NKP21" s="23"/>
      <c r="NKQ21" s="16"/>
      <c r="NKR21" s="23"/>
      <c r="NKS21" s="16"/>
      <c r="NKT21" s="23"/>
      <c r="NKU21" s="16"/>
      <c r="NKV21" s="23"/>
      <c r="NKW21" s="16"/>
      <c r="NKX21" s="23"/>
      <c r="NKY21" s="16"/>
      <c r="NKZ21" s="23"/>
      <c r="NLA21" s="16"/>
      <c r="NLB21" s="23"/>
      <c r="NLC21" s="16"/>
      <c r="NLD21" s="23"/>
      <c r="NLE21" s="16"/>
      <c r="NLF21" s="23"/>
      <c r="NLG21" s="16"/>
      <c r="NLH21" s="23"/>
      <c r="NLI21" s="16"/>
      <c r="NLJ21" s="23"/>
      <c r="NLK21" s="16"/>
      <c r="NLL21" s="23"/>
      <c r="NLM21" s="16"/>
      <c r="NLN21" s="23"/>
      <c r="NLO21" s="16"/>
      <c r="NLP21" s="23"/>
      <c r="NLQ21" s="16"/>
      <c r="NLR21" s="23"/>
      <c r="NLS21" s="16"/>
      <c r="NLT21" s="23"/>
      <c r="NLU21" s="16"/>
      <c r="NLV21" s="23"/>
      <c r="NLW21" s="16"/>
      <c r="NLX21" s="23"/>
      <c r="NLY21" s="16"/>
      <c r="NLZ21" s="23"/>
      <c r="NMA21" s="16"/>
      <c r="NMB21" s="23"/>
      <c r="NMC21" s="16"/>
      <c r="NMD21" s="23"/>
      <c r="NME21" s="16"/>
      <c r="NMF21" s="23"/>
      <c r="NMG21" s="16"/>
      <c r="NMH21" s="23"/>
      <c r="NMI21" s="16"/>
      <c r="NMJ21" s="23"/>
      <c r="NMK21" s="16"/>
      <c r="NML21" s="23"/>
      <c r="NMM21" s="16"/>
      <c r="NMN21" s="23"/>
      <c r="NMO21" s="16"/>
      <c r="NMP21" s="23"/>
      <c r="NMQ21" s="16"/>
      <c r="NMR21" s="23"/>
      <c r="NMS21" s="16"/>
      <c r="NMT21" s="23"/>
      <c r="NMU21" s="16"/>
      <c r="NMV21" s="23"/>
      <c r="NMW21" s="16"/>
      <c r="NMX21" s="23"/>
      <c r="NMY21" s="16"/>
      <c r="NMZ21" s="23"/>
      <c r="NNA21" s="16"/>
      <c r="NNB21" s="23"/>
      <c r="NNC21" s="16"/>
      <c r="NND21" s="23"/>
      <c r="NNE21" s="16"/>
      <c r="NNF21" s="23"/>
      <c r="NNG21" s="16"/>
      <c r="NNH21" s="23"/>
      <c r="NNI21" s="16"/>
      <c r="NNJ21" s="23"/>
      <c r="NNK21" s="16"/>
      <c r="NNL21" s="23"/>
      <c r="NNM21" s="16"/>
      <c r="NNN21" s="23"/>
      <c r="NNO21" s="16"/>
      <c r="NNP21" s="23"/>
      <c r="NNQ21" s="16"/>
      <c r="NNR21" s="23"/>
      <c r="NNS21" s="16"/>
      <c r="NNT21" s="23"/>
      <c r="NNU21" s="16"/>
      <c r="NNV21" s="23"/>
      <c r="NNW21" s="16"/>
      <c r="NNX21" s="23"/>
      <c r="NNY21" s="16"/>
      <c r="NNZ21" s="23"/>
      <c r="NOA21" s="16"/>
      <c r="NOB21" s="23"/>
      <c r="NOC21" s="16"/>
      <c r="NOD21" s="23"/>
      <c r="NOE21" s="16"/>
      <c r="NOF21" s="23"/>
      <c r="NOG21" s="16"/>
      <c r="NOH21" s="23"/>
      <c r="NOI21" s="16"/>
      <c r="NOJ21" s="23"/>
      <c r="NOK21" s="16"/>
      <c r="NOL21" s="23"/>
      <c r="NOM21" s="16"/>
      <c r="NON21" s="23"/>
      <c r="NOO21" s="16"/>
      <c r="NOP21" s="23"/>
      <c r="NOQ21" s="16"/>
      <c r="NOR21" s="23"/>
      <c r="NOS21" s="16"/>
      <c r="NOT21" s="23"/>
      <c r="NOU21" s="16"/>
      <c r="NOV21" s="23"/>
      <c r="NOW21" s="16"/>
      <c r="NOX21" s="23"/>
      <c r="NOY21" s="16"/>
      <c r="NOZ21" s="23"/>
      <c r="NPA21" s="16"/>
      <c r="NPB21" s="23"/>
      <c r="NPC21" s="16"/>
      <c r="NPD21" s="23"/>
      <c r="NPE21" s="16"/>
      <c r="NPF21" s="23"/>
      <c r="NPG21" s="16"/>
      <c r="NPH21" s="23"/>
      <c r="NPI21" s="16"/>
      <c r="NPJ21" s="23"/>
      <c r="NPK21" s="16"/>
      <c r="NPL21" s="23"/>
      <c r="NPM21" s="16"/>
      <c r="NPN21" s="23"/>
      <c r="NPO21" s="16"/>
      <c r="NPP21" s="23"/>
      <c r="NPQ21" s="16"/>
      <c r="NPR21" s="23"/>
      <c r="NPS21" s="16"/>
      <c r="NPT21" s="23"/>
      <c r="NPU21" s="16"/>
      <c r="NPV21" s="23"/>
      <c r="NPW21" s="16"/>
      <c r="NPX21" s="23"/>
      <c r="NPY21" s="16"/>
      <c r="NPZ21" s="23"/>
      <c r="NQA21" s="16"/>
      <c r="NQB21" s="23"/>
      <c r="NQC21" s="16"/>
      <c r="NQD21" s="23"/>
      <c r="NQE21" s="16"/>
      <c r="NQF21" s="23"/>
      <c r="NQG21" s="16"/>
      <c r="NQH21" s="23"/>
      <c r="NQI21" s="16"/>
      <c r="NQJ21" s="23"/>
      <c r="NQK21" s="16"/>
      <c r="NQL21" s="23"/>
      <c r="NQM21" s="16"/>
      <c r="NQN21" s="23"/>
      <c r="NQO21" s="16"/>
      <c r="NQP21" s="23"/>
      <c r="NQQ21" s="16"/>
      <c r="NQR21" s="23"/>
      <c r="NQS21" s="16"/>
      <c r="NQT21" s="23"/>
      <c r="NQU21" s="16"/>
      <c r="NQV21" s="23"/>
      <c r="NQW21" s="16"/>
      <c r="NQX21" s="23"/>
      <c r="NQY21" s="16"/>
      <c r="NQZ21" s="23"/>
      <c r="NRA21" s="16"/>
      <c r="NRB21" s="23"/>
      <c r="NRC21" s="16"/>
      <c r="NRD21" s="23"/>
      <c r="NRE21" s="16"/>
      <c r="NRF21" s="23"/>
      <c r="NRG21" s="16"/>
      <c r="NRH21" s="23"/>
      <c r="NRI21" s="16"/>
      <c r="NRJ21" s="23"/>
      <c r="NRK21" s="16"/>
      <c r="NRL21" s="23"/>
      <c r="NRM21" s="16"/>
      <c r="NRN21" s="23"/>
      <c r="NRO21" s="16"/>
      <c r="NRP21" s="23"/>
      <c r="NRQ21" s="16"/>
      <c r="NRR21" s="23"/>
      <c r="NRS21" s="16"/>
      <c r="NRT21" s="23"/>
      <c r="NRU21" s="16"/>
      <c r="NRV21" s="23"/>
      <c r="NRW21" s="16"/>
      <c r="NRX21" s="23"/>
      <c r="NRY21" s="16"/>
      <c r="NRZ21" s="23"/>
      <c r="NSA21" s="16"/>
      <c r="NSB21" s="23"/>
      <c r="NSC21" s="16"/>
      <c r="NSD21" s="23"/>
      <c r="NSE21" s="16"/>
      <c r="NSF21" s="23"/>
      <c r="NSG21" s="16"/>
      <c r="NSH21" s="23"/>
      <c r="NSI21" s="16"/>
      <c r="NSJ21" s="23"/>
      <c r="NSK21" s="16"/>
      <c r="NSL21" s="23"/>
      <c r="NSM21" s="16"/>
      <c r="NSN21" s="23"/>
      <c r="NSO21" s="16"/>
      <c r="NSP21" s="23"/>
      <c r="NSQ21" s="16"/>
      <c r="NSR21" s="23"/>
      <c r="NSS21" s="16"/>
      <c r="NST21" s="23"/>
      <c r="NSU21" s="16"/>
      <c r="NSV21" s="23"/>
      <c r="NSW21" s="16"/>
      <c r="NSX21" s="23"/>
      <c r="NSY21" s="16"/>
      <c r="NSZ21" s="23"/>
      <c r="NTA21" s="16"/>
      <c r="NTB21" s="23"/>
      <c r="NTC21" s="16"/>
      <c r="NTD21" s="23"/>
      <c r="NTE21" s="16"/>
      <c r="NTF21" s="23"/>
      <c r="NTG21" s="16"/>
      <c r="NTH21" s="23"/>
      <c r="NTI21" s="16"/>
      <c r="NTJ21" s="23"/>
      <c r="NTK21" s="16"/>
      <c r="NTL21" s="23"/>
      <c r="NTM21" s="16"/>
      <c r="NTN21" s="23"/>
      <c r="NTO21" s="16"/>
      <c r="NTP21" s="23"/>
      <c r="NTQ21" s="16"/>
      <c r="NTR21" s="23"/>
      <c r="NTS21" s="16"/>
      <c r="NTT21" s="23"/>
      <c r="NTU21" s="16"/>
      <c r="NTV21" s="23"/>
      <c r="NTW21" s="16"/>
      <c r="NTX21" s="23"/>
      <c r="NTY21" s="16"/>
      <c r="NTZ21" s="23"/>
      <c r="NUA21" s="16"/>
      <c r="NUB21" s="23"/>
      <c r="NUC21" s="16"/>
      <c r="NUD21" s="23"/>
      <c r="NUE21" s="16"/>
      <c r="NUF21" s="23"/>
      <c r="NUG21" s="16"/>
      <c r="NUH21" s="23"/>
      <c r="NUI21" s="16"/>
      <c r="NUJ21" s="23"/>
      <c r="NUK21" s="16"/>
      <c r="NUL21" s="23"/>
      <c r="NUM21" s="16"/>
      <c r="NUN21" s="23"/>
      <c r="NUO21" s="16"/>
      <c r="NUP21" s="23"/>
      <c r="NUQ21" s="16"/>
      <c r="NUR21" s="23"/>
      <c r="NUS21" s="16"/>
      <c r="NUT21" s="23"/>
      <c r="NUU21" s="16"/>
      <c r="NUV21" s="23"/>
      <c r="NUW21" s="16"/>
      <c r="NUX21" s="23"/>
      <c r="NUY21" s="16"/>
      <c r="NUZ21" s="23"/>
      <c r="NVA21" s="16"/>
      <c r="NVB21" s="23"/>
      <c r="NVC21" s="16"/>
      <c r="NVD21" s="23"/>
      <c r="NVE21" s="16"/>
      <c r="NVF21" s="23"/>
      <c r="NVG21" s="16"/>
      <c r="NVH21" s="23"/>
      <c r="NVI21" s="16"/>
      <c r="NVJ21" s="23"/>
      <c r="NVK21" s="16"/>
      <c r="NVL21" s="23"/>
      <c r="NVM21" s="16"/>
      <c r="NVN21" s="23"/>
      <c r="NVO21" s="16"/>
      <c r="NVP21" s="23"/>
      <c r="NVQ21" s="16"/>
      <c r="NVR21" s="23"/>
      <c r="NVS21" s="16"/>
      <c r="NVT21" s="23"/>
      <c r="NVU21" s="16"/>
      <c r="NVV21" s="23"/>
      <c r="NVW21" s="16"/>
      <c r="NVX21" s="23"/>
      <c r="NVY21" s="16"/>
      <c r="NVZ21" s="23"/>
      <c r="NWA21" s="16"/>
      <c r="NWB21" s="23"/>
      <c r="NWC21" s="16"/>
      <c r="NWD21" s="23"/>
      <c r="NWE21" s="16"/>
      <c r="NWF21" s="23"/>
      <c r="NWG21" s="16"/>
      <c r="NWH21" s="23"/>
      <c r="NWI21" s="16"/>
      <c r="NWJ21" s="23"/>
      <c r="NWK21" s="16"/>
      <c r="NWL21" s="23"/>
      <c r="NWM21" s="16"/>
      <c r="NWN21" s="23"/>
      <c r="NWO21" s="16"/>
      <c r="NWP21" s="23"/>
      <c r="NWQ21" s="16"/>
      <c r="NWR21" s="23"/>
      <c r="NWS21" s="16"/>
      <c r="NWT21" s="23"/>
      <c r="NWU21" s="16"/>
      <c r="NWV21" s="23"/>
      <c r="NWW21" s="16"/>
      <c r="NWX21" s="23"/>
      <c r="NWY21" s="16"/>
      <c r="NWZ21" s="23"/>
      <c r="NXA21" s="16"/>
      <c r="NXB21" s="23"/>
      <c r="NXC21" s="16"/>
      <c r="NXD21" s="23"/>
      <c r="NXE21" s="16"/>
      <c r="NXF21" s="23"/>
      <c r="NXG21" s="16"/>
      <c r="NXH21" s="23"/>
      <c r="NXI21" s="16"/>
      <c r="NXJ21" s="23"/>
      <c r="NXK21" s="16"/>
      <c r="NXL21" s="23"/>
      <c r="NXM21" s="16"/>
      <c r="NXN21" s="23"/>
      <c r="NXO21" s="16"/>
      <c r="NXP21" s="23"/>
      <c r="NXQ21" s="16"/>
      <c r="NXR21" s="23"/>
      <c r="NXS21" s="16"/>
      <c r="NXT21" s="23"/>
      <c r="NXU21" s="16"/>
      <c r="NXV21" s="23"/>
      <c r="NXW21" s="16"/>
      <c r="NXX21" s="23"/>
      <c r="NXY21" s="16"/>
      <c r="NXZ21" s="23"/>
      <c r="NYA21" s="16"/>
      <c r="NYB21" s="23"/>
      <c r="NYC21" s="16"/>
      <c r="NYD21" s="23"/>
      <c r="NYE21" s="16"/>
      <c r="NYF21" s="23"/>
      <c r="NYG21" s="16"/>
      <c r="NYH21" s="23"/>
      <c r="NYI21" s="16"/>
      <c r="NYJ21" s="23"/>
      <c r="NYK21" s="16"/>
      <c r="NYL21" s="23"/>
      <c r="NYM21" s="16"/>
      <c r="NYN21" s="23"/>
      <c r="NYO21" s="16"/>
      <c r="NYP21" s="23"/>
      <c r="NYQ21" s="16"/>
      <c r="NYR21" s="23"/>
      <c r="NYS21" s="16"/>
      <c r="NYT21" s="23"/>
      <c r="NYU21" s="16"/>
      <c r="NYV21" s="23"/>
      <c r="NYW21" s="16"/>
      <c r="NYX21" s="23"/>
      <c r="NYY21" s="16"/>
      <c r="NYZ21" s="23"/>
      <c r="NZA21" s="16"/>
      <c r="NZB21" s="23"/>
      <c r="NZC21" s="16"/>
      <c r="NZD21" s="23"/>
      <c r="NZE21" s="16"/>
      <c r="NZF21" s="23"/>
      <c r="NZG21" s="16"/>
      <c r="NZH21" s="23"/>
      <c r="NZI21" s="16"/>
      <c r="NZJ21" s="23"/>
      <c r="NZK21" s="16"/>
      <c r="NZL21" s="23"/>
      <c r="NZM21" s="16"/>
      <c r="NZN21" s="23"/>
      <c r="NZO21" s="16"/>
      <c r="NZP21" s="23"/>
      <c r="NZQ21" s="16"/>
      <c r="NZR21" s="23"/>
      <c r="NZS21" s="16"/>
      <c r="NZT21" s="23"/>
      <c r="NZU21" s="16"/>
      <c r="NZV21" s="23"/>
      <c r="NZW21" s="16"/>
      <c r="NZX21" s="23"/>
      <c r="NZY21" s="16"/>
      <c r="NZZ21" s="23"/>
      <c r="OAA21" s="16"/>
      <c r="OAB21" s="23"/>
      <c r="OAC21" s="16"/>
      <c r="OAD21" s="23"/>
      <c r="OAE21" s="16"/>
      <c r="OAF21" s="23"/>
      <c r="OAG21" s="16"/>
      <c r="OAH21" s="23"/>
      <c r="OAI21" s="16"/>
      <c r="OAJ21" s="23"/>
      <c r="OAK21" s="16"/>
      <c r="OAL21" s="23"/>
      <c r="OAM21" s="16"/>
      <c r="OAN21" s="23"/>
      <c r="OAO21" s="16"/>
      <c r="OAP21" s="23"/>
      <c r="OAQ21" s="16"/>
      <c r="OAR21" s="23"/>
      <c r="OAS21" s="16"/>
      <c r="OAT21" s="23"/>
      <c r="OAU21" s="16"/>
      <c r="OAV21" s="23"/>
      <c r="OAW21" s="16"/>
      <c r="OAX21" s="23"/>
      <c r="OAY21" s="16"/>
      <c r="OAZ21" s="23"/>
      <c r="OBA21" s="16"/>
      <c r="OBB21" s="23"/>
      <c r="OBC21" s="16"/>
      <c r="OBD21" s="23"/>
      <c r="OBE21" s="16"/>
      <c r="OBF21" s="23"/>
      <c r="OBG21" s="16"/>
      <c r="OBH21" s="23"/>
      <c r="OBI21" s="16"/>
      <c r="OBJ21" s="23"/>
      <c r="OBK21" s="16"/>
      <c r="OBL21" s="23"/>
      <c r="OBM21" s="16"/>
      <c r="OBN21" s="23"/>
      <c r="OBO21" s="16"/>
      <c r="OBP21" s="23"/>
      <c r="OBQ21" s="16"/>
      <c r="OBR21" s="23"/>
      <c r="OBS21" s="16"/>
      <c r="OBT21" s="23"/>
      <c r="OBU21" s="16"/>
      <c r="OBV21" s="23"/>
      <c r="OBW21" s="16"/>
      <c r="OBX21" s="23"/>
      <c r="OBY21" s="16"/>
      <c r="OBZ21" s="23"/>
      <c r="OCA21" s="16"/>
      <c r="OCB21" s="23"/>
      <c r="OCC21" s="16"/>
      <c r="OCD21" s="23"/>
      <c r="OCE21" s="16"/>
      <c r="OCF21" s="23"/>
      <c r="OCG21" s="16"/>
      <c r="OCH21" s="23"/>
      <c r="OCI21" s="16"/>
      <c r="OCJ21" s="23"/>
      <c r="OCK21" s="16"/>
      <c r="OCL21" s="23"/>
      <c r="OCM21" s="16"/>
      <c r="OCN21" s="23"/>
      <c r="OCO21" s="16"/>
      <c r="OCP21" s="23"/>
      <c r="OCQ21" s="16"/>
      <c r="OCR21" s="23"/>
      <c r="OCS21" s="16"/>
      <c r="OCT21" s="23"/>
      <c r="OCU21" s="16"/>
      <c r="OCV21" s="23"/>
      <c r="OCW21" s="16"/>
      <c r="OCX21" s="23"/>
      <c r="OCY21" s="16"/>
      <c r="OCZ21" s="23"/>
      <c r="ODA21" s="16"/>
      <c r="ODB21" s="23"/>
      <c r="ODC21" s="16"/>
      <c r="ODD21" s="23"/>
      <c r="ODE21" s="16"/>
      <c r="ODF21" s="23"/>
      <c r="ODG21" s="16"/>
      <c r="ODH21" s="23"/>
      <c r="ODI21" s="16"/>
      <c r="ODJ21" s="23"/>
      <c r="ODK21" s="16"/>
      <c r="ODL21" s="23"/>
      <c r="ODM21" s="16"/>
      <c r="ODN21" s="23"/>
      <c r="ODO21" s="16"/>
      <c r="ODP21" s="23"/>
      <c r="ODQ21" s="16"/>
      <c r="ODR21" s="23"/>
      <c r="ODS21" s="16"/>
      <c r="ODT21" s="23"/>
      <c r="ODU21" s="16"/>
      <c r="ODV21" s="23"/>
      <c r="ODW21" s="16"/>
      <c r="ODX21" s="23"/>
      <c r="ODY21" s="16"/>
      <c r="ODZ21" s="23"/>
      <c r="OEA21" s="16"/>
      <c r="OEB21" s="23"/>
      <c r="OEC21" s="16"/>
      <c r="OED21" s="23"/>
      <c r="OEE21" s="16"/>
      <c r="OEF21" s="23"/>
      <c r="OEG21" s="16"/>
      <c r="OEH21" s="23"/>
      <c r="OEI21" s="16"/>
      <c r="OEJ21" s="23"/>
      <c r="OEK21" s="16"/>
      <c r="OEL21" s="23"/>
      <c r="OEM21" s="16"/>
      <c r="OEN21" s="23"/>
      <c r="OEO21" s="16"/>
      <c r="OEP21" s="23"/>
      <c r="OEQ21" s="16"/>
      <c r="OER21" s="23"/>
      <c r="OES21" s="16"/>
      <c r="OET21" s="23"/>
      <c r="OEU21" s="16"/>
      <c r="OEV21" s="23"/>
      <c r="OEW21" s="16"/>
      <c r="OEX21" s="23"/>
      <c r="OEY21" s="16"/>
      <c r="OEZ21" s="23"/>
      <c r="OFA21" s="16"/>
      <c r="OFB21" s="23"/>
      <c r="OFC21" s="16"/>
      <c r="OFD21" s="23"/>
      <c r="OFE21" s="16"/>
      <c r="OFF21" s="23"/>
      <c r="OFG21" s="16"/>
      <c r="OFH21" s="23"/>
      <c r="OFI21" s="16"/>
      <c r="OFJ21" s="23"/>
      <c r="OFK21" s="16"/>
      <c r="OFL21" s="23"/>
      <c r="OFM21" s="16"/>
      <c r="OFN21" s="23"/>
      <c r="OFO21" s="16"/>
      <c r="OFP21" s="23"/>
      <c r="OFQ21" s="16"/>
      <c r="OFR21" s="23"/>
      <c r="OFS21" s="16"/>
      <c r="OFT21" s="23"/>
      <c r="OFU21" s="16"/>
      <c r="OFV21" s="23"/>
      <c r="OFW21" s="16"/>
      <c r="OFX21" s="23"/>
      <c r="OFY21" s="16"/>
      <c r="OFZ21" s="23"/>
      <c r="OGA21" s="16"/>
      <c r="OGB21" s="23"/>
      <c r="OGC21" s="16"/>
      <c r="OGD21" s="23"/>
      <c r="OGE21" s="16"/>
      <c r="OGF21" s="23"/>
      <c r="OGG21" s="16"/>
      <c r="OGH21" s="23"/>
      <c r="OGI21" s="16"/>
      <c r="OGJ21" s="23"/>
      <c r="OGK21" s="16"/>
      <c r="OGL21" s="23"/>
      <c r="OGM21" s="16"/>
      <c r="OGN21" s="23"/>
      <c r="OGO21" s="16"/>
      <c r="OGP21" s="23"/>
      <c r="OGQ21" s="16"/>
      <c r="OGR21" s="23"/>
      <c r="OGS21" s="16"/>
      <c r="OGT21" s="23"/>
      <c r="OGU21" s="16"/>
      <c r="OGV21" s="23"/>
      <c r="OGW21" s="16"/>
      <c r="OGX21" s="23"/>
      <c r="OGY21" s="16"/>
      <c r="OGZ21" s="23"/>
      <c r="OHA21" s="16"/>
      <c r="OHB21" s="23"/>
      <c r="OHC21" s="16"/>
      <c r="OHD21" s="23"/>
      <c r="OHE21" s="16"/>
      <c r="OHF21" s="23"/>
      <c r="OHG21" s="16"/>
      <c r="OHH21" s="23"/>
      <c r="OHI21" s="16"/>
      <c r="OHJ21" s="23"/>
      <c r="OHK21" s="16"/>
      <c r="OHL21" s="23"/>
      <c r="OHM21" s="16"/>
      <c r="OHN21" s="23"/>
      <c r="OHO21" s="16"/>
      <c r="OHP21" s="23"/>
      <c r="OHQ21" s="16"/>
      <c r="OHR21" s="23"/>
      <c r="OHS21" s="16"/>
      <c r="OHT21" s="23"/>
      <c r="OHU21" s="16"/>
      <c r="OHV21" s="23"/>
      <c r="OHW21" s="16"/>
      <c r="OHX21" s="23"/>
      <c r="OHY21" s="16"/>
      <c r="OHZ21" s="23"/>
      <c r="OIA21" s="16"/>
      <c r="OIB21" s="23"/>
      <c r="OIC21" s="16"/>
      <c r="OID21" s="23"/>
      <c r="OIE21" s="16"/>
      <c r="OIF21" s="23"/>
      <c r="OIG21" s="16"/>
      <c r="OIH21" s="23"/>
      <c r="OII21" s="16"/>
      <c r="OIJ21" s="23"/>
      <c r="OIK21" s="16"/>
      <c r="OIL21" s="23"/>
      <c r="OIM21" s="16"/>
      <c r="OIN21" s="23"/>
      <c r="OIO21" s="16"/>
      <c r="OIP21" s="23"/>
      <c r="OIQ21" s="16"/>
      <c r="OIR21" s="23"/>
      <c r="OIS21" s="16"/>
      <c r="OIT21" s="23"/>
      <c r="OIU21" s="16"/>
      <c r="OIV21" s="23"/>
      <c r="OIW21" s="16"/>
      <c r="OIX21" s="23"/>
      <c r="OIY21" s="16"/>
      <c r="OIZ21" s="23"/>
      <c r="OJA21" s="16"/>
      <c r="OJB21" s="23"/>
      <c r="OJC21" s="16"/>
      <c r="OJD21" s="23"/>
      <c r="OJE21" s="16"/>
      <c r="OJF21" s="23"/>
      <c r="OJG21" s="16"/>
      <c r="OJH21" s="23"/>
      <c r="OJI21" s="16"/>
      <c r="OJJ21" s="23"/>
      <c r="OJK21" s="16"/>
      <c r="OJL21" s="23"/>
      <c r="OJM21" s="16"/>
      <c r="OJN21" s="23"/>
      <c r="OJO21" s="16"/>
      <c r="OJP21" s="23"/>
      <c r="OJQ21" s="16"/>
      <c r="OJR21" s="23"/>
      <c r="OJS21" s="16"/>
      <c r="OJT21" s="23"/>
      <c r="OJU21" s="16"/>
      <c r="OJV21" s="23"/>
      <c r="OJW21" s="16"/>
      <c r="OJX21" s="23"/>
      <c r="OJY21" s="16"/>
      <c r="OJZ21" s="23"/>
      <c r="OKA21" s="16"/>
      <c r="OKB21" s="23"/>
      <c r="OKC21" s="16"/>
      <c r="OKD21" s="23"/>
      <c r="OKE21" s="16"/>
      <c r="OKF21" s="23"/>
      <c r="OKG21" s="16"/>
      <c r="OKH21" s="23"/>
      <c r="OKI21" s="16"/>
      <c r="OKJ21" s="23"/>
      <c r="OKK21" s="16"/>
      <c r="OKL21" s="23"/>
      <c r="OKM21" s="16"/>
      <c r="OKN21" s="23"/>
      <c r="OKO21" s="16"/>
      <c r="OKP21" s="23"/>
      <c r="OKQ21" s="16"/>
      <c r="OKR21" s="23"/>
      <c r="OKS21" s="16"/>
      <c r="OKT21" s="23"/>
      <c r="OKU21" s="16"/>
      <c r="OKV21" s="23"/>
      <c r="OKW21" s="16"/>
      <c r="OKX21" s="23"/>
      <c r="OKY21" s="16"/>
      <c r="OKZ21" s="23"/>
      <c r="OLA21" s="16"/>
      <c r="OLB21" s="23"/>
      <c r="OLC21" s="16"/>
      <c r="OLD21" s="23"/>
      <c r="OLE21" s="16"/>
      <c r="OLF21" s="23"/>
      <c r="OLG21" s="16"/>
      <c r="OLH21" s="23"/>
      <c r="OLI21" s="16"/>
      <c r="OLJ21" s="23"/>
      <c r="OLK21" s="16"/>
      <c r="OLL21" s="23"/>
      <c r="OLM21" s="16"/>
      <c r="OLN21" s="23"/>
      <c r="OLO21" s="16"/>
      <c r="OLP21" s="23"/>
      <c r="OLQ21" s="16"/>
      <c r="OLR21" s="23"/>
      <c r="OLS21" s="16"/>
      <c r="OLT21" s="23"/>
      <c r="OLU21" s="16"/>
      <c r="OLV21" s="23"/>
      <c r="OLW21" s="16"/>
      <c r="OLX21" s="23"/>
      <c r="OLY21" s="16"/>
      <c r="OLZ21" s="23"/>
      <c r="OMA21" s="16"/>
      <c r="OMB21" s="23"/>
      <c r="OMC21" s="16"/>
      <c r="OMD21" s="23"/>
      <c r="OME21" s="16"/>
      <c r="OMF21" s="23"/>
      <c r="OMG21" s="16"/>
      <c r="OMH21" s="23"/>
      <c r="OMI21" s="16"/>
      <c r="OMJ21" s="23"/>
      <c r="OMK21" s="16"/>
      <c r="OML21" s="23"/>
      <c r="OMM21" s="16"/>
      <c r="OMN21" s="23"/>
      <c r="OMO21" s="16"/>
      <c r="OMP21" s="23"/>
      <c r="OMQ21" s="16"/>
      <c r="OMR21" s="23"/>
      <c r="OMS21" s="16"/>
      <c r="OMT21" s="23"/>
      <c r="OMU21" s="16"/>
      <c r="OMV21" s="23"/>
      <c r="OMW21" s="16"/>
      <c r="OMX21" s="23"/>
      <c r="OMY21" s="16"/>
      <c r="OMZ21" s="23"/>
      <c r="ONA21" s="16"/>
      <c r="ONB21" s="23"/>
      <c r="ONC21" s="16"/>
      <c r="OND21" s="23"/>
      <c r="ONE21" s="16"/>
      <c r="ONF21" s="23"/>
      <c r="ONG21" s="16"/>
      <c r="ONH21" s="23"/>
      <c r="ONI21" s="16"/>
      <c r="ONJ21" s="23"/>
      <c r="ONK21" s="16"/>
      <c r="ONL21" s="23"/>
      <c r="ONM21" s="16"/>
      <c r="ONN21" s="23"/>
      <c r="ONO21" s="16"/>
      <c r="ONP21" s="23"/>
      <c r="ONQ21" s="16"/>
      <c r="ONR21" s="23"/>
      <c r="ONS21" s="16"/>
      <c r="ONT21" s="23"/>
      <c r="ONU21" s="16"/>
      <c r="ONV21" s="23"/>
      <c r="ONW21" s="16"/>
      <c r="ONX21" s="23"/>
      <c r="ONY21" s="16"/>
      <c r="ONZ21" s="23"/>
      <c r="OOA21" s="16"/>
      <c r="OOB21" s="23"/>
      <c r="OOC21" s="16"/>
      <c r="OOD21" s="23"/>
      <c r="OOE21" s="16"/>
      <c r="OOF21" s="23"/>
      <c r="OOG21" s="16"/>
      <c r="OOH21" s="23"/>
      <c r="OOI21" s="16"/>
      <c r="OOJ21" s="23"/>
      <c r="OOK21" s="16"/>
      <c r="OOL21" s="23"/>
      <c r="OOM21" s="16"/>
      <c r="OON21" s="23"/>
      <c r="OOO21" s="16"/>
      <c r="OOP21" s="23"/>
      <c r="OOQ21" s="16"/>
      <c r="OOR21" s="23"/>
      <c r="OOS21" s="16"/>
      <c r="OOT21" s="23"/>
      <c r="OOU21" s="16"/>
      <c r="OOV21" s="23"/>
      <c r="OOW21" s="16"/>
      <c r="OOX21" s="23"/>
      <c r="OOY21" s="16"/>
      <c r="OOZ21" s="23"/>
      <c r="OPA21" s="16"/>
      <c r="OPB21" s="23"/>
      <c r="OPC21" s="16"/>
      <c r="OPD21" s="23"/>
      <c r="OPE21" s="16"/>
      <c r="OPF21" s="23"/>
      <c r="OPG21" s="16"/>
      <c r="OPH21" s="23"/>
      <c r="OPI21" s="16"/>
      <c r="OPJ21" s="23"/>
      <c r="OPK21" s="16"/>
      <c r="OPL21" s="23"/>
      <c r="OPM21" s="16"/>
      <c r="OPN21" s="23"/>
      <c r="OPO21" s="16"/>
      <c r="OPP21" s="23"/>
      <c r="OPQ21" s="16"/>
      <c r="OPR21" s="23"/>
      <c r="OPS21" s="16"/>
      <c r="OPT21" s="23"/>
      <c r="OPU21" s="16"/>
      <c r="OPV21" s="23"/>
      <c r="OPW21" s="16"/>
      <c r="OPX21" s="23"/>
      <c r="OPY21" s="16"/>
      <c r="OPZ21" s="23"/>
      <c r="OQA21" s="16"/>
      <c r="OQB21" s="23"/>
      <c r="OQC21" s="16"/>
      <c r="OQD21" s="23"/>
      <c r="OQE21" s="16"/>
      <c r="OQF21" s="23"/>
      <c r="OQG21" s="16"/>
      <c r="OQH21" s="23"/>
      <c r="OQI21" s="16"/>
      <c r="OQJ21" s="23"/>
      <c r="OQK21" s="16"/>
      <c r="OQL21" s="23"/>
      <c r="OQM21" s="16"/>
      <c r="OQN21" s="23"/>
      <c r="OQO21" s="16"/>
      <c r="OQP21" s="23"/>
      <c r="OQQ21" s="16"/>
      <c r="OQR21" s="23"/>
      <c r="OQS21" s="16"/>
      <c r="OQT21" s="23"/>
      <c r="OQU21" s="16"/>
      <c r="OQV21" s="23"/>
      <c r="OQW21" s="16"/>
      <c r="OQX21" s="23"/>
      <c r="OQY21" s="16"/>
      <c r="OQZ21" s="23"/>
      <c r="ORA21" s="16"/>
      <c r="ORB21" s="23"/>
      <c r="ORC21" s="16"/>
      <c r="ORD21" s="23"/>
      <c r="ORE21" s="16"/>
      <c r="ORF21" s="23"/>
      <c r="ORG21" s="16"/>
      <c r="ORH21" s="23"/>
      <c r="ORI21" s="16"/>
      <c r="ORJ21" s="23"/>
      <c r="ORK21" s="16"/>
      <c r="ORL21" s="23"/>
      <c r="ORM21" s="16"/>
      <c r="ORN21" s="23"/>
      <c r="ORO21" s="16"/>
      <c r="ORP21" s="23"/>
      <c r="ORQ21" s="16"/>
      <c r="ORR21" s="23"/>
      <c r="ORS21" s="16"/>
      <c r="ORT21" s="23"/>
      <c r="ORU21" s="16"/>
      <c r="ORV21" s="23"/>
      <c r="ORW21" s="16"/>
      <c r="ORX21" s="23"/>
      <c r="ORY21" s="16"/>
      <c r="ORZ21" s="23"/>
      <c r="OSA21" s="16"/>
      <c r="OSB21" s="23"/>
      <c r="OSC21" s="16"/>
      <c r="OSD21" s="23"/>
      <c r="OSE21" s="16"/>
      <c r="OSF21" s="23"/>
      <c r="OSG21" s="16"/>
      <c r="OSH21" s="23"/>
      <c r="OSI21" s="16"/>
      <c r="OSJ21" s="23"/>
      <c r="OSK21" s="16"/>
      <c r="OSL21" s="23"/>
      <c r="OSM21" s="16"/>
      <c r="OSN21" s="23"/>
      <c r="OSO21" s="16"/>
      <c r="OSP21" s="23"/>
      <c r="OSQ21" s="16"/>
      <c r="OSR21" s="23"/>
      <c r="OSS21" s="16"/>
      <c r="OST21" s="23"/>
      <c r="OSU21" s="16"/>
      <c r="OSV21" s="23"/>
      <c r="OSW21" s="16"/>
      <c r="OSX21" s="23"/>
      <c r="OSY21" s="16"/>
      <c r="OSZ21" s="23"/>
      <c r="OTA21" s="16"/>
      <c r="OTB21" s="23"/>
      <c r="OTC21" s="16"/>
      <c r="OTD21" s="23"/>
      <c r="OTE21" s="16"/>
      <c r="OTF21" s="23"/>
      <c r="OTG21" s="16"/>
      <c r="OTH21" s="23"/>
      <c r="OTI21" s="16"/>
      <c r="OTJ21" s="23"/>
      <c r="OTK21" s="16"/>
      <c r="OTL21" s="23"/>
      <c r="OTM21" s="16"/>
      <c r="OTN21" s="23"/>
      <c r="OTO21" s="16"/>
      <c r="OTP21" s="23"/>
      <c r="OTQ21" s="16"/>
      <c r="OTR21" s="23"/>
      <c r="OTS21" s="16"/>
      <c r="OTT21" s="23"/>
      <c r="OTU21" s="16"/>
      <c r="OTV21" s="23"/>
      <c r="OTW21" s="16"/>
      <c r="OTX21" s="23"/>
      <c r="OTY21" s="16"/>
      <c r="OTZ21" s="23"/>
      <c r="OUA21" s="16"/>
      <c r="OUB21" s="23"/>
      <c r="OUC21" s="16"/>
      <c r="OUD21" s="23"/>
      <c r="OUE21" s="16"/>
      <c r="OUF21" s="23"/>
      <c r="OUG21" s="16"/>
      <c r="OUH21" s="23"/>
      <c r="OUI21" s="16"/>
      <c r="OUJ21" s="23"/>
      <c r="OUK21" s="16"/>
      <c r="OUL21" s="23"/>
      <c r="OUM21" s="16"/>
      <c r="OUN21" s="23"/>
      <c r="OUO21" s="16"/>
      <c r="OUP21" s="23"/>
      <c r="OUQ21" s="16"/>
      <c r="OUR21" s="23"/>
      <c r="OUS21" s="16"/>
      <c r="OUT21" s="23"/>
      <c r="OUU21" s="16"/>
      <c r="OUV21" s="23"/>
      <c r="OUW21" s="16"/>
      <c r="OUX21" s="23"/>
      <c r="OUY21" s="16"/>
      <c r="OUZ21" s="23"/>
      <c r="OVA21" s="16"/>
      <c r="OVB21" s="23"/>
      <c r="OVC21" s="16"/>
      <c r="OVD21" s="23"/>
      <c r="OVE21" s="16"/>
      <c r="OVF21" s="23"/>
      <c r="OVG21" s="16"/>
      <c r="OVH21" s="23"/>
      <c r="OVI21" s="16"/>
      <c r="OVJ21" s="23"/>
      <c r="OVK21" s="16"/>
      <c r="OVL21" s="23"/>
      <c r="OVM21" s="16"/>
      <c r="OVN21" s="23"/>
      <c r="OVO21" s="16"/>
      <c r="OVP21" s="23"/>
      <c r="OVQ21" s="16"/>
      <c r="OVR21" s="23"/>
      <c r="OVS21" s="16"/>
      <c r="OVT21" s="23"/>
      <c r="OVU21" s="16"/>
      <c r="OVV21" s="23"/>
      <c r="OVW21" s="16"/>
      <c r="OVX21" s="23"/>
      <c r="OVY21" s="16"/>
      <c r="OVZ21" s="23"/>
      <c r="OWA21" s="16"/>
      <c r="OWB21" s="23"/>
      <c r="OWC21" s="16"/>
      <c r="OWD21" s="23"/>
      <c r="OWE21" s="16"/>
      <c r="OWF21" s="23"/>
      <c r="OWG21" s="16"/>
      <c r="OWH21" s="23"/>
      <c r="OWI21" s="16"/>
      <c r="OWJ21" s="23"/>
      <c r="OWK21" s="16"/>
      <c r="OWL21" s="23"/>
      <c r="OWM21" s="16"/>
      <c r="OWN21" s="23"/>
      <c r="OWO21" s="16"/>
      <c r="OWP21" s="23"/>
      <c r="OWQ21" s="16"/>
      <c r="OWR21" s="23"/>
      <c r="OWS21" s="16"/>
      <c r="OWT21" s="23"/>
      <c r="OWU21" s="16"/>
      <c r="OWV21" s="23"/>
      <c r="OWW21" s="16"/>
      <c r="OWX21" s="23"/>
      <c r="OWY21" s="16"/>
      <c r="OWZ21" s="23"/>
      <c r="OXA21" s="16"/>
      <c r="OXB21" s="23"/>
      <c r="OXC21" s="16"/>
      <c r="OXD21" s="23"/>
      <c r="OXE21" s="16"/>
      <c r="OXF21" s="23"/>
      <c r="OXG21" s="16"/>
      <c r="OXH21" s="23"/>
      <c r="OXI21" s="16"/>
      <c r="OXJ21" s="23"/>
      <c r="OXK21" s="16"/>
      <c r="OXL21" s="23"/>
      <c r="OXM21" s="16"/>
      <c r="OXN21" s="23"/>
      <c r="OXO21" s="16"/>
      <c r="OXP21" s="23"/>
      <c r="OXQ21" s="16"/>
      <c r="OXR21" s="23"/>
      <c r="OXS21" s="16"/>
      <c r="OXT21" s="23"/>
      <c r="OXU21" s="16"/>
      <c r="OXV21" s="23"/>
      <c r="OXW21" s="16"/>
      <c r="OXX21" s="23"/>
      <c r="OXY21" s="16"/>
      <c r="OXZ21" s="23"/>
      <c r="OYA21" s="16"/>
      <c r="OYB21" s="23"/>
      <c r="OYC21" s="16"/>
      <c r="OYD21" s="23"/>
      <c r="OYE21" s="16"/>
      <c r="OYF21" s="23"/>
      <c r="OYG21" s="16"/>
      <c r="OYH21" s="23"/>
      <c r="OYI21" s="16"/>
      <c r="OYJ21" s="23"/>
      <c r="OYK21" s="16"/>
      <c r="OYL21" s="23"/>
      <c r="OYM21" s="16"/>
      <c r="OYN21" s="23"/>
      <c r="OYO21" s="16"/>
      <c r="OYP21" s="23"/>
      <c r="OYQ21" s="16"/>
      <c r="OYR21" s="23"/>
      <c r="OYS21" s="16"/>
      <c r="OYT21" s="23"/>
      <c r="OYU21" s="16"/>
      <c r="OYV21" s="23"/>
      <c r="OYW21" s="16"/>
      <c r="OYX21" s="23"/>
      <c r="OYY21" s="16"/>
      <c r="OYZ21" s="23"/>
      <c r="OZA21" s="16"/>
      <c r="OZB21" s="23"/>
      <c r="OZC21" s="16"/>
      <c r="OZD21" s="23"/>
      <c r="OZE21" s="16"/>
      <c r="OZF21" s="23"/>
      <c r="OZG21" s="16"/>
      <c r="OZH21" s="23"/>
      <c r="OZI21" s="16"/>
      <c r="OZJ21" s="23"/>
      <c r="OZK21" s="16"/>
      <c r="OZL21" s="23"/>
      <c r="OZM21" s="16"/>
      <c r="OZN21" s="23"/>
      <c r="OZO21" s="16"/>
      <c r="OZP21" s="23"/>
      <c r="OZQ21" s="16"/>
      <c r="OZR21" s="23"/>
      <c r="OZS21" s="16"/>
      <c r="OZT21" s="23"/>
      <c r="OZU21" s="16"/>
      <c r="OZV21" s="23"/>
      <c r="OZW21" s="16"/>
      <c r="OZX21" s="23"/>
      <c r="OZY21" s="16"/>
      <c r="OZZ21" s="23"/>
      <c r="PAA21" s="16"/>
      <c r="PAB21" s="23"/>
      <c r="PAC21" s="16"/>
      <c r="PAD21" s="23"/>
      <c r="PAE21" s="16"/>
      <c r="PAF21" s="23"/>
      <c r="PAG21" s="16"/>
      <c r="PAH21" s="23"/>
      <c r="PAI21" s="16"/>
      <c r="PAJ21" s="23"/>
      <c r="PAK21" s="16"/>
      <c r="PAL21" s="23"/>
      <c r="PAM21" s="16"/>
      <c r="PAN21" s="23"/>
      <c r="PAO21" s="16"/>
      <c r="PAP21" s="23"/>
      <c r="PAQ21" s="16"/>
      <c r="PAR21" s="23"/>
      <c r="PAS21" s="16"/>
      <c r="PAT21" s="23"/>
      <c r="PAU21" s="16"/>
      <c r="PAV21" s="23"/>
      <c r="PAW21" s="16"/>
      <c r="PAX21" s="23"/>
      <c r="PAY21" s="16"/>
      <c r="PAZ21" s="23"/>
      <c r="PBA21" s="16"/>
      <c r="PBB21" s="23"/>
      <c r="PBC21" s="16"/>
      <c r="PBD21" s="23"/>
      <c r="PBE21" s="16"/>
      <c r="PBF21" s="23"/>
      <c r="PBG21" s="16"/>
      <c r="PBH21" s="23"/>
      <c r="PBI21" s="16"/>
      <c r="PBJ21" s="23"/>
      <c r="PBK21" s="16"/>
      <c r="PBL21" s="23"/>
      <c r="PBM21" s="16"/>
      <c r="PBN21" s="23"/>
      <c r="PBO21" s="16"/>
      <c r="PBP21" s="23"/>
      <c r="PBQ21" s="16"/>
      <c r="PBR21" s="23"/>
      <c r="PBS21" s="16"/>
      <c r="PBT21" s="23"/>
      <c r="PBU21" s="16"/>
      <c r="PBV21" s="23"/>
      <c r="PBW21" s="16"/>
      <c r="PBX21" s="23"/>
      <c r="PBY21" s="16"/>
      <c r="PBZ21" s="23"/>
      <c r="PCA21" s="16"/>
      <c r="PCB21" s="23"/>
      <c r="PCC21" s="16"/>
      <c r="PCD21" s="23"/>
      <c r="PCE21" s="16"/>
      <c r="PCF21" s="23"/>
      <c r="PCG21" s="16"/>
      <c r="PCH21" s="23"/>
      <c r="PCI21" s="16"/>
      <c r="PCJ21" s="23"/>
      <c r="PCK21" s="16"/>
      <c r="PCL21" s="23"/>
      <c r="PCM21" s="16"/>
      <c r="PCN21" s="23"/>
      <c r="PCO21" s="16"/>
      <c r="PCP21" s="23"/>
      <c r="PCQ21" s="16"/>
      <c r="PCR21" s="23"/>
      <c r="PCS21" s="16"/>
      <c r="PCT21" s="23"/>
      <c r="PCU21" s="16"/>
      <c r="PCV21" s="23"/>
      <c r="PCW21" s="16"/>
      <c r="PCX21" s="23"/>
      <c r="PCY21" s="16"/>
      <c r="PCZ21" s="23"/>
      <c r="PDA21" s="16"/>
      <c r="PDB21" s="23"/>
      <c r="PDC21" s="16"/>
      <c r="PDD21" s="23"/>
      <c r="PDE21" s="16"/>
      <c r="PDF21" s="23"/>
      <c r="PDG21" s="16"/>
      <c r="PDH21" s="23"/>
      <c r="PDI21" s="16"/>
      <c r="PDJ21" s="23"/>
      <c r="PDK21" s="16"/>
      <c r="PDL21" s="23"/>
      <c r="PDM21" s="16"/>
      <c r="PDN21" s="23"/>
      <c r="PDO21" s="16"/>
      <c r="PDP21" s="23"/>
      <c r="PDQ21" s="16"/>
      <c r="PDR21" s="23"/>
      <c r="PDS21" s="16"/>
      <c r="PDT21" s="23"/>
      <c r="PDU21" s="16"/>
      <c r="PDV21" s="23"/>
      <c r="PDW21" s="16"/>
      <c r="PDX21" s="23"/>
      <c r="PDY21" s="16"/>
      <c r="PDZ21" s="23"/>
      <c r="PEA21" s="16"/>
      <c r="PEB21" s="23"/>
      <c r="PEC21" s="16"/>
      <c r="PED21" s="23"/>
      <c r="PEE21" s="16"/>
      <c r="PEF21" s="23"/>
      <c r="PEG21" s="16"/>
      <c r="PEH21" s="23"/>
      <c r="PEI21" s="16"/>
      <c r="PEJ21" s="23"/>
      <c r="PEK21" s="16"/>
      <c r="PEL21" s="23"/>
      <c r="PEM21" s="16"/>
      <c r="PEN21" s="23"/>
      <c r="PEO21" s="16"/>
      <c r="PEP21" s="23"/>
      <c r="PEQ21" s="16"/>
      <c r="PER21" s="23"/>
      <c r="PES21" s="16"/>
      <c r="PET21" s="23"/>
      <c r="PEU21" s="16"/>
      <c r="PEV21" s="23"/>
      <c r="PEW21" s="16"/>
      <c r="PEX21" s="23"/>
      <c r="PEY21" s="16"/>
      <c r="PEZ21" s="23"/>
      <c r="PFA21" s="16"/>
      <c r="PFB21" s="23"/>
      <c r="PFC21" s="16"/>
      <c r="PFD21" s="23"/>
      <c r="PFE21" s="16"/>
      <c r="PFF21" s="23"/>
      <c r="PFG21" s="16"/>
      <c r="PFH21" s="23"/>
      <c r="PFI21" s="16"/>
      <c r="PFJ21" s="23"/>
      <c r="PFK21" s="16"/>
      <c r="PFL21" s="23"/>
      <c r="PFM21" s="16"/>
      <c r="PFN21" s="23"/>
      <c r="PFO21" s="16"/>
      <c r="PFP21" s="23"/>
      <c r="PFQ21" s="16"/>
      <c r="PFR21" s="23"/>
      <c r="PFS21" s="16"/>
      <c r="PFT21" s="23"/>
      <c r="PFU21" s="16"/>
      <c r="PFV21" s="23"/>
      <c r="PFW21" s="16"/>
      <c r="PFX21" s="23"/>
      <c r="PFY21" s="16"/>
      <c r="PFZ21" s="23"/>
      <c r="PGA21" s="16"/>
      <c r="PGB21" s="23"/>
      <c r="PGC21" s="16"/>
      <c r="PGD21" s="23"/>
      <c r="PGE21" s="16"/>
      <c r="PGF21" s="23"/>
      <c r="PGG21" s="16"/>
      <c r="PGH21" s="23"/>
      <c r="PGI21" s="16"/>
      <c r="PGJ21" s="23"/>
      <c r="PGK21" s="16"/>
      <c r="PGL21" s="23"/>
      <c r="PGM21" s="16"/>
      <c r="PGN21" s="23"/>
      <c r="PGO21" s="16"/>
      <c r="PGP21" s="23"/>
      <c r="PGQ21" s="16"/>
      <c r="PGR21" s="23"/>
      <c r="PGS21" s="16"/>
      <c r="PGT21" s="23"/>
      <c r="PGU21" s="16"/>
      <c r="PGV21" s="23"/>
      <c r="PGW21" s="16"/>
      <c r="PGX21" s="23"/>
      <c r="PGY21" s="16"/>
      <c r="PGZ21" s="23"/>
      <c r="PHA21" s="16"/>
      <c r="PHB21" s="23"/>
      <c r="PHC21" s="16"/>
      <c r="PHD21" s="23"/>
      <c r="PHE21" s="16"/>
      <c r="PHF21" s="23"/>
      <c r="PHG21" s="16"/>
      <c r="PHH21" s="23"/>
      <c r="PHI21" s="16"/>
      <c r="PHJ21" s="23"/>
      <c r="PHK21" s="16"/>
      <c r="PHL21" s="23"/>
      <c r="PHM21" s="16"/>
      <c r="PHN21" s="23"/>
      <c r="PHO21" s="16"/>
      <c r="PHP21" s="23"/>
      <c r="PHQ21" s="16"/>
      <c r="PHR21" s="23"/>
      <c r="PHS21" s="16"/>
      <c r="PHT21" s="23"/>
      <c r="PHU21" s="16"/>
      <c r="PHV21" s="23"/>
      <c r="PHW21" s="16"/>
      <c r="PHX21" s="23"/>
      <c r="PHY21" s="16"/>
      <c r="PHZ21" s="23"/>
      <c r="PIA21" s="16"/>
      <c r="PIB21" s="23"/>
      <c r="PIC21" s="16"/>
      <c r="PID21" s="23"/>
      <c r="PIE21" s="16"/>
      <c r="PIF21" s="23"/>
      <c r="PIG21" s="16"/>
      <c r="PIH21" s="23"/>
      <c r="PII21" s="16"/>
      <c r="PIJ21" s="23"/>
      <c r="PIK21" s="16"/>
      <c r="PIL21" s="23"/>
      <c r="PIM21" s="16"/>
      <c r="PIN21" s="23"/>
      <c r="PIO21" s="16"/>
      <c r="PIP21" s="23"/>
      <c r="PIQ21" s="16"/>
      <c r="PIR21" s="23"/>
      <c r="PIS21" s="16"/>
      <c r="PIT21" s="23"/>
      <c r="PIU21" s="16"/>
      <c r="PIV21" s="23"/>
      <c r="PIW21" s="16"/>
      <c r="PIX21" s="23"/>
      <c r="PIY21" s="16"/>
      <c r="PIZ21" s="23"/>
      <c r="PJA21" s="16"/>
      <c r="PJB21" s="23"/>
      <c r="PJC21" s="16"/>
      <c r="PJD21" s="23"/>
      <c r="PJE21" s="16"/>
      <c r="PJF21" s="23"/>
      <c r="PJG21" s="16"/>
      <c r="PJH21" s="23"/>
      <c r="PJI21" s="16"/>
      <c r="PJJ21" s="23"/>
      <c r="PJK21" s="16"/>
      <c r="PJL21" s="23"/>
      <c r="PJM21" s="16"/>
      <c r="PJN21" s="23"/>
      <c r="PJO21" s="16"/>
      <c r="PJP21" s="23"/>
      <c r="PJQ21" s="16"/>
      <c r="PJR21" s="23"/>
      <c r="PJS21" s="16"/>
      <c r="PJT21" s="23"/>
      <c r="PJU21" s="16"/>
      <c r="PJV21" s="23"/>
      <c r="PJW21" s="16"/>
      <c r="PJX21" s="23"/>
      <c r="PJY21" s="16"/>
      <c r="PJZ21" s="23"/>
      <c r="PKA21" s="16"/>
      <c r="PKB21" s="23"/>
      <c r="PKC21" s="16"/>
      <c r="PKD21" s="23"/>
      <c r="PKE21" s="16"/>
      <c r="PKF21" s="23"/>
      <c r="PKG21" s="16"/>
      <c r="PKH21" s="23"/>
      <c r="PKI21" s="16"/>
      <c r="PKJ21" s="23"/>
      <c r="PKK21" s="16"/>
      <c r="PKL21" s="23"/>
      <c r="PKM21" s="16"/>
      <c r="PKN21" s="23"/>
      <c r="PKO21" s="16"/>
      <c r="PKP21" s="23"/>
      <c r="PKQ21" s="16"/>
      <c r="PKR21" s="23"/>
      <c r="PKS21" s="16"/>
      <c r="PKT21" s="23"/>
      <c r="PKU21" s="16"/>
      <c r="PKV21" s="23"/>
      <c r="PKW21" s="16"/>
      <c r="PKX21" s="23"/>
      <c r="PKY21" s="16"/>
      <c r="PKZ21" s="23"/>
      <c r="PLA21" s="16"/>
      <c r="PLB21" s="23"/>
      <c r="PLC21" s="16"/>
      <c r="PLD21" s="23"/>
      <c r="PLE21" s="16"/>
      <c r="PLF21" s="23"/>
      <c r="PLG21" s="16"/>
      <c r="PLH21" s="23"/>
      <c r="PLI21" s="16"/>
      <c r="PLJ21" s="23"/>
      <c r="PLK21" s="16"/>
      <c r="PLL21" s="23"/>
      <c r="PLM21" s="16"/>
      <c r="PLN21" s="23"/>
      <c r="PLO21" s="16"/>
      <c r="PLP21" s="23"/>
      <c r="PLQ21" s="16"/>
      <c r="PLR21" s="23"/>
      <c r="PLS21" s="16"/>
      <c r="PLT21" s="23"/>
      <c r="PLU21" s="16"/>
      <c r="PLV21" s="23"/>
      <c r="PLW21" s="16"/>
      <c r="PLX21" s="23"/>
      <c r="PLY21" s="16"/>
      <c r="PLZ21" s="23"/>
      <c r="PMA21" s="16"/>
      <c r="PMB21" s="23"/>
      <c r="PMC21" s="16"/>
      <c r="PMD21" s="23"/>
      <c r="PME21" s="16"/>
      <c r="PMF21" s="23"/>
      <c r="PMG21" s="16"/>
      <c r="PMH21" s="23"/>
      <c r="PMI21" s="16"/>
      <c r="PMJ21" s="23"/>
      <c r="PMK21" s="16"/>
      <c r="PML21" s="23"/>
      <c r="PMM21" s="16"/>
      <c r="PMN21" s="23"/>
      <c r="PMO21" s="16"/>
      <c r="PMP21" s="23"/>
      <c r="PMQ21" s="16"/>
      <c r="PMR21" s="23"/>
      <c r="PMS21" s="16"/>
      <c r="PMT21" s="23"/>
      <c r="PMU21" s="16"/>
      <c r="PMV21" s="23"/>
      <c r="PMW21" s="16"/>
      <c r="PMX21" s="23"/>
      <c r="PMY21" s="16"/>
      <c r="PMZ21" s="23"/>
      <c r="PNA21" s="16"/>
      <c r="PNB21" s="23"/>
      <c r="PNC21" s="16"/>
      <c r="PND21" s="23"/>
      <c r="PNE21" s="16"/>
      <c r="PNF21" s="23"/>
      <c r="PNG21" s="16"/>
      <c r="PNH21" s="23"/>
      <c r="PNI21" s="16"/>
      <c r="PNJ21" s="23"/>
      <c r="PNK21" s="16"/>
      <c r="PNL21" s="23"/>
      <c r="PNM21" s="16"/>
      <c r="PNN21" s="23"/>
      <c r="PNO21" s="16"/>
      <c r="PNP21" s="23"/>
      <c r="PNQ21" s="16"/>
      <c r="PNR21" s="23"/>
      <c r="PNS21" s="16"/>
      <c r="PNT21" s="23"/>
      <c r="PNU21" s="16"/>
      <c r="PNV21" s="23"/>
      <c r="PNW21" s="16"/>
      <c r="PNX21" s="23"/>
      <c r="PNY21" s="16"/>
      <c r="PNZ21" s="23"/>
      <c r="POA21" s="16"/>
      <c r="POB21" s="23"/>
      <c r="POC21" s="16"/>
      <c r="POD21" s="23"/>
      <c r="POE21" s="16"/>
      <c r="POF21" s="23"/>
      <c r="POG21" s="16"/>
      <c r="POH21" s="23"/>
      <c r="POI21" s="16"/>
      <c r="POJ21" s="23"/>
      <c r="POK21" s="16"/>
      <c r="POL21" s="23"/>
      <c r="POM21" s="16"/>
      <c r="PON21" s="23"/>
      <c r="POO21" s="16"/>
      <c r="POP21" s="23"/>
      <c r="POQ21" s="16"/>
      <c r="POR21" s="23"/>
      <c r="POS21" s="16"/>
      <c r="POT21" s="23"/>
      <c r="POU21" s="16"/>
      <c r="POV21" s="23"/>
      <c r="POW21" s="16"/>
      <c r="POX21" s="23"/>
      <c r="POY21" s="16"/>
      <c r="POZ21" s="23"/>
      <c r="PPA21" s="16"/>
      <c r="PPB21" s="23"/>
      <c r="PPC21" s="16"/>
      <c r="PPD21" s="23"/>
      <c r="PPE21" s="16"/>
      <c r="PPF21" s="23"/>
      <c r="PPG21" s="16"/>
      <c r="PPH21" s="23"/>
      <c r="PPI21" s="16"/>
      <c r="PPJ21" s="23"/>
      <c r="PPK21" s="16"/>
      <c r="PPL21" s="23"/>
      <c r="PPM21" s="16"/>
      <c r="PPN21" s="23"/>
      <c r="PPO21" s="16"/>
      <c r="PPP21" s="23"/>
      <c r="PPQ21" s="16"/>
      <c r="PPR21" s="23"/>
      <c r="PPS21" s="16"/>
      <c r="PPT21" s="23"/>
      <c r="PPU21" s="16"/>
      <c r="PPV21" s="23"/>
      <c r="PPW21" s="16"/>
      <c r="PPX21" s="23"/>
      <c r="PPY21" s="16"/>
      <c r="PPZ21" s="23"/>
      <c r="PQA21" s="16"/>
      <c r="PQB21" s="23"/>
      <c r="PQC21" s="16"/>
      <c r="PQD21" s="23"/>
      <c r="PQE21" s="16"/>
      <c r="PQF21" s="23"/>
      <c r="PQG21" s="16"/>
      <c r="PQH21" s="23"/>
      <c r="PQI21" s="16"/>
      <c r="PQJ21" s="23"/>
      <c r="PQK21" s="16"/>
      <c r="PQL21" s="23"/>
      <c r="PQM21" s="16"/>
      <c r="PQN21" s="23"/>
      <c r="PQO21" s="16"/>
      <c r="PQP21" s="23"/>
      <c r="PQQ21" s="16"/>
      <c r="PQR21" s="23"/>
      <c r="PQS21" s="16"/>
      <c r="PQT21" s="23"/>
      <c r="PQU21" s="16"/>
      <c r="PQV21" s="23"/>
      <c r="PQW21" s="16"/>
      <c r="PQX21" s="23"/>
      <c r="PQY21" s="16"/>
      <c r="PQZ21" s="23"/>
      <c r="PRA21" s="16"/>
      <c r="PRB21" s="23"/>
      <c r="PRC21" s="16"/>
      <c r="PRD21" s="23"/>
      <c r="PRE21" s="16"/>
      <c r="PRF21" s="23"/>
      <c r="PRG21" s="16"/>
      <c r="PRH21" s="23"/>
      <c r="PRI21" s="16"/>
      <c r="PRJ21" s="23"/>
      <c r="PRK21" s="16"/>
      <c r="PRL21" s="23"/>
      <c r="PRM21" s="16"/>
      <c r="PRN21" s="23"/>
      <c r="PRO21" s="16"/>
      <c r="PRP21" s="23"/>
      <c r="PRQ21" s="16"/>
      <c r="PRR21" s="23"/>
      <c r="PRS21" s="16"/>
      <c r="PRT21" s="23"/>
      <c r="PRU21" s="16"/>
      <c r="PRV21" s="23"/>
      <c r="PRW21" s="16"/>
      <c r="PRX21" s="23"/>
      <c r="PRY21" s="16"/>
      <c r="PRZ21" s="23"/>
      <c r="PSA21" s="16"/>
      <c r="PSB21" s="23"/>
      <c r="PSC21" s="16"/>
      <c r="PSD21" s="23"/>
      <c r="PSE21" s="16"/>
      <c r="PSF21" s="23"/>
      <c r="PSG21" s="16"/>
      <c r="PSH21" s="23"/>
      <c r="PSI21" s="16"/>
      <c r="PSJ21" s="23"/>
      <c r="PSK21" s="16"/>
      <c r="PSL21" s="23"/>
      <c r="PSM21" s="16"/>
      <c r="PSN21" s="23"/>
      <c r="PSO21" s="16"/>
      <c r="PSP21" s="23"/>
      <c r="PSQ21" s="16"/>
      <c r="PSR21" s="23"/>
      <c r="PSS21" s="16"/>
      <c r="PST21" s="23"/>
      <c r="PSU21" s="16"/>
      <c r="PSV21" s="23"/>
      <c r="PSW21" s="16"/>
      <c r="PSX21" s="23"/>
      <c r="PSY21" s="16"/>
      <c r="PSZ21" s="23"/>
      <c r="PTA21" s="16"/>
      <c r="PTB21" s="23"/>
      <c r="PTC21" s="16"/>
      <c r="PTD21" s="23"/>
      <c r="PTE21" s="16"/>
      <c r="PTF21" s="23"/>
      <c r="PTG21" s="16"/>
      <c r="PTH21" s="23"/>
      <c r="PTI21" s="16"/>
      <c r="PTJ21" s="23"/>
      <c r="PTK21" s="16"/>
      <c r="PTL21" s="23"/>
      <c r="PTM21" s="16"/>
      <c r="PTN21" s="23"/>
      <c r="PTO21" s="16"/>
      <c r="PTP21" s="23"/>
      <c r="PTQ21" s="16"/>
      <c r="PTR21" s="23"/>
      <c r="PTS21" s="16"/>
      <c r="PTT21" s="23"/>
      <c r="PTU21" s="16"/>
      <c r="PTV21" s="23"/>
      <c r="PTW21" s="16"/>
      <c r="PTX21" s="23"/>
      <c r="PTY21" s="16"/>
      <c r="PTZ21" s="23"/>
      <c r="PUA21" s="16"/>
      <c r="PUB21" s="23"/>
      <c r="PUC21" s="16"/>
      <c r="PUD21" s="23"/>
      <c r="PUE21" s="16"/>
      <c r="PUF21" s="23"/>
      <c r="PUG21" s="16"/>
      <c r="PUH21" s="23"/>
      <c r="PUI21" s="16"/>
      <c r="PUJ21" s="23"/>
      <c r="PUK21" s="16"/>
      <c r="PUL21" s="23"/>
      <c r="PUM21" s="16"/>
      <c r="PUN21" s="23"/>
      <c r="PUO21" s="16"/>
      <c r="PUP21" s="23"/>
      <c r="PUQ21" s="16"/>
      <c r="PUR21" s="23"/>
      <c r="PUS21" s="16"/>
      <c r="PUT21" s="23"/>
      <c r="PUU21" s="16"/>
      <c r="PUV21" s="23"/>
      <c r="PUW21" s="16"/>
      <c r="PUX21" s="23"/>
      <c r="PUY21" s="16"/>
      <c r="PUZ21" s="23"/>
      <c r="PVA21" s="16"/>
      <c r="PVB21" s="23"/>
      <c r="PVC21" s="16"/>
      <c r="PVD21" s="23"/>
      <c r="PVE21" s="16"/>
      <c r="PVF21" s="23"/>
      <c r="PVG21" s="16"/>
      <c r="PVH21" s="23"/>
      <c r="PVI21" s="16"/>
      <c r="PVJ21" s="23"/>
      <c r="PVK21" s="16"/>
      <c r="PVL21" s="23"/>
      <c r="PVM21" s="16"/>
      <c r="PVN21" s="23"/>
      <c r="PVO21" s="16"/>
      <c r="PVP21" s="23"/>
      <c r="PVQ21" s="16"/>
      <c r="PVR21" s="23"/>
      <c r="PVS21" s="16"/>
      <c r="PVT21" s="23"/>
      <c r="PVU21" s="16"/>
      <c r="PVV21" s="23"/>
      <c r="PVW21" s="16"/>
      <c r="PVX21" s="23"/>
      <c r="PVY21" s="16"/>
      <c r="PVZ21" s="23"/>
      <c r="PWA21" s="16"/>
      <c r="PWB21" s="23"/>
      <c r="PWC21" s="16"/>
      <c r="PWD21" s="23"/>
      <c r="PWE21" s="16"/>
      <c r="PWF21" s="23"/>
      <c r="PWG21" s="16"/>
      <c r="PWH21" s="23"/>
      <c r="PWI21" s="16"/>
      <c r="PWJ21" s="23"/>
      <c r="PWK21" s="16"/>
      <c r="PWL21" s="23"/>
      <c r="PWM21" s="16"/>
      <c r="PWN21" s="23"/>
      <c r="PWO21" s="16"/>
      <c r="PWP21" s="23"/>
      <c r="PWQ21" s="16"/>
      <c r="PWR21" s="23"/>
      <c r="PWS21" s="16"/>
      <c r="PWT21" s="23"/>
      <c r="PWU21" s="16"/>
      <c r="PWV21" s="23"/>
      <c r="PWW21" s="16"/>
      <c r="PWX21" s="23"/>
      <c r="PWY21" s="16"/>
      <c r="PWZ21" s="23"/>
      <c r="PXA21" s="16"/>
      <c r="PXB21" s="23"/>
      <c r="PXC21" s="16"/>
      <c r="PXD21" s="23"/>
      <c r="PXE21" s="16"/>
      <c r="PXF21" s="23"/>
      <c r="PXG21" s="16"/>
      <c r="PXH21" s="23"/>
      <c r="PXI21" s="16"/>
      <c r="PXJ21" s="23"/>
      <c r="PXK21" s="16"/>
      <c r="PXL21" s="23"/>
      <c r="PXM21" s="16"/>
      <c r="PXN21" s="23"/>
      <c r="PXO21" s="16"/>
      <c r="PXP21" s="23"/>
      <c r="PXQ21" s="16"/>
      <c r="PXR21" s="23"/>
      <c r="PXS21" s="16"/>
      <c r="PXT21" s="23"/>
      <c r="PXU21" s="16"/>
      <c r="PXV21" s="23"/>
      <c r="PXW21" s="16"/>
      <c r="PXX21" s="23"/>
      <c r="PXY21" s="16"/>
      <c r="PXZ21" s="23"/>
      <c r="PYA21" s="16"/>
      <c r="PYB21" s="23"/>
      <c r="PYC21" s="16"/>
      <c r="PYD21" s="23"/>
      <c r="PYE21" s="16"/>
      <c r="PYF21" s="23"/>
      <c r="PYG21" s="16"/>
      <c r="PYH21" s="23"/>
      <c r="PYI21" s="16"/>
      <c r="PYJ21" s="23"/>
      <c r="PYK21" s="16"/>
      <c r="PYL21" s="23"/>
      <c r="PYM21" s="16"/>
      <c r="PYN21" s="23"/>
      <c r="PYO21" s="16"/>
      <c r="PYP21" s="23"/>
      <c r="PYQ21" s="16"/>
      <c r="PYR21" s="23"/>
      <c r="PYS21" s="16"/>
      <c r="PYT21" s="23"/>
      <c r="PYU21" s="16"/>
      <c r="PYV21" s="23"/>
      <c r="PYW21" s="16"/>
      <c r="PYX21" s="23"/>
      <c r="PYY21" s="16"/>
      <c r="PYZ21" s="23"/>
      <c r="PZA21" s="16"/>
      <c r="PZB21" s="23"/>
      <c r="PZC21" s="16"/>
      <c r="PZD21" s="23"/>
      <c r="PZE21" s="16"/>
      <c r="PZF21" s="23"/>
      <c r="PZG21" s="16"/>
      <c r="PZH21" s="23"/>
      <c r="PZI21" s="16"/>
      <c r="PZJ21" s="23"/>
      <c r="PZK21" s="16"/>
      <c r="PZL21" s="23"/>
      <c r="PZM21" s="16"/>
      <c r="PZN21" s="23"/>
      <c r="PZO21" s="16"/>
      <c r="PZP21" s="23"/>
      <c r="PZQ21" s="16"/>
      <c r="PZR21" s="23"/>
      <c r="PZS21" s="16"/>
      <c r="PZT21" s="23"/>
      <c r="PZU21" s="16"/>
      <c r="PZV21" s="23"/>
      <c r="PZW21" s="16"/>
      <c r="PZX21" s="23"/>
      <c r="PZY21" s="16"/>
      <c r="PZZ21" s="23"/>
      <c r="QAA21" s="16"/>
      <c r="QAB21" s="23"/>
      <c r="QAC21" s="16"/>
      <c r="QAD21" s="23"/>
      <c r="QAE21" s="16"/>
      <c r="QAF21" s="23"/>
      <c r="QAG21" s="16"/>
      <c r="QAH21" s="23"/>
      <c r="QAI21" s="16"/>
      <c r="QAJ21" s="23"/>
      <c r="QAK21" s="16"/>
      <c r="QAL21" s="23"/>
      <c r="QAM21" s="16"/>
      <c r="QAN21" s="23"/>
      <c r="QAO21" s="16"/>
      <c r="QAP21" s="23"/>
      <c r="QAQ21" s="16"/>
      <c r="QAR21" s="23"/>
      <c r="QAS21" s="16"/>
      <c r="QAT21" s="23"/>
      <c r="QAU21" s="16"/>
      <c r="QAV21" s="23"/>
      <c r="QAW21" s="16"/>
      <c r="QAX21" s="23"/>
      <c r="QAY21" s="16"/>
      <c r="QAZ21" s="23"/>
      <c r="QBA21" s="16"/>
      <c r="QBB21" s="23"/>
      <c r="QBC21" s="16"/>
      <c r="QBD21" s="23"/>
      <c r="QBE21" s="16"/>
      <c r="QBF21" s="23"/>
      <c r="QBG21" s="16"/>
      <c r="QBH21" s="23"/>
      <c r="QBI21" s="16"/>
      <c r="QBJ21" s="23"/>
      <c r="QBK21" s="16"/>
      <c r="QBL21" s="23"/>
      <c r="QBM21" s="16"/>
      <c r="QBN21" s="23"/>
      <c r="QBO21" s="16"/>
      <c r="QBP21" s="23"/>
      <c r="QBQ21" s="16"/>
      <c r="QBR21" s="23"/>
      <c r="QBS21" s="16"/>
      <c r="QBT21" s="23"/>
      <c r="QBU21" s="16"/>
      <c r="QBV21" s="23"/>
      <c r="QBW21" s="16"/>
      <c r="QBX21" s="23"/>
      <c r="QBY21" s="16"/>
      <c r="QBZ21" s="23"/>
      <c r="QCA21" s="16"/>
      <c r="QCB21" s="23"/>
      <c r="QCC21" s="16"/>
      <c r="QCD21" s="23"/>
      <c r="QCE21" s="16"/>
      <c r="QCF21" s="23"/>
      <c r="QCG21" s="16"/>
      <c r="QCH21" s="23"/>
      <c r="QCI21" s="16"/>
      <c r="QCJ21" s="23"/>
      <c r="QCK21" s="16"/>
      <c r="QCL21" s="23"/>
      <c r="QCM21" s="16"/>
      <c r="QCN21" s="23"/>
      <c r="QCO21" s="16"/>
      <c r="QCP21" s="23"/>
      <c r="QCQ21" s="16"/>
      <c r="QCR21" s="23"/>
      <c r="QCS21" s="16"/>
      <c r="QCT21" s="23"/>
      <c r="QCU21" s="16"/>
      <c r="QCV21" s="23"/>
      <c r="QCW21" s="16"/>
      <c r="QCX21" s="23"/>
      <c r="QCY21" s="16"/>
      <c r="QCZ21" s="23"/>
      <c r="QDA21" s="16"/>
      <c r="QDB21" s="23"/>
      <c r="QDC21" s="16"/>
      <c r="QDD21" s="23"/>
      <c r="QDE21" s="16"/>
      <c r="QDF21" s="23"/>
      <c r="QDG21" s="16"/>
      <c r="QDH21" s="23"/>
      <c r="QDI21" s="16"/>
      <c r="QDJ21" s="23"/>
      <c r="QDK21" s="16"/>
      <c r="QDL21" s="23"/>
      <c r="QDM21" s="16"/>
      <c r="QDN21" s="23"/>
      <c r="QDO21" s="16"/>
      <c r="QDP21" s="23"/>
      <c r="QDQ21" s="16"/>
      <c r="QDR21" s="23"/>
      <c r="QDS21" s="16"/>
      <c r="QDT21" s="23"/>
      <c r="QDU21" s="16"/>
      <c r="QDV21" s="23"/>
      <c r="QDW21" s="16"/>
      <c r="QDX21" s="23"/>
      <c r="QDY21" s="16"/>
      <c r="QDZ21" s="23"/>
      <c r="QEA21" s="16"/>
      <c r="QEB21" s="23"/>
      <c r="QEC21" s="16"/>
      <c r="QED21" s="23"/>
      <c r="QEE21" s="16"/>
      <c r="QEF21" s="23"/>
      <c r="QEG21" s="16"/>
      <c r="QEH21" s="23"/>
      <c r="QEI21" s="16"/>
      <c r="QEJ21" s="23"/>
      <c r="QEK21" s="16"/>
      <c r="QEL21" s="23"/>
      <c r="QEM21" s="16"/>
      <c r="QEN21" s="23"/>
      <c r="QEO21" s="16"/>
      <c r="QEP21" s="23"/>
      <c r="QEQ21" s="16"/>
      <c r="QER21" s="23"/>
      <c r="QES21" s="16"/>
      <c r="QET21" s="23"/>
      <c r="QEU21" s="16"/>
      <c r="QEV21" s="23"/>
      <c r="QEW21" s="16"/>
      <c r="QEX21" s="23"/>
      <c r="QEY21" s="16"/>
      <c r="QEZ21" s="23"/>
      <c r="QFA21" s="16"/>
      <c r="QFB21" s="23"/>
      <c r="QFC21" s="16"/>
      <c r="QFD21" s="23"/>
      <c r="QFE21" s="16"/>
      <c r="QFF21" s="23"/>
      <c r="QFG21" s="16"/>
      <c r="QFH21" s="23"/>
      <c r="QFI21" s="16"/>
      <c r="QFJ21" s="23"/>
      <c r="QFK21" s="16"/>
      <c r="QFL21" s="23"/>
      <c r="QFM21" s="16"/>
      <c r="QFN21" s="23"/>
      <c r="QFO21" s="16"/>
      <c r="QFP21" s="23"/>
      <c r="QFQ21" s="16"/>
      <c r="QFR21" s="23"/>
      <c r="QFS21" s="16"/>
      <c r="QFT21" s="23"/>
      <c r="QFU21" s="16"/>
      <c r="QFV21" s="23"/>
      <c r="QFW21" s="16"/>
      <c r="QFX21" s="23"/>
      <c r="QFY21" s="16"/>
      <c r="QFZ21" s="23"/>
      <c r="QGA21" s="16"/>
      <c r="QGB21" s="23"/>
      <c r="QGC21" s="16"/>
      <c r="QGD21" s="23"/>
      <c r="QGE21" s="16"/>
      <c r="QGF21" s="23"/>
      <c r="QGG21" s="16"/>
      <c r="QGH21" s="23"/>
      <c r="QGI21" s="16"/>
      <c r="QGJ21" s="23"/>
      <c r="QGK21" s="16"/>
      <c r="QGL21" s="23"/>
      <c r="QGM21" s="16"/>
      <c r="QGN21" s="23"/>
      <c r="QGO21" s="16"/>
      <c r="QGP21" s="23"/>
      <c r="QGQ21" s="16"/>
      <c r="QGR21" s="23"/>
      <c r="QGS21" s="16"/>
      <c r="QGT21" s="23"/>
      <c r="QGU21" s="16"/>
      <c r="QGV21" s="23"/>
      <c r="QGW21" s="16"/>
      <c r="QGX21" s="23"/>
      <c r="QGY21" s="16"/>
      <c r="QGZ21" s="23"/>
      <c r="QHA21" s="16"/>
      <c r="QHB21" s="23"/>
      <c r="QHC21" s="16"/>
      <c r="QHD21" s="23"/>
      <c r="QHE21" s="16"/>
      <c r="QHF21" s="23"/>
      <c r="QHG21" s="16"/>
      <c r="QHH21" s="23"/>
      <c r="QHI21" s="16"/>
      <c r="QHJ21" s="23"/>
      <c r="QHK21" s="16"/>
      <c r="QHL21" s="23"/>
      <c r="QHM21" s="16"/>
      <c r="QHN21" s="23"/>
      <c r="QHO21" s="16"/>
      <c r="QHP21" s="23"/>
      <c r="QHQ21" s="16"/>
      <c r="QHR21" s="23"/>
      <c r="QHS21" s="16"/>
      <c r="QHT21" s="23"/>
      <c r="QHU21" s="16"/>
      <c r="QHV21" s="23"/>
      <c r="QHW21" s="16"/>
      <c r="QHX21" s="23"/>
      <c r="QHY21" s="16"/>
      <c r="QHZ21" s="23"/>
      <c r="QIA21" s="16"/>
      <c r="QIB21" s="23"/>
      <c r="QIC21" s="16"/>
      <c r="QID21" s="23"/>
      <c r="QIE21" s="16"/>
      <c r="QIF21" s="23"/>
      <c r="QIG21" s="16"/>
      <c r="QIH21" s="23"/>
      <c r="QII21" s="16"/>
      <c r="QIJ21" s="23"/>
      <c r="QIK21" s="16"/>
      <c r="QIL21" s="23"/>
      <c r="QIM21" s="16"/>
      <c r="QIN21" s="23"/>
      <c r="QIO21" s="16"/>
      <c r="QIP21" s="23"/>
      <c r="QIQ21" s="16"/>
      <c r="QIR21" s="23"/>
      <c r="QIS21" s="16"/>
      <c r="QIT21" s="23"/>
      <c r="QIU21" s="16"/>
      <c r="QIV21" s="23"/>
      <c r="QIW21" s="16"/>
      <c r="QIX21" s="23"/>
      <c r="QIY21" s="16"/>
      <c r="QIZ21" s="23"/>
      <c r="QJA21" s="16"/>
      <c r="QJB21" s="23"/>
      <c r="QJC21" s="16"/>
      <c r="QJD21" s="23"/>
      <c r="QJE21" s="16"/>
      <c r="QJF21" s="23"/>
      <c r="QJG21" s="16"/>
      <c r="QJH21" s="23"/>
      <c r="QJI21" s="16"/>
      <c r="QJJ21" s="23"/>
      <c r="QJK21" s="16"/>
      <c r="QJL21" s="23"/>
      <c r="QJM21" s="16"/>
      <c r="QJN21" s="23"/>
      <c r="QJO21" s="16"/>
      <c r="QJP21" s="23"/>
      <c r="QJQ21" s="16"/>
      <c r="QJR21" s="23"/>
      <c r="QJS21" s="16"/>
      <c r="QJT21" s="23"/>
      <c r="QJU21" s="16"/>
      <c r="QJV21" s="23"/>
      <c r="QJW21" s="16"/>
      <c r="QJX21" s="23"/>
      <c r="QJY21" s="16"/>
      <c r="QJZ21" s="23"/>
      <c r="QKA21" s="16"/>
      <c r="QKB21" s="23"/>
      <c r="QKC21" s="16"/>
      <c r="QKD21" s="23"/>
      <c r="QKE21" s="16"/>
      <c r="QKF21" s="23"/>
      <c r="QKG21" s="16"/>
      <c r="QKH21" s="23"/>
      <c r="QKI21" s="16"/>
      <c r="QKJ21" s="23"/>
      <c r="QKK21" s="16"/>
      <c r="QKL21" s="23"/>
      <c r="QKM21" s="16"/>
      <c r="QKN21" s="23"/>
      <c r="QKO21" s="16"/>
      <c r="QKP21" s="23"/>
      <c r="QKQ21" s="16"/>
      <c r="QKR21" s="23"/>
      <c r="QKS21" s="16"/>
      <c r="QKT21" s="23"/>
      <c r="QKU21" s="16"/>
      <c r="QKV21" s="23"/>
      <c r="QKW21" s="16"/>
      <c r="QKX21" s="23"/>
      <c r="QKY21" s="16"/>
      <c r="QKZ21" s="23"/>
      <c r="QLA21" s="16"/>
      <c r="QLB21" s="23"/>
      <c r="QLC21" s="16"/>
      <c r="QLD21" s="23"/>
      <c r="QLE21" s="16"/>
      <c r="QLF21" s="23"/>
      <c r="QLG21" s="16"/>
      <c r="QLH21" s="23"/>
      <c r="QLI21" s="16"/>
      <c r="QLJ21" s="23"/>
      <c r="QLK21" s="16"/>
      <c r="QLL21" s="23"/>
      <c r="QLM21" s="16"/>
      <c r="QLN21" s="23"/>
      <c r="QLO21" s="16"/>
      <c r="QLP21" s="23"/>
      <c r="QLQ21" s="16"/>
      <c r="QLR21" s="23"/>
      <c r="QLS21" s="16"/>
      <c r="QLT21" s="23"/>
      <c r="QLU21" s="16"/>
      <c r="QLV21" s="23"/>
      <c r="QLW21" s="16"/>
      <c r="QLX21" s="23"/>
      <c r="QLY21" s="16"/>
      <c r="QLZ21" s="23"/>
      <c r="QMA21" s="16"/>
      <c r="QMB21" s="23"/>
      <c r="QMC21" s="16"/>
      <c r="QMD21" s="23"/>
      <c r="QME21" s="16"/>
      <c r="QMF21" s="23"/>
      <c r="QMG21" s="16"/>
      <c r="QMH21" s="23"/>
      <c r="QMI21" s="16"/>
      <c r="QMJ21" s="23"/>
      <c r="QMK21" s="16"/>
      <c r="QML21" s="23"/>
      <c r="QMM21" s="16"/>
      <c r="QMN21" s="23"/>
      <c r="QMO21" s="16"/>
      <c r="QMP21" s="23"/>
      <c r="QMQ21" s="16"/>
      <c r="QMR21" s="23"/>
      <c r="QMS21" s="16"/>
      <c r="QMT21" s="23"/>
      <c r="QMU21" s="16"/>
      <c r="QMV21" s="23"/>
      <c r="QMW21" s="16"/>
      <c r="QMX21" s="23"/>
      <c r="QMY21" s="16"/>
      <c r="QMZ21" s="23"/>
      <c r="QNA21" s="16"/>
      <c r="QNB21" s="23"/>
      <c r="QNC21" s="16"/>
      <c r="QND21" s="23"/>
      <c r="QNE21" s="16"/>
      <c r="QNF21" s="23"/>
      <c r="QNG21" s="16"/>
      <c r="QNH21" s="23"/>
      <c r="QNI21" s="16"/>
      <c r="QNJ21" s="23"/>
      <c r="QNK21" s="16"/>
      <c r="QNL21" s="23"/>
      <c r="QNM21" s="16"/>
      <c r="QNN21" s="23"/>
      <c r="QNO21" s="16"/>
      <c r="QNP21" s="23"/>
      <c r="QNQ21" s="16"/>
      <c r="QNR21" s="23"/>
      <c r="QNS21" s="16"/>
      <c r="QNT21" s="23"/>
      <c r="QNU21" s="16"/>
      <c r="QNV21" s="23"/>
      <c r="QNW21" s="16"/>
      <c r="QNX21" s="23"/>
      <c r="QNY21" s="16"/>
      <c r="QNZ21" s="23"/>
      <c r="QOA21" s="16"/>
      <c r="QOB21" s="23"/>
      <c r="QOC21" s="16"/>
      <c r="QOD21" s="23"/>
      <c r="QOE21" s="16"/>
      <c r="QOF21" s="23"/>
      <c r="QOG21" s="16"/>
      <c r="QOH21" s="23"/>
      <c r="QOI21" s="16"/>
      <c r="QOJ21" s="23"/>
      <c r="QOK21" s="16"/>
      <c r="QOL21" s="23"/>
      <c r="QOM21" s="16"/>
      <c r="QON21" s="23"/>
      <c r="QOO21" s="16"/>
      <c r="QOP21" s="23"/>
      <c r="QOQ21" s="16"/>
      <c r="QOR21" s="23"/>
      <c r="QOS21" s="16"/>
      <c r="QOT21" s="23"/>
      <c r="QOU21" s="16"/>
      <c r="QOV21" s="23"/>
      <c r="QOW21" s="16"/>
      <c r="QOX21" s="23"/>
      <c r="QOY21" s="16"/>
      <c r="QOZ21" s="23"/>
      <c r="QPA21" s="16"/>
      <c r="QPB21" s="23"/>
      <c r="QPC21" s="16"/>
      <c r="QPD21" s="23"/>
      <c r="QPE21" s="16"/>
      <c r="QPF21" s="23"/>
      <c r="QPG21" s="16"/>
      <c r="QPH21" s="23"/>
      <c r="QPI21" s="16"/>
      <c r="QPJ21" s="23"/>
      <c r="QPK21" s="16"/>
      <c r="QPL21" s="23"/>
      <c r="QPM21" s="16"/>
      <c r="QPN21" s="23"/>
      <c r="QPO21" s="16"/>
      <c r="QPP21" s="23"/>
      <c r="QPQ21" s="16"/>
      <c r="QPR21" s="23"/>
      <c r="QPS21" s="16"/>
      <c r="QPT21" s="23"/>
      <c r="QPU21" s="16"/>
      <c r="QPV21" s="23"/>
      <c r="QPW21" s="16"/>
      <c r="QPX21" s="23"/>
      <c r="QPY21" s="16"/>
      <c r="QPZ21" s="23"/>
      <c r="QQA21" s="16"/>
      <c r="QQB21" s="23"/>
      <c r="QQC21" s="16"/>
      <c r="QQD21" s="23"/>
      <c r="QQE21" s="16"/>
      <c r="QQF21" s="23"/>
      <c r="QQG21" s="16"/>
      <c r="QQH21" s="23"/>
      <c r="QQI21" s="16"/>
      <c r="QQJ21" s="23"/>
      <c r="QQK21" s="16"/>
      <c r="QQL21" s="23"/>
      <c r="QQM21" s="16"/>
      <c r="QQN21" s="23"/>
      <c r="QQO21" s="16"/>
      <c r="QQP21" s="23"/>
      <c r="QQQ21" s="16"/>
      <c r="QQR21" s="23"/>
      <c r="QQS21" s="16"/>
      <c r="QQT21" s="23"/>
      <c r="QQU21" s="16"/>
      <c r="QQV21" s="23"/>
      <c r="QQW21" s="16"/>
      <c r="QQX21" s="23"/>
      <c r="QQY21" s="16"/>
      <c r="QQZ21" s="23"/>
      <c r="QRA21" s="16"/>
      <c r="QRB21" s="23"/>
      <c r="QRC21" s="16"/>
      <c r="QRD21" s="23"/>
      <c r="QRE21" s="16"/>
      <c r="QRF21" s="23"/>
      <c r="QRG21" s="16"/>
      <c r="QRH21" s="23"/>
      <c r="QRI21" s="16"/>
      <c r="QRJ21" s="23"/>
      <c r="QRK21" s="16"/>
      <c r="QRL21" s="23"/>
      <c r="QRM21" s="16"/>
      <c r="QRN21" s="23"/>
      <c r="QRO21" s="16"/>
      <c r="QRP21" s="23"/>
      <c r="QRQ21" s="16"/>
      <c r="QRR21" s="23"/>
      <c r="QRS21" s="16"/>
      <c r="QRT21" s="23"/>
      <c r="QRU21" s="16"/>
      <c r="QRV21" s="23"/>
      <c r="QRW21" s="16"/>
      <c r="QRX21" s="23"/>
      <c r="QRY21" s="16"/>
      <c r="QRZ21" s="23"/>
      <c r="QSA21" s="16"/>
      <c r="QSB21" s="23"/>
      <c r="QSC21" s="16"/>
      <c r="QSD21" s="23"/>
      <c r="QSE21" s="16"/>
      <c r="QSF21" s="23"/>
      <c r="QSG21" s="16"/>
      <c r="QSH21" s="23"/>
      <c r="QSI21" s="16"/>
      <c r="QSJ21" s="23"/>
      <c r="QSK21" s="16"/>
      <c r="QSL21" s="23"/>
      <c r="QSM21" s="16"/>
      <c r="QSN21" s="23"/>
      <c r="QSO21" s="16"/>
      <c r="QSP21" s="23"/>
      <c r="QSQ21" s="16"/>
      <c r="QSR21" s="23"/>
      <c r="QSS21" s="16"/>
      <c r="QST21" s="23"/>
      <c r="QSU21" s="16"/>
      <c r="QSV21" s="23"/>
      <c r="QSW21" s="16"/>
      <c r="QSX21" s="23"/>
      <c r="QSY21" s="16"/>
      <c r="QSZ21" s="23"/>
      <c r="QTA21" s="16"/>
      <c r="QTB21" s="23"/>
      <c r="QTC21" s="16"/>
      <c r="QTD21" s="23"/>
      <c r="QTE21" s="16"/>
      <c r="QTF21" s="23"/>
      <c r="QTG21" s="16"/>
      <c r="QTH21" s="23"/>
      <c r="QTI21" s="16"/>
      <c r="QTJ21" s="23"/>
      <c r="QTK21" s="16"/>
      <c r="QTL21" s="23"/>
      <c r="QTM21" s="16"/>
      <c r="QTN21" s="23"/>
      <c r="QTO21" s="16"/>
      <c r="QTP21" s="23"/>
      <c r="QTQ21" s="16"/>
      <c r="QTR21" s="23"/>
      <c r="QTS21" s="16"/>
      <c r="QTT21" s="23"/>
      <c r="QTU21" s="16"/>
      <c r="QTV21" s="23"/>
      <c r="QTW21" s="16"/>
      <c r="QTX21" s="23"/>
      <c r="QTY21" s="16"/>
      <c r="QTZ21" s="23"/>
      <c r="QUA21" s="16"/>
      <c r="QUB21" s="23"/>
      <c r="QUC21" s="16"/>
      <c r="QUD21" s="23"/>
      <c r="QUE21" s="16"/>
      <c r="QUF21" s="23"/>
      <c r="QUG21" s="16"/>
      <c r="QUH21" s="23"/>
      <c r="QUI21" s="16"/>
      <c r="QUJ21" s="23"/>
      <c r="QUK21" s="16"/>
      <c r="QUL21" s="23"/>
      <c r="QUM21" s="16"/>
      <c r="QUN21" s="23"/>
      <c r="QUO21" s="16"/>
      <c r="QUP21" s="23"/>
      <c r="QUQ21" s="16"/>
      <c r="QUR21" s="23"/>
      <c r="QUS21" s="16"/>
      <c r="QUT21" s="23"/>
      <c r="QUU21" s="16"/>
      <c r="QUV21" s="23"/>
      <c r="QUW21" s="16"/>
      <c r="QUX21" s="23"/>
      <c r="QUY21" s="16"/>
      <c r="QUZ21" s="23"/>
      <c r="QVA21" s="16"/>
      <c r="QVB21" s="23"/>
      <c r="QVC21" s="16"/>
      <c r="QVD21" s="23"/>
      <c r="QVE21" s="16"/>
      <c r="QVF21" s="23"/>
      <c r="QVG21" s="16"/>
      <c r="QVH21" s="23"/>
      <c r="QVI21" s="16"/>
      <c r="QVJ21" s="23"/>
      <c r="QVK21" s="16"/>
      <c r="QVL21" s="23"/>
      <c r="QVM21" s="16"/>
      <c r="QVN21" s="23"/>
      <c r="QVO21" s="16"/>
      <c r="QVP21" s="23"/>
      <c r="QVQ21" s="16"/>
      <c r="QVR21" s="23"/>
      <c r="QVS21" s="16"/>
      <c r="QVT21" s="23"/>
      <c r="QVU21" s="16"/>
      <c r="QVV21" s="23"/>
      <c r="QVW21" s="16"/>
      <c r="QVX21" s="23"/>
      <c r="QVY21" s="16"/>
      <c r="QVZ21" s="23"/>
      <c r="QWA21" s="16"/>
      <c r="QWB21" s="23"/>
      <c r="QWC21" s="16"/>
      <c r="QWD21" s="23"/>
      <c r="QWE21" s="16"/>
      <c r="QWF21" s="23"/>
      <c r="QWG21" s="16"/>
      <c r="QWH21" s="23"/>
      <c r="QWI21" s="16"/>
      <c r="QWJ21" s="23"/>
      <c r="QWK21" s="16"/>
      <c r="QWL21" s="23"/>
      <c r="QWM21" s="16"/>
      <c r="QWN21" s="23"/>
      <c r="QWO21" s="16"/>
      <c r="QWP21" s="23"/>
      <c r="QWQ21" s="16"/>
      <c r="QWR21" s="23"/>
      <c r="QWS21" s="16"/>
      <c r="QWT21" s="23"/>
      <c r="QWU21" s="16"/>
      <c r="QWV21" s="23"/>
      <c r="QWW21" s="16"/>
      <c r="QWX21" s="23"/>
      <c r="QWY21" s="16"/>
      <c r="QWZ21" s="23"/>
      <c r="QXA21" s="16"/>
      <c r="QXB21" s="23"/>
      <c r="QXC21" s="16"/>
      <c r="QXD21" s="23"/>
      <c r="QXE21" s="16"/>
      <c r="QXF21" s="23"/>
      <c r="QXG21" s="16"/>
      <c r="QXH21" s="23"/>
      <c r="QXI21" s="16"/>
      <c r="QXJ21" s="23"/>
      <c r="QXK21" s="16"/>
      <c r="QXL21" s="23"/>
      <c r="QXM21" s="16"/>
      <c r="QXN21" s="23"/>
      <c r="QXO21" s="16"/>
      <c r="QXP21" s="23"/>
      <c r="QXQ21" s="16"/>
      <c r="QXR21" s="23"/>
      <c r="QXS21" s="16"/>
      <c r="QXT21" s="23"/>
      <c r="QXU21" s="16"/>
      <c r="QXV21" s="23"/>
      <c r="QXW21" s="16"/>
      <c r="QXX21" s="23"/>
      <c r="QXY21" s="16"/>
      <c r="QXZ21" s="23"/>
      <c r="QYA21" s="16"/>
      <c r="QYB21" s="23"/>
      <c r="QYC21" s="16"/>
      <c r="QYD21" s="23"/>
      <c r="QYE21" s="16"/>
      <c r="QYF21" s="23"/>
      <c r="QYG21" s="16"/>
      <c r="QYH21" s="23"/>
      <c r="QYI21" s="16"/>
      <c r="QYJ21" s="23"/>
      <c r="QYK21" s="16"/>
      <c r="QYL21" s="23"/>
      <c r="QYM21" s="16"/>
      <c r="QYN21" s="23"/>
      <c r="QYO21" s="16"/>
      <c r="QYP21" s="23"/>
      <c r="QYQ21" s="16"/>
      <c r="QYR21" s="23"/>
      <c r="QYS21" s="16"/>
      <c r="QYT21" s="23"/>
      <c r="QYU21" s="16"/>
      <c r="QYV21" s="23"/>
      <c r="QYW21" s="16"/>
      <c r="QYX21" s="23"/>
      <c r="QYY21" s="16"/>
      <c r="QYZ21" s="23"/>
      <c r="QZA21" s="16"/>
      <c r="QZB21" s="23"/>
      <c r="QZC21" s="16"/>
      <c r="QZD21" s="23"/>
      <c r="QZE21" s="16"/>
      <c r="QZF21" s="23"/>
      <c r="QZG21" s="16"/>
      <c r="QZH21" s="23"/>
      <c r="QZI21" s="16"/>
      <c r="QZJ21" s="23"/>
      <c r="QZK21" s="16"/>
      <c r="QZL21" s="23"/>
      <c r="QZM21" s="16"/>
      <c r="QZN21" s="23"/>
      <c r="QZO21" s="16"/>
      <c r="QZP21" s="23"/>
      <c r="QZQ21" s="16"/>
      <c r="QZR21" s="23"/>
      <c r="QZS21" s="16"/>
      <c r="QZT21" s="23"/>
      <c r="QZU21" s="16"/>
      <c r="QZV21" s="23"/>
      <c r="QZW21" s="16"/>
      <c r="QZX21" s="23"/>
      <c r="QZY21" s="16"/>
      <c r="QZZ21" s="23"/>
      <c r="RAA21" s="16"/>
      <c r="RAB21" s="23"/>
      <c r="RAC21" s="16"/>
      <c r="RAD21" s="23"/>
      <c r="RAE21" s="16"/>
      <c r="RAF21" s="23"/>
      <c r="RAG21" s="16"/>
      <c r="RAH21" s="23"/>
      <c r="RAI21" s="16"/>
      <c r="RAJ21" s="23"/>
      <c r="RAK21" s="16"/>
      <c r="RAL21" s="23"/>
      <c r="RAM21" s="16"/>
      <c r="RAN21" s="23"/>
      <c r="RAO21" s="16"/>
      <c r="RAP21" s="23"/>
      <c r="RAQ21" s="16"/>
      <c r="RAR21" s="23"/>
      <c r="RAS21" s="16"/>
      <c r="RAT21" s="23"/>
      <c r="RAU21" s="16"/>
      <c r="RAV21" s="23"/>
      <c r="RAW21" s="16"/>
      <c r="RAX21" s="23"/>
      <c r="RAY21" s="16"/>
      <c r="RAZ21" s="23"/>
      <c r="RBA21" s="16"/>
      <c r="RBB21" s="23"/>
      <c r="RBC21" s="16"/>
      <c r="RBD21" s="23"/>
      <c r="RBE21" s="16"/>
      <c r="RBF21" s="23"/>
      <c r="RBG21" s="16"/>
      <c r="RBH21" s="23"/>
      <c r="RBI21" s="16"/>
      <c r="RBJ21" s="23"/>
      <c r="RBK21" s="16"/>
      <c r="RBL21" s="23"/>
      <c r="RBM21" s="16"/>
      <c r="RBN21" s="23"/>
      <c r="RBO21" s="16"/>
      <c r="RBP21" s="23"/>
      <c r="RBQ21" s="16"/>
      <c r="RBR21" s="23"/>
      <c r="RBS21" s="16"/>
      <c r="RBT21" s="23"/>
      <c r="RBU21" s="16"/>
      <c r="RBV21" s="23"/>
      <c r="RBW21" s="16"/>
      <c r="RBX21" s="23"/>
      <c r="RBY21" s="16"/>
      <c r="RBZ21" s="23"/>
      <c r="RCA21" s="16"/>
      <c r="RCB21" s="23"/>
      <c r="RCC21" s="16"/>
      <c r="RCD21" s="23"/>
      <c r="RCE21" s="16"/>
      <c r="RCF21" s="23"/>
      <c r="RCG21" s="16"/>
      <c r="RCH21" s="23"/>
      <c r="RCI21" s="16"/>
      <c r="RCJ21" s="23"/>
      <c r="RCK21" s="16"/>
      <c r="RCL21" s="23"/>
      <c r="RCM21" s="16"/>
      <c r="RCN21" s="23"/>
      <c r="RCO21" s="16"/>
      <c r="RCP21" s="23"/>
      <c r="RCQ21" s="16"/>
      <c r="RCR21" s="23"/>
      <c r="RCS21" s="16"/>
      <c r="RCT21" s="23"/>
      <c r="RCU21" s="16"/>
      <c r="RCV21" s="23"/>
      <c r="RCW21" s="16"/>
      <c r="RCX21" s="23"/>
      <c r="RCY21" s="16"/>
      <c r="RCZ21" s="23"/>
      <c r="RDA21" s="16"/>
      <c r="RDB21" s="23"/>
      <c r="RDC21" s="16"/>
      <c r="RDD21" s="23"/>
      <c r="RDE21" s="16"/>
      <c r="RDF21" s="23"/>
      <c r="RDG21" s="16"/>
      <c r="RDH21" s="23"/>
      <c r="RDI21" s="16"/>
      <c r="RDJ21" s="23"/>
      <c r="RDK21" s="16"/>
      <c r="RDL21" s="23"/>
      <c r="RDM21" s="16"/>
      <c r="RDN21" s="23"/>
      <c r="RDO21" s="16"/>
      <c r="RDP21" s="23"/>
      <c r="RDQ21" s="16"/>
      <c r="RDR21" s="23"/>
      <c r="RDS21" s="16"/>
      <c r="RDT21" s="23"/>
      <c r="RDU21" s="16"/>
      <c r="RDV21" s="23"/>
      <c r="RDW21" s="16"/>
      <c r="RDX21" s="23"/>
      <c r="RDY21" s="16"/>
      <c r="RDZ21" s="23"/>
      <c r="REA21" s="16"/>
      <c r="REB21" s="23"/>
      <c r="REC21" s="16"/>
      <c r="RED21" s="23"/>
      <c r="REE21" s="16"/>
      <c r="REF21" s="23"/>
      <c r="REG21" s="16"/>
      <c r="REH21" s="23"/>
      <c r="REI21" s="16"/>
      <c r="REJ21" s="23"/>
      <c r="REK21" s="16"/>
      <c r="REL21" s="23"/>
      <c r="REM21" s="16"/>
      <c r="REN21" s="23"/>
      <c r="REO21" s="16"/>
      <c r="REP21" s="23"/>
      <c r="REQ21" s="16"/>
      <c r="RER21" s="23"/>
      <c r="RES21" s="16"/>
      <c r="RET21" s="23"/>
      <c r="REU21" s="16"/>
      <c r="REV21" s="23"/>
      <c r="REW21" s="16"/>
      <c r="REX21" s="23"/>
      <c r="REY21" s="16"/>
      <c r="REZ21" s="23"/>
      <c r="RFA21" s="16"/>
      <c r="RFB21" s="23"/>
      <c r="RFC21" s="16"/>
      <c r="RFD21" s="23"/>
      <c r="RFE21" s="16"/>
      <c r="RFF21" s="23"/>
      <c r="RFG21" s="16"/>
      <c r="RFH21" s="23"/>
      <c r="RFI21" s="16"/>
      <c r="RFJ21" s="23"/>
      <c r="RFK21" s="16"/>
      <c r="RFL21" s="23"/>
      <c r="RFM21" s="16"/>
      <c r="RFN21" s="23"/>
      <c r="RFO21" s="16"/>
      <c r="RFP21" s="23"/>
      <c r="RFQ21" s="16"/>
      <c r="RFR21" s="23"/>
      <c r="RFS21" s="16"/>
      <c r="RFT21" s="23"/>
      <c r="RFU21" s="16"/>
      <c r="RFV21" s="23"/>
      <c r="RFW21" s="16"/>
      <c r="RFX21" s="23"/>
      <c r="RFY21" s="16"/>
      <c r="RFZ21" s="23"/>
      <c r="RGA21" s="16"/>
      <c r="RGB21" s="23"/>
      <c r="RGC21" s="16"/>
      <c r="RGD21" s="23"/>
      <c r="RGE21" s="16"/>
      <c r="RGF21" s="23"/>
      <c r="RGG21" s="16"/>
      <c r="RGH21" s="23"/>
      <c r="RGI21" s="16"/>
      <c r="RGJ21" s="23"/>
      <c r="RGK21" s="16"/>
      <c r="RGL21" s="23"/>
      <c r="RGM21" s="16"/>
      <c r="RGN21" s="23"/>
      <c r="RGO21" s="16"/>
      <c r="RGP21" s="23"/>
      <c r="RGQ21" s="16"/>
      <c r="RGR21" s="23"/>
      <c r="RGS21" s="16"/>
      <c r="RGT21" s="23"/>
      <c r="RGU21" s="16"/>
      <c r="RGV21" s="23"/>
      <c r="RGW21" s="16"/>
      <c r="RGX21" s="23"/>
      <c r="RGY21" s="16"/>
      <c r="RGZ21" s="23"/>
      <c r="RHA21" s="16"/>
      <c r="RHB21" s="23"/>
      <c r="RHC21" s="16"/>
      <c r="RHD21" s="23"/>
      <c r="RHE21" s="16"/>
      <c r="RHF21" s="23"/>
      <c r="RHG21" s="16"/>
      <c r="RHH21" s="23"/>
      <c r="RHI21" s="16"/>
      <c r="RHJ21" s="23"/>
      <c r="RHK21" s="16"/>
      <c r="RHL21" s="23"/>
      <c r="RHM21" s="16"/>
      <c r="RHN21" s="23"/>
      <c r="RHO21" s="16"/>
      <c r="RHP21" s="23"/>
      <c r="RHQ21" s="16"/>
      <c r="RHR21" s="23"/>
      <c r="RHS21" s="16"/>
      <c r="RHT21" s="23"/>
      <c r="RHU21" s="16"/>
      <c r="RHV21" s="23"/>
      <c r="RHW21" s="16"/>
      <c r="RHX21" s="23"/>
      <c r="RHY21" s="16"/>
      <c r="RHZ21" s="23"/>
      <c r="RIA21" s="16"/>
      <c r="RIB21" s="23"/>
      <c r="RIC21" s="16"/>
      <c r="RID21" s="23"/>
      <c r="RIE21" s="16"/>
      <c r="RIF21" s="23"/>
      <c r="RIG21" s="16"/>
      <c r="RIH21" s="23"/>
      <c r="RII21" s="16"/>
      <c r="RIJ21" s="23"/>
      <c r="RIK21" s="16"/>
      <c r="RIL21" s="23"/>
      <c r="RIM21" s="16"/>
      <c r="RIN21" s="23"/>
      <c r="RIO21" s="16"/>
      <c r="RIP21" s="23"/>
      <c r="RIQ21" s="16"/>
      <c r="RIR21" s="23"/>
      <c r="RIS21" s="16"/>
      <c r="RIT21" s="23"/>
      <c r="RIU21" s="16"/>
      <c r="RIV21" s="23"/>
      <c r="RIW21" s="16"/>
      <c r="RIX21" s="23"/>
      <c r="RIY21" s="16"/>
      <c r="RIZ21" s="23"/>
      <c r="RJA21" s="16"/>
      <c r="RJB21" s="23"/>
      <c r="RJC21" s="16"/>
      <c r="RJD21" s="23"/>
      <c r="RJE21" s="16"/>
      <c r="RJF21" s="23"/>
      <c r="RJG21" s="16"/>
      <c r="RJH21" s="23"/>
      <c r="RJI21" s="16"/>
      <c r="RJJ21" s="23"/>
      <c r="RJK21" s="16"/>
      <c r="RJL21" s="23"/>
      <c r="RJM21" s="16"/>
      <c r="RJN21" s="23"/>
      <c r="RJO21" s="16"/>
      <c r="RJP21" s="23"/>
      <c r="RJQ21" s="16"/>
      <c r="RJR21" s="23"/>
      <c r="RJS21" s="16"/>
      <c r="RJT21" s="23"/>
      <c r="RJU21" s="16"/>
      <c r="RJV21" s="23"/>
      <c r="RJW21" s="16"/>
      <c r="RJX21" s="23"/>
      <c r="RJY21" s="16"/>
      <c r="RJZ21" s="23"/>
      <c r="RKA21" s="16"/>
      <c r="RKB21" s="23"/>
      <c r="RKC21" s="16"/>
      <c r="RKD21" s="23"/>
      <c r="RKE21" s="16"/>
      <c r="RKF21" s="23"/>
      <c r="RKG21" s="16"/>
      <c r="RKH21" s="23"/>
      <c r="RKI21" s="16"/>
      <c r="RKJ21" s="23"/>
      <c r="RKK21" s="16"/>
      <c r="RKL21" s="23"/>
      <c r="RKM21" s="16"/>
      <c r="RKN21" s="23"/>
      <c r="RKO21" s="16"/>
      <c r="RKP21" s="23"/>
      <c r="RKQ21" s="16"/>
      <c r="RKR21" s="23"/>
      <c r="RKS21" s="16"/>
      <c r="RKT21" s="23"/>
      <c r="RKU21" s="16"/>
      <c r="RKV21" s="23"/>
      <c r="RKW21" s="16"/>
      <c r="RKX21" s="23"/>
      <c r="RKY21" s="16"/>
      <c r="RKZ21" s="23"/>
      <c r="RLA21" s="16"/>
      <c r="RLB21" s="23"/>
      <c r="RLC21" s="16"/>
      <c r="RLD21" s="23"/>
      <c r="RLE21" s="16"/>
      <c r="RLF21" s="23"/>
      <c r="RLG21" s="16"/>
      <c r="RLH21" s="23"/>
      <c r="RLI21" s="16"/>
      <c r="RLJ21" s="23"/>
      <c r="RLK21" s="16"/>
      <c r="RLL21" s="23"/>
      <c r="RLM21" s="16"/>
      <c r="RLN21" s="23"/>
      <c r="RLO21" s="16"/>
      <c r="RLP21" s="23"/>
      <c r="RLQ21" s="16"/>
      <c r="RLR21" s="23"/>
      <c r="RLS21" s="16"/>
      <c r="RLT21" s="23"/>
      <c r="RLU21" s="16"/>
      <c r="RLV21" s="23"/>
      <c r="RLW21" s="16"/>
      <c r="RLX21" s="23"/>
      <c r="RLY21" s="16"/>
      <c r="RLZ21" s="23"/>
      <c r="RMA21" s="16"/>
      <c r="RMB21" s="23"/>
      <c r="RMC21" s="16"/>
      <c r="RMD21" s="23"/>
      <c r="RME21" s="16"/>
      <c r="RMF21" s="23"/>
      <c r="RMG21" s="16"/>
      <c r="RMH21" s="23"/>
      <c r="RMI21" s="16"/>
      <c r="RMJ21" s="23"/>
      <c r="RMK21" s="16"/>
      <c r="RML21" s="23"/>
      <c r="RMM21" s="16"/>
      <c r="RMN21" s="23"/>
      <c r="RMO21" s="16"/>
      <c r="RMP21" s="23"/>
      <c r="RMQ21" s="16"/>
      <c r="RMR21" s="23"/>
      <c r="RMS21" s="16"/>
      <c r="RMT21" s="23"/>
      <c r="RMU21" s="16"/>
      <c r="RMV21" s="23"/>
      <c r="RMW21" s="16"/>
      <c r="RMX21" s="23"/>
      <c r="RMY21" s="16"/>
      <c r="RMZ21" s="23"/>
      <c r="RNA21" s="16"/>
      <c r="RNB21" s="23"/>
      <c r="RNC21" s="16"/>
      <c r="RND21" s="23"/>
      <c r="RNE21" s="16"/>
      <c r="RNF21" s="23"/>
      <c r="RNG21" s="16"/>
      <c r="RNH21" s="23"/>
      <c r="RNI21" s="16"/>
      <c r="RNJ21" s="23"/>
      <c r="RNK21" s="16"/>
      <c r="RNL21" s="23"/>
      <c r="RNM21" s="16"/>
      <c r="RNN21" s="23"/>
      <c r="RNO21" s="16"/>
      <c r="RNP21" s="23"/>
      <c r="RNQ21" s="16"/>
      <c r="RNR21" s="23"/>
      <c r="RNS21" s="16"/>
      <c r="RNT21" s="23"/>
      <c r="RNU21" s="16"/>
      <c r="RNV21" s="23"/>
      <c r="RNW21" s="16"/>
      <c r="RNX21" s="23"/>
      <c r="RNY21" s="16"/>
      <c r="RNZ21" s="23"/>
      <c r="ROA21" s="16"/>
      <c r="ROB21" s="23"/>
      <c r="ROC21" s="16"/>
      <c r="ROD21" s="23"/>
      <c r="ROE21" s="16"/>
      <c r="ROF21" s="23"/>
      <c r="ROG21" s="16"/>
      <c r="ROH21" s="23"/>
      <c r="ROI21" s="16"/>
      <c r="ROJ21" s="23"/>
      <c r="ROK21" s="16"/>
      <c r="ROL21" s="23"/>
      <c r="ROM21" s="16"/>
      <c r="RON21" s="23"/>
      <c r="ROO21" s="16"/>
      <c r="ROP21" s="23"/>
      <c r="ROQ21" s="16"/>
      <c r="ROR21" s="23"/>
      <c r="ROS21" s="16"/>
      <c r="ROT21" s="23"/>
      <c r="ROU21" s="16"/>
      <c r="ROV21" s="23"/>
      <c r="ROW21" s="16"/>
      <c r="ROX21" s="23"/>
      <c r="ROY21" s="16"/>
      <c r="ROZ21" s="23"/>
      <c r="RPA21" s="16"/>
      <c r="RPB21" s="23"/>
      <c r="RPC21" s="16"/>
      <c r="RPD21" s="23"/>
      <c r="RPE21" s="16"/>
      <c r="RPF21" s="23"/>
      <c r="RPG21" s="16"/>
      <c r="RPH21" s="23"/>
      <c r="RPI21" s="16"/>
      <c r="RPJ21" s="23"/>
      <c r="RPK21" s="16"/>
      <c r="RPL21" s="23"/>
      <c r="RPM21" s="16"/>
      <c r="RPN21" s="23"/>
      <c r="RPO21" s="16"/>
      <c r="RPP21" s="23"/>
      <c r="RPQ21" s="16"/>
      <c r="RPR21" s="23"/>
      <c r="RPS21" s="16"/>
      <c r="RPT21" s="23"/>
      <c r="RPU21" s="16"/>
      <c r="RPV21" s="23"/>
      <c r="RPW21" s="16"/>
      <c r="RPX21" s="23"/>
      <c r="RPY21" s="16"/>
      <c r="RPZ21" s="23"/>
      <c r="RQA21" s="16"/>
      <c r="RQB21" s="23"/>
      <c r="RQC21" s="16"/>
      <c r="RQD21" s="23"/>
      <c r="RQE21" s="16"/>
      <c r="RQF21" s="23"/>
      <c r="RQG21" s="16"/>
      <c r="RQH21" s="23"/>
      <c r="RQI21" s="16"/>
      <c r="RQJ21" s="23"/>
      <c r="RQK21" s="16"/>
      <c r="RQL21" s="23"/>
      <c r="RQM21" s="16"/>
      <c r="RQN21" s="23"/>
      <c r="RQO21" s="16"/>
      <c r="RQP21" s="23"/>
      <c r="RQQ21" s="16"/>
      <c r="RQR21" s="23"/>
      <c r="RQS21" s="16"/>
      <c r="RQT21" s="23"/>
      <c r="RQU21" s="16"/>
      <c r="RQV21" s="23"/>
      <c r="RQW21" s="16"/>
      <c r="RQX21" s="23"/>
      <c r="RQY21" s="16"/>
      <c r="RQZ21" s="23"/>
      <c r="RRA21" s="16"/>
      <c r="RRB21" s="23"/>
      <c r="RRC21" s="16"/>
      <c r="RRD21" s="23"/>
      <c r="RRE21" s="16"/>
      <c r="RRF21" s="23"/>
      <c r="RRG21" s="16"/>
      <c r="RRH21" s="23"/>
      <c r="RRI21" s="16"/>
      <c r="RRJ21" s="23"/>
      <c r="RRK21" s="16"/>
      <c r="RRL21" s="23"/>
      <c r="RRM21" s="16"/>
      <c r="RRN21" s="23"/>
      <c r="RRO21" s="16"/>
      <c r="RRP21" s="23"/>
      <c r="RRQ21" s="16"/>
      <c r="RRR21" s="23"/>
      <c r="RRS21" s="16"/>
      <c r="RRT21" s="23"/>
      <c r="RRU21" s="16"/>
      <c r="RRV21" s="23"/>
      <c r="RRW21" s="16"/>
      <c r="RRX21" s="23"/>
      <c r="RRY21" s="16"/>
      <c r="RRZ21" s="23"/>
      <c r="RSA21" s="16"/>
      <c r="RSB21" s="23"/>
      <c r="RSC21" s="16"/>
      <c r="RSD21" s="23"/>
      <c r="RSE21" s="16"/>
      <c r="RSF21" s="23"/>
      <c r="RSG21" s="16"/>
      <c r="RSH21" s="23"/>
      <c r="RSI21" s="16"/>
      <c r="RSJ21" s="23"/>
      <c r="RSK21" s="16"/>
      <c r="RSL21" s="23"/>
      <c r="RSM21" s="16"/>
      <c r="RSN21" s="23"/>
      <c r="RSO21" s="16"/>
      <c r="RSP21" s="23"/>
      <c r="RSQ21" s="16"/>
      <c r="RSR21" s="23"/>
      <c r="RSS21" s="16"/>
      <c r="RST21" s="23"/>
      <c r="RSU21" s="16"/>
      <c r="RSV21" s="23"/>
      <c r="RSW21" s="16"/>
      <c r="RSX21" s="23"/>
      <c r="RSY21" s="16"/>
      <c r="RSZ21" s="23"/>
      <c r="RTA21" s="16"/>
      <c r="RTB21" s="23"/>
      <c r="RTC21" s="16"/>
      <c r="RTD21" s="23"/>
      <c r="RTE21" s="16"/>
      <c r="RTF21" s="23"/>
      <c r="RTG21" s="16"/>
      <c r="RTH21" s="23"/>
      <c r="RTI21" s="16"/>
      <c r="RTJ21" s="23"/>
      <c r="RTK21" s="16"/>
      <c r="RTL21" s="23"/>
      <c r="RTM21" s="16"/>
      <c r="RTN21" s="23"/>
      <c r="RTO21" s="16"/>
      <c r="RTP21" s="23"/>
      <c r="RTQ21" s="16"/>
      <c r="RTR21" s="23"/>
      <c r="RTS21" s="16"/>
      <c r="RTT21" s="23"/>
      <c r="RTU21" s="16"/>
      <c r="RTV21" s="23"/>
      <c r="RTW21" s="16"/>
      <c r="RTX21" s="23"/>
      <c r="RTY21" s="16"/>
      <c r="RTZ21" s="23"/>
      <c r="RUA21" s="16"/>
      <c r="RUB21" s="23"/>
      <c r="RUC21" s="16"/>
      <c r="RUD21" s="23"/>
      <c r="RUE21" s="16"/>
      <c r="RUF21" s="23"/>
      <c r="RUG21" s="16"/>
      <c r="RUH21" s="23"/>
      <c r="RUI21" s="16"/>
      <c r="RUJ21" s="23"/>
      <c r="RUK21" s="16"/>
      <c r="RUL21" s="23"/>
      <c r="RUM21" s="16"/>
      <c r="RUN21" s="23"/>
      <c r="RUO21" s="16"/>
      <c r="RUP21" s="23"/>
      <c r="RUQ21" s="16"/>
      <c r="RUR21" s="23"/>
      <c r="RUS21" s="16"/>
      <c r="RUT21" s="23"/>
      <c r="RUU21" s="16"/>
      <c r="RUV21" s="23"/>
      <c r="RUW21" s="16"/>
      <c r="RUX21" s="23"/>
      <c r="RUY21" s="16"/>
      <c r="RUZ21" s="23"/>
      <c r="RVA21" s="16"/>
      <c r="RVB21" s="23"/>
      <c r="RVC21" s="16"/>
      <c r="RVD21" s="23"/>
      <c r="RVE21" s="16"/>
      <c r="RVF21" s="23"/>
      <c r="RVG21" s="16"/>
      <c r="RVH21" s="23"/>
      <c r="RVI21" s="16"/>
      <c r="RVJ21" s="23"/>
      <c r="RVK21" s="16"/>
      <c r="RVL21" s="23"/>
      <c r="RVM21" s="16"/>
      <c r="RVN21" s="23"/>
      <c r="RVO21" s="16"/>
      <c r="RVP21" s="23"/>
      <c r="RVQ21" s="16"/>
      <c r="RVR21" s="23"/>
      <c r="RVS21" s="16"/>
      <c r="RVT21" s="23"/>
      <c r="RVU21" s="16"/>
      <c r="RVV21" s="23"/>
      <c r="RVW21" s="16"/>
      <c r="RVX21" s="23"/>
      <c r="RVY21" s="16"/>
      <c r="RVZ21" s="23"/>
      <c r="RWA21" s="16"/>
      <c r="RWB21" s="23"/>
      <c r="RWC21" s="16"/>
      <c r="RWD21" s="23"/>
      <c r="RWE21" s="16"/>
      <c r="RWF21" s="23"/>
      <c r="RWG21" s="16"/>
      <c r="RWH21" s="23"/>
      <c r="RWI21" s="16"/>
      <c r="RWJ21" s="23"/>
      <c r="RWK21" s="16"/>
      <c r="RWL21" s="23"/>
      <c r="RWM21" s="16"/>
      <c r="RWN21" s="23"/>
      <c r="RWO21" s="16"/>
      <c r="RWP21" s="23"/>
      <c r="RWQ21" s="16"/>
      <c r="RWR21" s="23"/>
      <c r="RWS21" s="16"/>
      <c r="RWT21" s="23"/>
      <c r="RWU21" s="16"/>
      <c r="RWV21" s="23"/>
      <c r="RWW21" s="16"/>
      <c r="RWX21" s="23"/>
      <c r="RWY21" s="16"/>
      <c r="RWZ21" s="23"/>
      <c r="RXA21" s="16"/>
      <c r="RXB21" s="23"/>
      <c r="RXC21" s="16"/>
      <c r="RXD21" s="23"/>
      <c r="RXE21" s="16"/>
      <c r="RXF21" s="23"/>
      <c r="RXG21" s="16"/>
      <c r="RXH21" s="23"/>
      <c r="RXI21" s="16"/>
      <c r="RXJ21" s="23"/>
      <c r="RXK21" s="16"/>
      <c r="RXL21" s="23"/>
      <c r="RXM21" s="16"/>
      <c r="RXN21" s="23"/>
      <c r="RXO21" s="16"/>
      <c r="RXP21" s="23"/>
      <c r="RXQ21" s="16"/>
      <c r="RXR21" s="23"/>
      <c r="RXS21" s="16"/>
      <c r="RXT21" s="23"/>
      <c r="RXU21" s="16"/>
      <c r="RXV21" s="23"/>
      <c r="RXW21" s="16"/>
      <c r="RXX21" s="23"/>
      <c r="RXY21" s="16"/>
      <c r="RXZ21" s="23"/>
      <c r="RYA21" s="16"/>
      <c r="RYB21" s="23"/>
      <c r="RYC21" s="16"/>
      <c r="RYD21" s="23"/>
      <c r="RYE21" s="16"/>
      <c r="RYF21" s="23"/>
      <c r="RYG21" s="16"/>
      <c r="RYH21" s="23"/>
      <c r="RYI21" s="16"/>
      <c r="RYJ21" s="23"/>
      <c r="RYK21" s="16"/>
      <c r="RYL21" s="23"/>
      <c r="RYM21" s="16"/>
      <c r="RYN21" s="23"/>
      <c r="RYO21" s="16"/>
      <c r="RYP21" s="23"/>
      <c r="RYQ21" s="16"/>
      <c r="RYR21" s="23"/>
      <c r="RYS21" s="16"/>
      <c r="RYT21" s="23"/>
      <c r="RYU21" s="16"/>
      <c r="RYV21" s="23"/>
      <c r="RYW21" s="16"/>
      <c r="RYX21" s="23"/>
      <c r="RYY21" s="16"/>
      <c r="RYZ21" s="23"/>
      <c r="RZA21" s="16"/>
      <c r="RZB21" s="23"/>
      <c r="RZC21" s="16"/>
      <c r="RZD21" s="23"/>
      <c r="RZE21" s="16"/>
      <c r="RZF21" s="23"/>
      <c r="RZG21" s="16"/>
      <c r="RZH21" s="23"/>
      <c r="RZI21" s="16"/>
      <c r="RZJ21" s="23"/>
      <c r="RZK21" s="16"/>
      <c r="RZL21" s="23"/>
      <c r="RZM21" s="16"/>
      <c r="RZN21" s="23"/>
      <c r="RZO21" s="16"/>
      <c r="RZP21" s="23"/>
      <c r="RZQ21" s="16"/>
      <c r="RZR21" s="23"/>
      <c r="RZS21" s="16"/>
      <c r="RZT21" s="23"/>
      <c r="RZU21" s="16"/>
      <c r="RZV21" s="23"/>
      <c r="RZW21" s="16"/>
      <c r="RZX21" s="23"/>
      <c r="RZY21" s="16"/>
      <c r="RZZ21" s="23"/>
      <c r="SAA21" s="16"/>
      <c r="SAB21" s="23"/>
      <c r="SAC21" s="16"/>
      <c r="SAD21" s="23"/>
      <c r="SAE21" s="16"/>
      <c r="SAF21" s="23"/>
      <c r="SAG21" s="16"/>
      <c r="SAH21" s="23"/>
      <c r="SAI21" s="16"/>
      <c r="SAJ21" s="23"/>
      <c r="SAK21" s="16"/>
      <c r="SAL21" s="23"/>
      <c r="SAM21" s="16"/>
      <c r="SAN21" s="23"/>
      <c r="SAO21" s="16"/>
      <c r="SAP21" s="23"/>
      <c r="SAQ21" s="16"/>
      <c r="SAR21" s="23"/>
      <c r="SAS21" s="16"/>
      <c r="SAT21" s="23"/>
      <c r="SAU21" s="16"/>
      <c r="SAV21" s="23"/>
      <c r="SAW21" s="16"/>
      <c r="SAX21" s="23"/>
      <c r="SAY21" s="16"/>
      <c r="SAZ21" s="23"/>
      <c r="SBA21" s="16"/>
      <c r="SBB21" s="23"/>
      <c r="SBC21" s="16"/>
      <c r="SBD21" s="23"/>
      <c r="SBE21" s="16"/>
      <c r="SBF21" s="23"/>
      <c r="SBG21" s="16"/>
      <c r="SBH21" s="23"/>
      <c r="SBI21" s="16"/>
      <c r="SBJ21" s="23"/>
      <c r="SBK21" s="16"/>
      <c r="SBL21" s="23"/>
      <c r="SBM21" s="16"/>
      <c r="SBN21" s="23"/>
      <c r="SBO21" s="16"/>
      <c r="SBP21" s="23"/>
      <c r="SBQ21" s="16"/>
      <c r="SBR21" s="23"/>
      <c r="SBS21" s="16"/>
      <c r="SBT21" s="23"/>
      <c r="SBU21" s="16"/>
      <c r="SBV21" s="23"/>
      <c r="SBW21" s="16"/>
      <c r="SBX21" s="23"/>
      <c r="SBY21" s="16"/>
      <c r="SBZ21" s="23"/>
      <c r="SCA21" s="16"/>
      <c r="SCB21" s="23"/>
      <c r="SCC21" s="16"/>
      <c r="SCD21" s="23"/>
      <c r="SCE21" s="16"/>
      <c r="SCF21" s="23"/>
      <c r="SCG21" s="16"/>
      <c r="SCH21" s="23"/>
      <c r="SCI21" s="16"/>
      <c r="SCJ21" s="23"/>
      <c r="SCK21" s="16"/>
      <c r="SCL21" s="23"/>
      <c r="SCM21" s="16"/>
      <c r="SCN21" s="23"/>
      <c r="SCO21" s="16"/>
      <c r="SCP21" s="23"/>
      <c r="SCQ21" s="16"/>
      <c r="SCR21" s="23"/>
      <c r="SCS21" s="16"/>
      <c r="SCT21" s="23"/>
      <c r="SCU21" s="16"/>
      <c r="SCV21" s="23"/>
      <c r="SCW21" s="16"/>
      <c r="SCX21" s="23"/>
      <c r="SCY21" s="16"/>
      <c r="SCZ21" s="23"/>
      <c r="SDA21" s="16"/>
      <c r="SDB21" s="23"/>
      <c r="SDC21" s="16"/>
      <c r="SDD21" s="23"/>
      <c r="SDE21" s="16"/>
      <c r="SDF21" s="23"/>
      <c r="SDG21" s="16"/>
      <c r="SDH21" s="23"/>
      <c r="SDI21" s="16"/>
      <c r="SDJ21" s="23"/>
      <c r="SDK21" s="16"/>
      <c r="SDL21" s="23"/>
      <c r="SDM21" s="16"/>
      <c r="SDN21" s="23"/>
      <c r="SDO21" s="16"/>
      <c r="SDP21" s="23"/>
      <c r="SDQ21" s="16"/>
      <c r="SDR21" s="23"/>
      <c r="SDS21" s="16"/>
      <c r="SDT21" s="23"/>
      <c r="SDU21" s="16"/>
      <c r="SDV21" s="23"/>
      <c r="SDW21" s="16"/>
      <c r="SDX21" s="23"/>
      <c r="SDY21" s="16"/>
      <c r="SDZ21" s="23"/>
      <c r="SEA21" s="16"/>
      <c r="SEB21" s="23"/>
      <c r="SEC21" s="16"/>
      <c r="SED21" s="23"/>
      <c r="SEE21" s="16"/>
      <c r="SEF21" s="23"/>
      <c r="SEG21" s="16"/>
      <c r="SEH21" s="23"/>
      <c r="SEI21" s="16"/>
      <c r="SEJ21" s="23"/>
      <c r="SEK21" s="16"/>
      <c r="SEL21" s="23"/>
      <c r="SEM21" s="16"/>
      <c r="SEN21" s="23"/>
      <c r="SEO21" s="16"/>
      <c r="SEP21" s="23"/>
      <c r="SEQ21" s="16"/>
      <c r="SER21" s="23"/>
      <c r="SES21" s="16"/>
      <c r="SET21" s="23"/>
      <c r="SEU21" s="16"/>
      <c r="SEV21" s="23"/>
      <c r="SEW21" s="16"/>
      <c r="SEX21" s="23"/>
      <c r="SEY21" s="16"/>
      <c r="SEZ21" s="23"/>
      <c r="SFA21" s="16"/>
      <c r="SFB21" s="23"/>
      <c r="SFC21" s="16"/>
      <c r="SFD21" s="23"/>
      <c r="SFE21" s="16"/>
      <c r="SFF21" s="23"/>
      <c r="SFG21" s="16"/>
      <c r="SFH21" s="23"/>
      <c r="SFI21" s="16"/>
      <c r="SFJ21" s="23"/>
      <c r="SFK21" s="16"/>
      <c r="SFL21" s="23"/>
      <c r="SFM21" s="16"/>
      <c r="SFN21" s="23"/>
      <c r="SFO21" s="16"/>
      <c r="SFP21" s="23"/>
      <c r="SFQ21" s="16"/>
      <c r="SFR21" s="23"/>
      <c r="SFS21" s="16"/>
      <c r="SFT21" s="23"/>
      <c r="SFU21" s="16"/>
      <c r="SFV21" s="23"/>
      <c r="SFW21" s="16"/>
      <c r="SFX21" s="23"/>
      <c r="SFY21" s="16"/>
      <c r="SFZ21" s="23"/>
      <c r="SGA21" s="16"/>
      <c r="SGB21" s="23"/>
      <c r="SGC21" s="16"/>
      <c r="SGD21" s="23"/>
      <c r="SGE21" s="16"/>
      <c r="SGF21" s="23"/>
      <c r="SGG21" s="16"/>
      <c r="SGH21" s="23"/>
      <c r="SGI21" s="16"/>
      <c r="SGJ21" s="23"/>
      <c r="SGK21" s="16"/>
      <c r="SGL21" s="23"/>
      <c r="SGM21" s="16"/>
      <c r="SGN21" s="23"/>
      <c r="SGO21" s="16"/>
      <c r="SGP21" s="23"/>
      <c r="SGQ21" s="16"/>
      <c r="SGR21" s="23"/>
      <c r="SGS21" s="16"/>
      <c r="SGT21" s="23"/>
      <c r="SGU21" s="16"/>
      <c r="SGV21" s="23"/>
      <c r="SGW21" s="16"/>
      <c r="SGX21" s="23"/>
      <c r="SGY21" s="16"/>
      <c r="SGZ21" s="23"/>
      <c r="SHA21" s="16"/>
      <c r="SHB21" s="23"/>
      <c r="SHC21" s="16"/>
      <c r="SHD21" s="23"/>
      <c r="SHE21" s="16"/>
      <c r="SHF21" s="23"/>
      <c r="SHG21" s="16"/>
      <c r="SHH21" s="23"/>
      <c r="SHI21" s="16"/>
      <c r="SHJ21" s="23"/>
      <c r="SHK21" s="16"/>
      <c r="SHL21" s="23"/>
      <c r="SHM21" s="16"/>
      <c r="SHN21" s="23"/>
      <c r="SHO21" s="16"/>
      <c r="SHP21" s="23"/>
      <c r="SHQ21" s="16"/>
      <c r="SHR21" s="23"/>
      <c r="SHS21" s="16"/>
      <c r="SHT21" s="23"/>
      <c r="SHU21" s="16"/>
      <c r="SHV21" s="23"/>
      <c r="SHW21" s="16"/>
      <c r="SHX21" s="23"/>
      <c r="SHY21" s="16"/>
      <c r="SHZ21" s="23"/>
      <c r="SIA21" s="16"/>
      <c r="SIB21" s="23"/>
      <c r="SIC21" s="16"/>
      <c r="SID21" s="23"/>
      <c r="SIE21" s="16"/>
      <c r="SIF21" s="23"/>
      <c r="SIG21" s="16"/>
      <c r="SIH21" s="23"/>
      <c r="SII21" s="16"/>
      <c r="SIJ21" s="23"/>
      <c r="SIK21" s="16"/>
      <c r="SIL21" s="23"/>
      <c r="SIM21" s="16"/>
      <c r="SIN21" s="23"/>
      <c r="SIO21" s="16"/>
      <c r="SIP21" s="23"/>
      <c r="SIQ21" s="16"/>
      <c r="SIR21" s="23"/>
      <c r="SIS21" s="16"/>
      <c r="SIT21" s="23"/>
      <c r="SIU21" s="16"/>
      <c r="SIV21" s="23"/>
      <c r="SIW21" s="16"/>
      <c r="SIX21" s="23"/>
      <c r="SIY21" s="16"/>
      <c r="SIZ21" s="23"/>
      <c r="SJA21" s="16"/>
      <c r="SJB21" s="23"/>
      <c r="SJC21" s="16"/>
      <c r="SJD21" s="23"/>
      <c r="SJE21" s="16"/>
      <c r="SJF21" s="23"/>
      <c r="SJG21" s="16"/>
      <c r="SJH21" s="23"/>
      <c r="SJI21" s="16"/>
      <c r="SJJ21" s="23"/>
      <c r="SJK21" s="16"/>
      <c r="SJL21" s="23"/>
      <c r="SJM21" s="16"/>
      <c r="SJN21" s="23"/>
      <c r="SJO21" s="16"/>
      <c r="SJP21" s="23"/>
      <c r="SJQ21" s="16"/>
      <c r="SJR21" s="23"/>
      <c r="SJS21" s="16"/>
      <c r="SJT21" s="23"/>
      <c r="SJU21" s="16"/>
      <c r="SJV21" s="23"/>
      <c r="SJW21" s="16"/>
      <c r="SJX21" s="23"/>
      <c r="SJY21" s="16"/>
      <c r="SJZ21" s="23"/>
      <c r="SKA21" s="16"/>
      <c r="SKB21" s="23"/>
      <c r="SKC21" s="16"/>
      <c r="SKD21" s="23"/>
      <c r="SKE21" s="16"/>
      <c r="SKF21" s="23"/>
      <c r="SKG21" s="16"/>
      <c r="SKH21" s="23"/>
      <c r="SKI21" s="16"/>
      <c r="SKJ21" s="23"/>
      <c r="SKK21" s="16"/>
      <c r="SKL21" s="23"/>
      <c r="SKM21" s="16"/>
      <c r="SKN21" s="23"/>
      <c r="SKO21" s="16"/>
      <c r="SKP21" s="23"/>
      <c r="SKQ21" s="16"/>
      <c r="SKR21" s="23"/>
      <c r="SKS21" s="16"/>
      <c r="SKT21" s="23"/>
      <c r="SKU21" s="16"/>
      <c r="SKV21" s="23"/>
      <c r="SKW21" s="16"/>
      <c r="SKX21" s="23"/>
      <c r="SKY21" s="16"/>
      <c r="SKZ21" s="23"/>
      <c r="SLA21" s="16"/>
      <c r="SLB21" s="23"/>
      <c r="SLC21" s="16"/>
      <c r="SLD21" s="23"/>
      <c r="SLE21" s="16"/>
      <c r="SLF21" s="23"/>
      <c r="SLG21" s="16"/>
      <c r="SLH21" s="23"/>
      <c r="SLI21" s="16"/>
      <c r="SLJ21" s="23"/>
      <c r="SLK21" s="16"/>
      <c r="SLL21" s="23"/>
      <c r="SLM21" s="16"/>
      <c r="SLN21" s="23"/>
      <c r="SLO21" s="16"/>
      <c r="SLP21" s="23"/>
      <c r="SLQ21" s="16"/>
      <c r="SLR21" s="23"/>
      <c r="SLS21" s="16"/>
      <c r="SLT21" s="23"/>
      <c r="SLU21" s="16"/>
      <c r="SLV21" s="23"/>
      <c r="SLW21" s="16"/>
      <c r="SLX21" s="23"/>
      <c r="SLY21" s="16"/>
      <c r="SLZ21" s="23"/>
      <c r="SMA21" s="16"/>
      <c r="SMB21" s="23"/>
      <c r="SMC21" s="16"/>
      <c r="SMD21" s="23"/>
      <c r="SME21" s="16"/>
      <c r="SMF21" s="23"/>
      <c r="SMG21" s="16"/>
      <c r="SMH21" s="23"/>
      <c r="SMI21" s="16"/>
      <c r="SMJ21" s="23"/>
      <c r="SMK21" s="16"/>
      <c r="SML21" s="23"/>
      <c r="SMM21" s="16"/>
      <c r="SMN21" s="23"/>
      <c r="SMO21" s="16"/>
      <c r="SMP21" s="23"/>
      <c r="SMQ21" s="16"/>
      <c r="SMR21" s="23"/>
      <c r="SMS21" s="16"/>
      <c r="SMT21" s="23"/>
      <c r="SMU21" s="16"/>
      <c r="SMV21" s="23"/>
      <c r="SMW21" s="16"/>
      <c r="SMX21" s="23"/>
      <c r="SMY21" s="16"/>
      <c r="SMZ21" s="23"/>
      <c r="SNA21" s="16"/>
      <c r="SNB21" s="23"/>
      <c r="SNC21" s="16"/>
      <c r="SND21" s="23"/>
      <c r="SNE21" s="16"/>
      <c r="SNF21" s="23"/>
      <c r="SNG21" s="16"/>
      <c r="SNH21" s="23"/>
      <c r="SNI21" s="16"/>
      <c r="SNJ21" s="23"/>
      <c r="SNK21" s="16"/>
      <c r="SNL21" s="23"/>
      <c r="SNM21" s="16"/>
      <c r="SNN21" s="23"/>
      <c r="SNO21" s="16"/>
      <c r="SNP21" s="23"/>
      <c r="SNQ21" s="16"/>
      <c r="SNR21" s="23"/>
      <c r="SNS21" s="16"/>
      <c r="SNT21" s="23"/>
      <c r="SNU21" s="16"/>
      <c r="SNV21" s="23"/>
      <c r="SNW21" s="16"/>
      <c r="SNX21" s="23"/>
      <c r="SNY21" s="16"/>
      <c r="SNZ21" s="23"/>
      <c r="SOA21" s="16"/>
      <c r="SOB21" s="23"/>
      <c r="SOC21" s="16"/>
      <c r="SOD21" s="23"/>
      <c r="SOE21" s="16"/>
      <c r="SOF21" s="23"/>
      <c r="SOG21" s="16"/>
      <c r="SOH21" s="23"/>
      <c r="SOI21" s="16"/>
      <c r="SOJ21" s="23"/>
      <c r="SOK21" s="16"/>
      <c r="SOL21" s="23"/>
      <c r="SOM21" s="16"/>
      <c r="SON21" s="23"/>
      <c r="SOO21" s="16"/>
      <c r="SOP21" s="23"/>
      <c r="SOQ21" s="16"/>
      <c r="SOR21" s="23"/>
      <c r="SOS21" s="16"/>
      <c r="SOT21" s="23"/>
      <c r="SOU21" s="16"/>
      <c r="SOV21" s="23"/>
      <c r="SOW21" s="16"/>
      <c r="SOX21" s="23"/>
      <c r="SOY21" s="16"/>
      <c r="SOZ21" s="23"/>
      <c r="SPA21" s="16"/>
      <c r="SPB21" s="23"/>
      <c r="SPC21" s="16"/>
      <c r="SPD21" s="23"/>
      <c r="SPE21" s="16"/>
      <c r="SPF21" s="23"/>
      <c r="SPG21" s="16"/>
      <c r="SPH21" s="23"/>
      <c r="SPI21" s="16"/>
      <c r="SPJ21" s="23"/>
      <c r="SPK21" s="16"/>
      <c r="SPL21" s="23"/>
      <c r="SPM21" s="16"/>
      <c r="SPN21" s="23"/>
      <c r="SPO21" s="16"/>
      <c r="SPP21" s="23"/>
      <c r="SPQ21" s="16"/>
      <c r="SPR21" s="23"/>
      <c r="SPS21" s="16"/>
      <c r="SPT21" s="23"/>
      <c r="SPU21" s="16"/>
      <c r="SPV21" s="23"/>
      <c r="SPW21" s="16"/>
      <c r="SPX21" s="23"/>
      <c r="SPY21" s="16"/>
      <c r="SPZ21" s="23"/>
      <c r="SQA21" s="16"/>
      <c r="SQB21" s="23"/>
      <c r="SQC21" s="16"/>
      <c r="SQD21" s="23"/>
      <c r="SQE21" s="16"/>
      <c r="SQF21" s="23"/>
      <c r="SQG21" s="16"/>
      <c r="SQH21" s="23"/>
      <c r="SQI21" s="16"/>
      <c r="SQJ21" s="23"/>
      <c r="SQK21" s="16"/>
      <c r="SQL21" s="23"/>
      <c r="SQM21" s="16"/>
      <c r="SQN21" s="23"/>
      <c r="SQO21" s="16"/>
      <c r="SQP21" s="23"/>
      <c r="SQQ21" s="16"/>
      <c r="SQR21" s="23"/>
      <c r="SQS21" s="16"/>
      <c r="SQT21" s="23"/>
      <c r="SQU21" s="16"/>
      <c r="SQV21" s="23"/>
      <c r="SQW21" s="16"/>
      <c r="SQX21" s="23"/>
      <c r="SQY21" s="16"/>
      <c r="SQZ21" s="23"/>
      <c r="SRA21" s="16"/>
      <c r="SRB21" s="23"/>
      <c r="SRC21" s="16"/>
      <c r="SRD21" s="23"/>
      <c r="SRE21" s="16"/>
      <c r="SRF21" s="23"/>
      <c r="SRG21" s="16"/>
      <c r="SRH21" s="23"/>
      <c r="SRI21" s="16"/>
      <c r="SRJ21" s="23"/>
      <c r="SRK21" s="16"/>
      <c r="SRL21" s="23"/>
      <c r="SRM21" s="16"/>
      <c r="SRN21" s="23"/>
      <c r="SRO21" s="16"/>
      <c r="SRP21" s="23"/>
      <c r="SRQ21" s="16"/>
      <c r="SRR21" s="23"/>
      <c r="SRS21" s="16"/>
      <c r="SRT21" s="23"/>
      <c r="SRU21" s="16"/>
      <c r="SRV21" s="23"/>
      <c r="SRW21" s="16"/>
      <c r="SRX21" s="23"/>
      <c r="SRY21" s="16"/>
      <c r="SRZ21" s="23"/>
      <c r="SSA21" s="16"/>
      <c r="SSB21" s="23"/>
      <c r="SSC21" s="16"/>
      <c r="SSD21" s="23"/>
      <c r="SSE21" s="16"/>
      <c r="SSF21" s="23"/>
      <c r="SSG21" s="16"/>
      <c r="SSH21" s="23"/>
      <c r="SSI21" s="16"/>
      <c r="SSJ21" s="23"/>
      <c r="SSK21" s="16"/>
      <c r="SSL21" s="23"/>
      <c r="SSM21" s="16"/>
      <c r="SSN21" s="23"/>
      <c r="SSO21" s="16"/>
      <c r="SSP21" s="23"/>
      <c r="SSQ21" s="16"/>
      <c r="SSR21" s="23"/>
      <c r="SSS21" s="16"/>
      <c r="SST21" s="23"/>
      <c r="SSU21" s="16"/>
      <c r="SSV21" s="23"/>
      <c r="SSW21" s="16"/>
      <c r="SSX21" s="23"/>
      <c r="SSY21" s="16"/>
      <c r="SSZ21" s="23"/>
      <c r="STA21" s="16"/>
      <c r="STB21" s="23"/>
      <c r="STC21" s="16"/>
      <c r="STD21" s="23"/>
      <c r="STE21" s="16"/>
      <c r="STF21" s="23"/>
      <c r="STG21" s="16"/>
      <c r="STH21" s="23"/>
      <c r="STI21" s="16"/>
      <c r="STJ21" s="23"/>
      <c r="STK21" s="16"/>
      <c r="STL21" s="23"/>
      <c r="STM21" s="16"/>
      <c r="STN21" s="23"/>
      <c r="STO21" s="16"/>
      <c r="STP21" s="23"/>
      <c r="STQ21" s="16"/>
      <c r="STR21" s="23"/>
      <c r="STS21" s="16"/>
      <c r="STT21" s="23"/>
      <c r="STU21" s="16"/>
      <c r="STV21" s="23"/>
      <c r="STW21" s="16"/>
      <c r="STX21" s="23"/>
      <c r="STY21" s="16"/>
      <c r="STZ21" s="23"/>
      <c r="SUA21" s="16"/>
      <c r="SUB21" s="23"/>
      <c r="SUC21" s="16"/>
      <c r="SUD21" s="23"/>
      <c r="SUE21" s="16"/>
      <c r="SUF21" s="23"/>
      <c r="SUG21" s="16"/>
      <c r="SUH21" s="23"/>
      <c r="SUI21" s="16"/>
      <c r="SUJ21" s="23"/>
      <c r="SUK21" s="16"/>
      <c r="SUL21" s="23"/>
      <c r="SUM21" s="16"/>
      <c r="SUN21" s="23"/>
      <c r="SUO21" s="16"/>
      <c r="SUP21" s="23"/>
      <c r="SUQ21" s="16"/>
      <c r="SUR21" s="23"/>
      <c r="SUS21" s="16"/>
      <c r="SUT21" s="23"/>
      <c r="SUU21" s="16"/>
      <c r="SUV21" s="23"/>
      <c r="SUW21" s="16"/>
      <c r="SUX21" s="23"/>
      <c r="SUY21" s="16"/>
      <c r="SUZ21" s="23"/>
      <c r="SVA21" s="16"/>
      <c r="SVB21" s="23"/>
      <c r="SVC21" s="16"/>
      <c r="SVD21" s="23"/>
      <c r="SVE21" s="16"/>
      <c r="SVF21" s="23"/>
      <c r="SVG21" s="16"/>
      <c r="SVH21" s="23"/>
      <c r="SVI21" s="16"/>
      <c r="SVJ21" s="23"/>
      <c r="SVK21" s="16"/>
      <c r="SVL21" s="23"/>
      <c r="SVM21" s="16"/>
      <c r="SVN21" s="23"/>
      <c r="SVO21" s="16"/>
      <c r="SVP21" s="23"/>
      <c r="SVQ21" s="16"/>
      <c r="SVR21" s="23"/>
      <c r="SVS21" s="16"/>
      <c r="SVT21" s="23"/>
      <c r="SVU21" s="16"/>
      <c r="SVV21" s="23"/>
      <c r="SVW21" s="16"/>
      <c r="SVX21" s="23"/>
      <c r="SVY21" s="16"/>
      <c r="SVZ21" s="23"/>
      <c r="SWA21" s="16"/>
      <c r="SWB21" s="23"/>
      <c r="SWC21" s="16"/>
      <c r="SWD21" s="23"/>
      <c r="SWE21" s="16"/>
      <c r="SWF21" s="23"/>
      <c r="SWG21" s="16"/>
      <c r="SWH21" s="23"/>
      <c r="SWI21" s="16"/>
      <c r="SWJ21" s="23"/>
      <c r="SWK21" s="16"/>
      <c r="SWL21" s="23"/>
      <c r="SWM21" s="16"/>
      <c r="SWN21" s="23"/>
      <c r="SWO21" s="16"/>
      <c r="SWP21" s="23"/>
      <c r="SWQ21" s="16"/>
      <c r="SWR21" s="23"/>
      <c r="SWS21" s="16"/>
      <c r="SWT21" s="23"/>
      <c r="SWU21" s="16"/>
      <c r="SWV21" s="23"/>
      <c r="SWW21" s="16"/>
      <c r="SWX21" s="23"/>
      <c r="SWY21" s="16"/>
      <c r="SWZ21" s="23"/>
      <c r="SXA21" s="16"/>
      <c r="SXB21" s="23"/>
      <c r="SXC21" s="16"/>
      <c r="SXD21" s="23"/>
      <c r="SXE21" s="16"/>
      <c r="SXF21" s="23"/>
      <c r="SXG21" s="16"/>
      <c r="SXH21" s="23"/>
      <c r="SXI21" s="16"/>
      <c r="SXJ21" s="23"/>
      <c r="SXK21" s="16"/>
      <c r="SXL21" s="23"/>
      <c r="SXM21" s="16"/>
      <c r="SXN21" s="23"/>
      <c r="SXO21" s="16"/>
      <c r="SXP21" s="23"/>
      <c r="SXQ21" s="16"/>
      <c r="SXR21" s="23"/>
      <c r="SXS21" s="16"/>
      <c r="SXT21" s="23"/>
      <c r="SXU21" s="16"/>
      <c r="SXV21" s="23"/>
      <c r="SXW21" s="16"/>
      <c r="SXX21" s="23"/>
      <c r="SXY21" s="16"/>
      <c r="SXZ21" s="23"/>
      <c r="SYA21" s="16"/>
      <c r="SYB21" s="23"/>
      <c r="SYC21" s="16"/>
      <c r="SYD21" s="23"/>
      <c r="SYE21" s="16"/>
      <c r="SYF21" s="23"/>
      <c r="SYG21" s="16"/>
      <c r="SYH21" s="23"/>
      <c r="SYI21" s="16"/>
      <c r="SYJ21" s="23"/>
      <c r="SYK21" s="16"/>
      <c r="SYL21" s="23"/>
      <c r="SYM21" s="16"/>
      <c r="SYN21" s="23"/>
      <c r="SYO21" s="16"/>
      <c r="SYP21" s="23"/>
      <c r="SYQ21" s="16"/>
      <c r="SYR21" s="23"/>
      <c r="SYS21" s="16"/>
      <c r="SYT21" s="23"/>
      <c r="SYU21" s="16"/>
      <c r="SYV21" s="23"/>
      <c r="SYW21" s="16"/>
      <c r="SYX21" s="23"/>
      <c r="SYY21" s="16"/>
      <c r="SYZ21" s="23"/>
      <c r="SZA21" s="16"/>
      <c r="SZB21" s="23"/>
      <c r="SZC21" s="16"/>
      <c r="SZD21" s="23"/>
      <c r="SZE21" s="16"/>
      <c r="SZF21" s="23"/>
      <c r="SZG21" s="16"/>
      <c r="SZH21" s="23"/>
      <c r="SZI21" s="16"/>
      <c r="SZJ21" s="23"/>
      <c r="SZK21" s="16"/>
      <c r="SZL21" s="23"/>
      <c r="SZM21" s="16"/>
      <c r="SZN21" s="23"/>
      <c r="SZO21" s="16"/>
      <c r="SZP21" s="23"/>
      <c r="SZQ21" s="16"/>
      <c r="SZR21" s="23"/>
      <c r="SZS21" s="16"/>
      <c r="SZT21" s="23"/>
      <c r="SZU21" s="16"/>
      <c r="SZV21" s="23"/>
      <c r="SZW21" s="16"/>
      <c r="SZX21" s="23"/>
      <c r="SZY21" s="16"/>
      <c r="SZZ21" s="23"/>
      <c r="TAA21" s="16"/>
      <c r="TAB21" s="23"/>
      <c r="TAC21" s="16"/>
      <c r="TAD21" s="23"/>
      <c r="TAE21" s="16"/>
      <c r="TAF21" s="23"/>
      <c r="TAG21" s="16"/>
      <c r="TAH21" s="23"/>
      <c r="TAI21" s="16"/>
      <c r="TAJ21" s="23"/>
      <c r="TAK21" s="16"/>
      <c r="TAL21" s="23"/>
      <c r="TAM21" s="16"/>
      <c r="TAN21" s="23"/>
      <c r="TAO21" s="16"/>
      <c r="TAP21" s="23"/>
      <c r="TAQ21" s="16"/>
      <c r="TAR21" s="23"/>
      <c r="TAS21" s="16"/>
      <c r="TAT21" s="23"/>
      <c r="TAU21" s="16"/>
      <c r="TAV21" s="23"/>
      <c r="TAW21" s="16"/>
      <c r="TAX21" s="23"/>
      <c r="TAY21" s="16"/>
      <c r="TAZ21" s="23"/>
      <c r="TBA21" s="16"/>
      <c r="TBB21" s="23"/>
      <c r="TBC21" s="16"/>
      <c r="TBD21" s="23"/>
      <c r="TBE21" s="16"/>
      <c r="TBF21" s="23"/>
      <c r="TBG21" s="16"/>
      <c r="TBH21" s="23"/>
      <c r="TBI21" s="16"/>
      <c r="TBJ21" s="23"/>
      <c r="TBK21" s="16"/>
      <c r="TBL21" s="23"/>
      <c r="TBM21" s="16"/>
      <c r="TBN21" s="23"/>
      <c r="TBO21" s="16"/>
      <c r="TBP21" s="23"/>
      <c r="TBQ21" s="16"/>
      <c r="TBR21" s="23"/>
      <c r="TBS21" s="16"/>
      <c r="TBT21" s="23"/>
      <c r="TBU21" s="16"/>
      <c r="TBV21" s="23"/>
      <c r="TBW21" s="16"/>
      <c r="TBX21" s="23"/>
      <c r="TBY21" s="16"/>
      <c r="TBZ21" s="23"/>
      <c r="TCA21" s="16"/>
      <c r="TCB21" s="23"/>
      <c r="TCC21" s="16"/>
      <c r="TCD21" s="23"/>
      <c r="TCE21" s="16"/>
      <c r="TCF21" s="23"/>
      <c r="TCG21" s="16"/>
      <c r="TCH21" s="23"/>
      <c r="TCI21" s="16"/>
      <c r="TCJ21" s="23"/>
      <c r="TCK21" s="16"/>
      <c r="TCL21" s="23"/>
      <c r="TCM21" s="16"/>
      <c r="TCN21" s="23"/>
      <c r="TCO21" s="16"/>
      <c r="TCP21" s="23"/>
      <c r="TCQ21" s="16"/>
      <c r="TCR21" s="23"/>
      <c r="TCS21" s="16"/>
      <c r="TCT21" s="23"/>
      <c r="TCU21" s="16"/>
      <c r="TCV21" s="23"/>
      <c r="TCW21" s="16"/>
      <c r="TCX21" s="23"/>
      <c r="TCY21" s="16"/>
      <c r="TCZ21" s="23"/>
      <c r="TDA21" s="16"/>
      <c r="TDB21" s="23"/>
      <c r="TDC21" s="16"/>
      <c r="TDD21" s="23"/>
      <c r="TDE21" s="16"/>
      <c r="TDF21" s="23"/>
      <c r="TDG21" s="16"/>
      <c r="TDH21" s="23"/>
      <c r="TDI21" s="16"/>
      <c r="TDJ21" s="23"/>
      <c r="TDK21" s="16"/>
      <c r="TDL21" s="23"/>
      <c r="TDM21" s="16"/>
      <c r="TDN21" s="23"/>
      <c r="TDO21" s="16"/>
      <c r="TDP21" s="23"/>
      <c r="TDQ21" s="16"/>
      <c r="TDR21" s="23"/>
      <c r="TDS21" s="16"/>
      <c r="TDT21" s="23"/>
      <c r="TDU21" s="16"/>
      <c r="TDV21" s="23"/>
      <c r="TDW21" s="16"/>
      <c r="TDX21" s="23"/>
      <c r="TDY21" s="16"/>
      <c r="TDZ21" s="23"/>
      <c r="TEA21" s="16"/>
      <c r="TEB21" s="23"/>
      <c r="TEC21" s="16"/>
      <c r="TED21" s="23"/>
      <c r="TEE21" s="16"/>
      <c r="TEF21" s="23"/>
      <c r="TEG21" s="16"/>
      <c r="TEH21" s="23"/>
      <c r="TEI21" s="16"/>
      <c r="TEJ21" s="23"/>
      <c r="TEK21" s="16"/>
      <c r="TEL21" s="23"/>
      <c r="TEM21" s="16"/>
      <c r="TEN21" s="23"/>
      <c r="TEO21" s="16"/>
      <c r="TEP21" s="23"/>
      <c r="TEQ21" s="16"/>
      <c r="TER21" s="23"/>
      <c r="TES21" s="16"/>
      <c r="TET21" s="23"/>
      <c r="TEU21" s="16"/>
      <c r="TEV21" s="23"/>
      <c r="TEW21" s="16"/>
      <c r="TEX21" s="23"/>
      <c r="TEY21" s="16"/>
      <c r="TEZ21" s="23"/>
      <c r="TFA21" s="16"/>
      <c r="TFB21" s="23"/>
      <c r="TFC21" s="16"/>
      <c r="TFD21" s="23"/>
      <c r="TFE21" s="16"/>
      <c r="TFF21" s="23"/>
      <c r="TFG21" s="16"/>
      <c r="TFH21" s="23"/>
      <c r="TFI21" s="16"/>
      <c r="TFJ21" s="23"/>
      <c r="TFK21" s="16"/>
      <c r="TFL21" s="23"/>
      <c r="TFM21" s="16"/>
      <c r="TFN21" s="23"/>
      <c r="TFO21" s="16"/>
      <c r="TFP21" s="23"/>
      <c r="TFQ21" s="16"/>
      <c r="TFR21" s="23"/>
      <c r="TFS21" s="16"/>
      <c r="TFT21" s="23"/>
      <c r="TFU21" s="16"/>
      <c r="TFV21" s="23"/>
      <c r="TFW21" s="16"/>
      <c r="TFX21" s="23"/>
      <c r="TFY21" s="16"/>
      <c r="TFZ21" s="23"/>
      <c r="TGA21" s="16"/>
      <c r="TGB21" s="23"/>
      <c r="TGC21" s="16"/>
      <c r="TGD21" s="23"/>
      <c r="TGE21" s="16"/>
      <c r="TGF21" s="23"/>
      <c r="TGG21" s="16"/>
      <c r="TGH21" s="23"/>
      <c r="TGI21" s="16"/>
      <c r="TGJ21" s="23"/>
      <c r="TGK21" s="16"/>
      <c r="TGL21" s="23"/>
      <c r="TGM21" s="16"/>
      <c r="TGN21" s="23"/>
      <c r="TGO21" s="16"/>
      <c r="TGP21" s="23"/>
      <c r="TGQ21" s="16"/>
      <c r="TGR21" s="23"/>
      <c r="TGS21" s="16"/>
      <c r="TGT21" s="23"/>
      <c r="TGU21" s="16"/>
      <c r="TGV21" s="23"/>
      <c r="TGW21" s="16"/>
      <c r="TGX21" s="23"/>
      <c r="TGY21" s="16"/>
      <c r="TGZ21" s="23"/>
      <c r="THA21" s="16"/>
      <c r="THB21" s="23"/>
      <c r="THC21" s="16"/>
      <c r="THD21" s="23"/>
      <c r="THE21" s="16"/>
      <c r="THF21" s="23"/>
      <c r="THG21" s="16"/>
      <c r="THH21" s="23"/>
      <c r="THI21" s="16"/>
      <c r="THJ21" s="23"/>
      <c r="THK21" s="16"/>
      <c r="THL21" s="23"/>
      <c r="THM21" s="16"/>
      <c r="THN21" s="23"/>
      <c r="THO21" s="16"/>
      <c r="THP21" s="23"/>
      <c r="THQ21" s="16"/>
      <c r="THR21" s="23"/>
      <c r="THS21" s="16"/>
      <c r="THT21" s="23"/>
      <c r="THU21" s="16"/>
      <c r="THV21" s="23"/>
      <c r="THW21" s="16"/>
      <c r="THX21" s="23"/>
      <c r="THY21" s="16"/>
      <c r="THZ21" s="23"/>
      <c r="TIA21" s="16"/>
      <c r="TIB21" s="23"/>
      <c r="TIC21" s="16"/>
      <c r="TID21" s="23"/>
      <c r="TIE21" s="16"/>
      <c r="TIF21" s="23"/>
      <c r="TIG21" s="16"/>
      <c r="TIH21" s="23"/>
      <c r="TII21" s="16"/>
      <c r="TIJ21" s="23"/>
      <c r="TIK21" s="16"/>
      <c r="TIL21" s="23"/>
      <c r="TIM21" s="16"/>
      <c r="TIN21" s="23"/>
      <c r="TIO21" s="16"/>
      <c r="TIP21" s="23"/>
      <c r="TIQ21" s="16"/>
      <c r="TIR21" s="23"/>
      <c r="TIS21" s="16"/>
      <c r="TIT21" s="23"/>
      <c r="TIU21" s="16"/>
      <c r="TIV21" s="23"/>
      <c r="TIW21" s="16"/>
      <c r="TIX21" s="23"/>
      <c r="TIY21" s="16"/>
      <c r="TIZ21" s="23"/>
      <c r="TJA21" s="16"/>
      <c r="TJB21" s="23"/>
      <c r="TJC21" s="16"/>
      <c r="TJD21" s="23"/>
      <c r="TJE21" s="16"/>
      <c r="TJF21" s="23"/>
      <c r="TJG21" s="16"/>
      <c r="TJH21" s="23"/>
      <c r="TJI21" s="16"/>
      <c r="TJJ21" s="23"/>
      <c r="TJK21" s="16"/>
      <c r="TJL21" s="23"/>
      <c r="TJM21" s="16"/>
      <c r="TJN21" s="23"/>
      <c r="TJO21" s="16"/>
      <c r="TJP21" s="23"/>
      <c r="TJQ21" s="16"/>
      <c r="TJR21" s="23"/>
      <c r="TJS21" s="16"/>
      <c r="TJT21" s="23"/>
      <c r="TJU21" s="16"/>
      <c r="TJV21" s="23"/>
      <c r="TJW21" s="16"/>
      <c r="TJX21" s="23"/>
      <c r="TJY21" s="16"/>
      <c r="TJZ21" s="23"/>
      <c r="TKA21" s="16"/>
      <c r="TKB21" s="23"/>
      <c r="TKC21" s="16"/>
      <c r="TKD21" s="23"/>
      <c r="TKE21" s="16"/>
      <c r="TKF21" s="23"/>
      <c r="TKG21" s="16"/>
      <c r="TKH21" s="23"/>
      <c r="TKI21" s="16"/>
      <c r="TKJ21" s="23"/>
      <c r="TKK21" s="16"/>
      <c r="TKL21" s="23"/>
      <c r="TKM21" s="16"/>
      <c r="TKN21" s="23"/>
      <c r="TKO21" s="16"/>
      <c r="TKP21" s="23"/>
      <c r="TKQ21" s="16"/>
      <c r="TKR21" s="23"/>
      <c r="TKS21" s="16"/>
      <c r="TKT21" s="23"/>
      <c r="TKU21" s="16"/>
      <c r="TKV21" s="23"/>
      <c r="TKW21" s="16"/>
      <c r="TKX21" s="23"/>
      <c r="TKY21" s="16"/>
      <c r="TKZ21" s="23"/>
      <c r="TLA21" s="16"/>
      <c r="TLB21" s="23"/>
      <c r="TLC21" s="16"/>
      <c r="TLD21" s="23"/>
      <c r="TLE21" s="16"/>
      <c r="TLF21" s="23"/>
      <c r="TLG21" s="16"/>
      <c r="TLH21" s="23"/>
      <c r="TLI21" s="16"/>
      <c r="TLJ21" s="23"/>
      <c r="TLK21" s="16"/>
      <c r="TLL21" s="23"/>
      <c r="TLM21" s="16"/>
      <c r="TLN21" s="23"/>
      <c r="TLO21" s="16"/>
      <c r="TLP21" s="23"/>
      <c r="TLQ21" s="16"/>
      <c r="TLR21" s="23"/>
      <c r="TLS21" s="16"/>
      <c r="TLT21" s="23"/>
      <c r="TLU21" s="16"/>
      <c r="TLV21" s="23"/>
      <c r="TLW21" s="16"/>
      <c r="TLX21" s="23"/>
      <c r="TLY21" s="16"/>
      <c r="TLZ21" s="23"/>
      <c r="TMA21" s="16"/>
      <c r="TMB21" s="23"/>
      <c r="TMC21" s="16"/>
      <c r="TMD21" s="23"/>
      <c r="TME21" s="16"/>
      <c r="TMF21" s="23"/>
      <c r="TMG21" s="16"/>
      <c r="TMH21" s="23"/>
      <c r="TMI21" s="16"/>
      <c r="TMJ21" s="23"/>
      <c r="TMK21" s="16"/>
      <c r="TML21" s="23"/>
      <c r="TMM21" s="16"/>
      <c r="TMN21" s="23"/>
      <c r="TMO21" s="16"/>
      <c r="TMP21" s="23"/>
      <c r="TMQ21" s="16"/>
      <c r="TMR21" s="23"/>
      <c r="TMS21" s="16"/>
      <c r="TMT21" s="23"/>
      <c r="TMU21" s="16"/>
      <c r="TMV21" s="23"/>
      <c r="TMW21" s="16"/>
      <c r="TMX21" s="23"/>
      <c r="TMY21" s="16"/>
      <c r="TMZ21" s="23"/>
      <c r="TNA21" s="16"/>
      <c r="TNB21" s="23"/>
      <c r="TNC21" s="16"/>
      <c r="TND21" s="23"/>
      <c r="TNE21" s="16"/>
      <c r="TNF21" s="23"/>
      <c r="TNG21" s="16"/>
      <c r="TNH21" s="23"/>
      <c r="TNI21" s="16"/>
      <c r="TNJ21" s="23"/>
      <c r="TNK21" s="16"/>
      <c r="TNL21" s="23"/>
      <c r="TNM21" s="16"/>
      <c r="TNN21" s="23"/>
      <c r="TNO21" s="16"/>
      <c r="TNP21" s="23"/>
      <c r="TNQ21" s="16"/>
      <c r="TNR21" s="23"/>
      <c r="TNS21" s="16"/>
      <c r="TNT21" s="23"/>
      <c r="TNU21" s="16"/>
      <c r="TNV21" s="23"/>
      <c r="TNW21" s="16"/>
      <c r="TNX21" s="23"/>
      <c r="TNY21" s="16"/>
      <c r="TNZ21" s="23"/>
      <c r="TOA21" s="16"/>
      <c r="TOB21" s="23"/>
      <c r="TOC21" s="16"/>
      <c r="TOD21" s="23"/>
      <c r="TOE21" s="16"/>
      <c r="TOF21" s="23"/>
      <c r="TOG21" s="16"/>
      <c r="TOH21" s="23"/>
      <c r="TOI21" s="16"/>
      <c r="TOJ21" s="23"/>
      <c r="TOK21" s="16"/>
      <c r="TOL21" s="23"/>
      <c r="TOM21" s="16"/>
      <c r="TON21" s="23"/>
      <c r="TOO21" s="16"/>
      <c r="TOP21" s="23"/>
      <c r="TOQ21" s="16"/>
      <c r="TOR21" s="23"/>
      <c r="TOS21" s="16"/>
      <c r="TOT21" s="23"/>
      <c r="TOU21" s="16"/>
      <c r="TOV21" s="23"/>
      <c r="TOW21" s="16"/>
      <c r="TOX21" s="23"/>
      <c r="TOY21" s="16"/>
      <c r="TOZ21" s="23"/>
      <c r="TPA21" s="16"/>
      <c r="TPB21" s="23"/>
      <c r="TPC21" s="16"/>
      <c r="TPD21" s="23"/>
      <c r="TPE21" s="16"/>
      <c r="TPF21" s="23"/>
      <c r="TPG21" s="16"/>
      <c r="TPH21" s="23"/>
      <c r="TPI21" s="16"/>
      <c r="TPJ21" s="23"/>
      <c r="TPK21" s="16"/>
      <c r="TPL21" s="23"/>
      <c r="TPM21" s="16"/>
      <c r="TPN21" s="23"/>
      <c r="TPO21" s="16"/>
      <c r="TPP21" s="23"/>
      <c r="TPQ21" s="16"/>
      <c r="TPR21" s="23"/>
      <c r="TPS21" s="16"/>
      <c r="TPT21" s="23"/>
      <c r="TPU21" s="16"/>
      <c r="TPV21" s="23"/>
      <c r="TPW21" s="16"/>
      <c r="TPX21" s="23"/>
      <c r="TPY21" s="16"/>
      <c r="TPZ21" s="23"/>
      <c r="TQA21" s="16"/>
      <c r="TQB21" s="23"/>
      <c r="TQC21" s="16"/>
      <c r="TQD21" s="23"/>
      <c r="TQE21" s="16"/>
      <c r="TQF21" s="23"/>
      <c r="TQG21" s="16"/>
      <c r="TQH21" s="23"/>
      <c r="TQI21" s="16"/>
      <c r="TQJ21" s="23"/>
      <c r="TQK21" s="16"/>
      <c r="TQL21" s="23"/>
      <c r="TQM21" s="16"/>
      <c r="TQN21" s="23"/>
      <c r="TQO21" s="16"/>
      <c r="TQP21" s="23"/>
      <c r="TQQ21" s="16"/>
      <c r="TQR21" s="23"/>
      <c r="TQS21" s="16"/>
      <c r="TQT21" s="23"/>
      <c r="TQU21" s="16"/>
      <c r="TQV21" s="23"/>
      <c r="TQW21" s="16"/>
      <c r="TQX21" s="23"/>
      <c r="TQY21" s="16"/>
      <c r="TQZ21" s="23"/>
      <c r="TRA21" s="16"/>
      <c r="TRB21" s="23"/>
      <c r="TRC21" s="16"/>
      <c r="TRD21" s="23"/>
      <c r="TRE21" s="16"/>
      <c r="TRF21" s="23"/>
      <c r="TRG21" s="16"/>
      <c r="TRH21" s="23"/>
      <c r="TRI21" s="16"/>
      <c r="TRJ21" s="23"/>
      <c r="TRK21" s="16"/>
      <c r="TRL21" s="23"/>
      <c r="TRM21" s="16"/>
      <c r="TRN21" s="23"/>
      <c r="TRO21" s="16"/>
      <c r="TRP21" s="23"/>
      <c r="TRQ21" s="16"/>
      <c r="TRR21" s="23"/>
      <c r="TRS21" s="16"/>
      <c r="TRT21" s="23"/>
      <c r="TRU21" s="16"/>
      <c r="TRV21" s="23"/>
      <c r="TRW21" s="16"/>
      <c r="TRX21" s="23"/>
      <c r="TRY21" s="16"/>
      <c r="TRZ21" s="23"/>
      <c r="TSA21" s="16"/>
      <c r="TSB21" s="23"/>
      <c r="TSC21" s="16"/>
      <c r="TSD21" s="23"/>
      <c r="TSE21" s="16"/>
      <c r="TSF21" s="23"/>
      <c r="TSG21" s="16"/>
      <c r="TSH21" s="23"/>
      <c r="TSI21" s="16"/>
      <c r="TSJ21" s="23"/>
      <c r="TSK21" s="16"/>
      <c r="TSL21" s="23"/>
      <c r="TSM21" s="16"/>
      <c r="TSN21" s="23"/>
      <c r="TSO21" s="16"/>
      <c r="TSP21" s="23"/>
      <c r="TSQ21" s="16"/>
      <c r="TSR21" s="23"/>
      <c r="TSS21" s="16"/>
      <c r="TST21" s="23"/>
      <c r="TSU21" s="16"/>
      <c r="TSV21" s="23"/>
      <c r="TSW21" s="16"/>
      <c r="TSX21" s="23"/>
      <c r="TSY21" s="16"/>
      <c r="TSZ21" s="23"/>
      <c r="TTA21" s="16"/>
      <c r="TTB21" s="23"/>
      <c r="TTC21" s="16"/>
      <c r="TTD21" s="23"/>
      <c r="TTE21" s="16"/>
      <c r="TTF21" s="23"/>
      <c r="TTG21" s="16"/>
      <c r="TTH21" s="23"/>
      <c r="TTI21" s="16"/>
      <c r="TTJ21" s="23"/>
      <c r="TTK21" s="16"/>
      <c r="TTL21" s="23"/>
      <c r="TTM21" s="16"/>
      <c r="TTN21" s="23"/>
      <c r="TTO21" s="16"/>
      <c r="TTP21" s="23"/>
      <c r="TTQ21" s="16"/>
      <c r="TTR21" s="23"/>
      <c r="TTS21" s="16"/>
      <c r="TTT21" s="23"/>
      <c r="TTU21" s="16"/>
      <c r="TTV21" s="23"/>
      <c r="TTW21" s="16"/>
      <c r="TTX21" s="23"/>
      <c r="TTY21" s="16"/>
      <c r="TTZ21" s="23"/>
      <c r="TUA21" s="16"/>
      <c r="TUB21" s="23"/>
      <c r="TUC21" s="16"/>
      <c r="TUD21" s="23"/>
      <c r="TUE21" s="16"/>
      <c r="TUF21" s="23"/>
      <c r="TUG21" s="16"/>
      <c r="TUH21" s="23"/>
      <c r="TUI21" s="16"/>
      <c r="TUJ21" s="23"/>
      <c r="TUK21" s="16"/>
      <c r="TUL21" s="23"/>
      <c r="TUM21" s="16"/>
      <c r="TUN21" s="23"/>
      <c r="TUO21" s="16"/>
      <c r="TUP21" s="23"/>
      <c r="TUQ21" s="16"/>
      <c r="TUR21" s="23"/>
      <c r="TUS21" s="16"/>
      <c r="TUT21" s="23"/>
      <c r="TUU21" s="16"/>
      <c r="TUV21" s="23"/>
      <c r="TUW21" s="16"/>
      <c r="TUX21" s="23"/>
      <c r="TUY21" s="16"/>
      <c r="TUZ21" s="23"/>
      <c r="TVA21" s="16"/>
      <c r="TVB21" s="23"/>
      <c r="TVC21" s="16"/>
      <c r="TVD21" s="23"/>
      <c r="TVE21" s="16"/>
      <c r="TVF21" s="23"/>
      <c r="TVG21" s="16"/>
      <c r="TVH21" s="23"/>
      <c r="TVI21" s="16"/>
      <c r="TVJ21" s="23"/>
      <c r="TVK21" s="16"/>
      <c r="TVL21" s="23"/>
      <c r="TVM21" s="16"/>
      <c r="TVN21" s="23"/>
      <c r="TVO21" s="16"/>
      <c r="TVP21" s="23"/>
      <c r="TVQ21" s="16"/>
      <c r="TVR21" s="23"/>
      <c r="TVS21" s="16"/>
      <c r="TVT21" s="23"/>
      <c r="TVU21" s="16"/>
      <c r="TVV21" s="23"/>
      <c r="TVW21" s="16"/>
      <c r="TVX21" s="23"/>
      <c r="TVY21" s="16"/>
      <c r="TVZ21" s="23"/>
      <c r="TWA21" s="16"/>
      <c r="TWB21" s="23"/>
      <c r="TWC21" s="16"/>
      <c r="TWD21" s="23"/>
      <c r="TWE21" s="16"/>
      <c r="TWF21" s="23"/>
      <c r="TWG21" s="16"/>
      <c r="TWH21" s="23"/>
      <c r="TWI21" s="16"/>
      <c r="TWJ21" s="23"/>
      <c r="TWK21" s="16"/>
      <c r="TWL21" s="23"/>
      <c r="TWM21" s="16"/>
      <c r="TWN21" s="23"/>
      <c r="TWO21" s="16"/>
      <c r="TWP21" s="23"/>
      <c r="TWQ21" s="16"/>
      <c r="TWR21" s="23"/>
      <c r="TWS21" s="16"/>
      <c r="TWT21" s="23"/>
      <c r="TWU21" s="16"/>
      <c r="TWV21" s="23"/>
      <c r="TWW21" s="16"/>
      <c r="TWX21" s="23"/>
      <c r="TWY21" s="16"/>
      <c r="TWZ21" s="23"/>
      <c r="TXA21" s="16"/>
      <c r="TXB21" s="23"/>
      <c r="TXC21" s="16"/>
      <c r="TXD21" s="23"/>
      <c r="TXE21" s="16"/>
      <c r="TXF21" s="23"/>
      <c r="TXG21" s="16"/>
      <c r="TXH21" s="23"/>
      <c r="TXI21" s="16"/>
      <c r="TXJ21" s="23"/>
      <c r="TXK21" s="16"/>
      <c r="TXL21" s="23"/>
      <c r="TXM21" s="16"/>
      <c r="TXN21" s="23"/>
      <c r="TXO21" s="16"/>
      <c r="TXP21" s="23"/>
      <c r="TXQ21" s="16"/>
      <c r="TXR21" s="23"/>
      <c r="TXS21" s="16"/>
      <c r="TXT21" s="23"/>
      <c r="TXU21" s="16"/>
      <c r="TXV21" s="23"/>
      <c r="TXW21" s="16"/>
      <c r="TXX21" s="23"/>
      <c r="TXY21" s="16"/>
      <c r="TXZ21" s="23"/>
      <c r="TYA21" s="16"/>
      <c r="TYB21" s="23"/>
      <c r="TYC21" s="16"/>
      <c r="TYD21" s="23"/>
      <c r="TYE21" s="16"/>
      <c r="TYF21" s="23"/>
      <c r="TYG21" s="16"/>
      <c r="TYH21" s="23"/>
      <c r="TYI21" s="16"/>
      <c r="TYJ21" s="23"/>
      <c r="TYK21" s="16"/>
      <c r="TYL21" s="23"/>
      <c r="TYM21" s="16"/>
      <c r="TYN21" s="23"/>
      <c r="TYO21" s="16"/>
      <c r="TYP21" s="23"/>
      <c r="TYQ21" s="16"/>
      <c r="TYR21" s="23"/>
      <c r="TYS21" s="16"/>
      <c r="TYT21" s="23"/>
      <c r="TYU21" s="16"/>
      <c r="TYV21" s="23"/>
      <c r="TYW21" s="16"/>
      <c r="TYX21" s="23"/>
      <c r="TYY21" s="16"/>
      <c r="TYZ21" s="23"/>
      <c r="TZA21" s="16"/>
      <c r="TZB21" s="23"/>
      <c r="TZC21" s="16"/>
      <c r="TZD21" s="23"/>
      <c r="TZE21" s="16"/>
      <c r="TZF21" s="23"/>
      <c r="TZG21" s="16"/>
      <c r="TZH21" s="23"/>
      <c r="TZI21" s="16"/>
      <c r="TZJ21" s="23"/>
      <c r="TZK21" s="16"/>
      <c r="TZL21" s="23"/>
      <c r="TZM21" s="16"/>
      <c r="TZN21" s="23"/>
      <c r="TZO21" s="16"/>
      <c r="TZP21" s="23"/>
      <c r="TZQ21" s="16"/>
      <c r="TZR21" s="23"/>
      <c r="TZS21" s="16"/>
      <c r="TZT21" s="23"/>
      <c r="TZU21" s="16"/>
      <c r="TZV21" s="23"/>
      <c r="TZW21" s="16"/>
      <c r="TZX21" s="23"/>
      <c r="TZY21" s="16"/>
      <c r="TZZ21" s="23"/>
      <c r="UAA21" s="16"/>
      <c r="UAB21" s="23"/>
      <c r="UAC21" s="16"/>
      <c r="UAD21" s="23"/>
      <c r="UAE21" s="16"/>
      <c r="UAF21" s="23"/>
      <c r="UAG21" s="16"/>
      <c r="UAH21" s="23"/>
      <c r="UAI21" s="16"/>
      <c r="UAJ21" s="23"/>
      <c r="UAK21" s="16"/>
      <c r="UAL21" s="23"/>
      <c r="UAM21" s="16"/>
      <c r="UAN21" s="23"/>
      <c r="UAO21" s="16"/>
      <c r="UAP21" s="23"/>
      <c r="UAQ21" s="16"/>
      <c r="UAR21" s="23"/>
      <c r="UAS21" s="16"/>
      <c r="UAT21" s="23"/>
      <c r="UAU21" s="16"/>
      <c r="UAV21" s="23"/>
      <c r="UAW21" s="16"/>
      <c r="UAX21" s="23"/>
      <c r="UAY21" s="16"/>
      <c r="UAZ21" s="23"/>
      <c r="UBA21" s="16"/>
      <c r="UBB21" s="23"/>
      <c r="UBC21" s="16"/>
      <c r="UBD21" s="23"/>
      <c r="UBE21" s="16"/>
      <c r="UBF21" s="23"/>
      <c r="UBG21" s="16"/>
      <c r="UBH21" s="23"/>
      <c r="UBI21" s="16"/>
      <c r="UBJ21" s="23"/>
      <c r="UBK21" s="16"/>
      <c r="UBL21" s="23"/>
      <c r="UBM21" s="16"/>
      <c r="UBN21" s="23"/>
      <c r="UBO21" s="16"/>
      <c r="UBP21" s="23"/>
      <c r="UBQ21" s="16"/>
      <c r="UBR21" s="23"/>
      <c r="UBS21" s="16"/>
      <c r="UBT21" s="23"/>
      <c r="UBU21" s="16"/>
      <c r="UBV21" s="23"/>
      <c r="UBW21" s="16"/>
      <c r="UBX21" s="23"/>
      <c r="UBY21" s="16"/>
      <c r="UBZ21" s="23"/>
      <c r="UCA21" s="16"/>
      <c r="UCB21" s="23"/>
      <c r="UCC21" s="16"/>
      <c r="UCD21" s="23"/>
      <c r="UCE21" s="16"/>
      <c r="UCF21" s="23"/>
      <c r="UCG21" s="16"/>
      <c r="UCH21" s="23"/>
      <c r="UCI21" s="16"/>
      <c r="UCJ21" s="23"/>
      <c r="UCK21" s="16"/>
      <c r="UCL21" s="23"/>
      <c r="UCM21" s="16"/>
      <c r="UCN21" s="23"/>
      <c r="UCO21" s="16"/>
      <c r="UCP21" s="23"/>
      <c r="UCQ21" s="16"/>
      <c r="UCR21" s="23"/>
      <c r="UCS21" s="16"/>
      <c r="UCT21" s="23"/>
      <c r="UCU21" s="16"/>
      <c r="UCV21" s="23"/>
      <c r="UCW21" s="16"/>
      <c r="UCX21" s="23"/>
      <c r="UCY21" s="16"/>
      <c r="UCZ21" s="23"/>
      <c r="UDA21" s="16"/>
      <c r="UDB21" s="23"/>
      <c r="UDC21" s="16"/>
      <c r="UDD21" s="23"/>
      <c r="UDE21" s="16"/>
      <c r="UDF21" s="23"/>
      <c r="UDG21" s="16"/>
      <c r="UDH21" s="23"/>
      <c r="UDI21" s="16"/>
      <c r="UDJ21" s="23"/>
      <c r="UDK21" s="16"/>
      <c r="UDL21" s="23"/>
      <c r="UDM21" s="16"/>
      <c r="UDN21" s="23"/>
      <c r="UDO21" s="16"/>
      <c r="UDP21" s="23"/>
      <c r="UDQ21" s="16"/>
      <c r="UDR21" s="23"/>
      <c r="UDS21" s="16"/>
      <c r="UDT21" s="23"/>
      <c r="UDU21" s="16"/>
      <c r="UDV21" s="23"/>
      <c r="UDW21" s="16"/>
      <c r="UDX21" s="23"/>
      <c r="UDY21" s="16"/>
      <c r="UDZ21" s="23"/>
      <c r="UEA21" s="16"/>
      <c r="UEB21" s="23"/>
      <c r="UEC21" s="16"/>
      <c r="UED21" s="23"/>
      <c r="UEE21" s="16"/>
      <c r="UEF21" s="23"/>
      <c r="UEG21" s="16"/>
      <c r="UEH21" s="23"/>
      <c r="UEI21" s="16"/>
      <c r="UEJ21" s="23"/>
      <c r="UEK21" s="16"/>
      <c r="UEL21" s="23"/>
      <c r="UEM21" s="16"/>
      <c r="UEN21" s="23"/>
      <c r="UEO21" s="16"/>
      <c r="UEP21" s="23"/>
      <c r="UEQ21" s="16"/>
      <c r="UER21" s="23"/>
      <c r="UES21" s="16"/>
      <c r="UET21" s="23"/>
      <c r="UEU21" s="16"/>
      <c r="UEV21" s="23"/>
      <c r="UEW21" s="16"/>
      <c r="UEX21" s="23"/>
      <c r="UEY21" s="16"/>
      <c r="UEZ21" s="23"/>
      <c r="UFA21" s="16"/>
      <c r="UFB21" s="23"/>
      <c r="UFC21" s="16"/>
      <c r="UFD21" s="23"/>
      <c r="UFE21" s="16"/>
      <c r="UFF21" s="23"/>
      <c r="UFG21" s="16"/>
      <c r="UFH21" s="23"/>
      <c r="UFI21" s="16"/>
      <c r="UFJ21" s="23"/>
      <c r="UFK21" s="16"/>
      <c r="UFL21" s="23"/>
      <c r="UFM21" s="16"/>
      <c r="UFN21" s="23"/>
      <c r="UFO21" s="16"/>
      <c r="UFP21" s="23"/>
      <c r="UFQ21" s="16"/>
      <c r="UFR21" s="23"/>
      <c r="UFS21" s="16"/>
      <c r="UFT21" s="23"/>
      <c r="UFU21" s="16"/>
      <c r="UFV21" s="23"/>
      <c r="UFW21" s="16"/>
      <c r="UFX21" s="23"/>
      <c r="UFY21" s="16"/>
      <c r="UFZ21" s="23"/>
      <c r="UGA21" s="16"/>
      <c r="UGB21" s="23"/>
      <c r="UGC21" s="16"/>
      <c r="UGD21" s="23"/>
      <c r="UGE21" s="16"/>
      <c r="UGF21" s="23"/>
      <c r="UGG21" s="16"/>
      <c r="UGH21" s="23"/>
      <c r="UGI21" s="16"/>
      <c r="UGJ21" s="23"/>
      <c r="UGK21" s="16"/>
      <c r="UGL21" s="23"/>
      <c r="UGM21" s="16"/>
      <c r="UGN21" s="23"/>
      <c r="UGO21" s="16"/>
      <c r="UGP21" s="23"/>
      <c r="UGQ21" s="16"/>
      <c r="UGR21" s="23"/>
      <c r="UGS21" s="16"/>
      <c r="UGT21" s="23"/>
      <c r="UGU21" s="16"/>
      <c r="UGV21" s="23"/>
      <c r="UGW21" s="16"/>
      <c r="UGX21" s="23"/>
      <c r="UGY21" s="16"/>
      <c r="UGZ21" s="23"/>
      <c r="UHA21" s="16"/>
      <c r="UHB21" s="23"/>
      <c r="UHC21" s="16"/>
      <c r="UHD21" s="23"/>
      <c r="UHE21" s="16"/>
      <c r="UHF21" s="23"/>
      <c r="UHG21" s="16"/>
      <c r="UHH21" s="23"/>
      <c r="UHI21" s="16"/>
      <c r="UHJ21" s="23"/>
      <c r="UHK21" s="16"/>
      <c r="UHL21" s="23"/>
      <c r="UHM21" s="16"/>
      <c r="UHN21" s="23"/>
      <c r="UHO21" s="16"/>
      <c r="UHP21" s="23"/>
      <c r="UHQ21" s="16"/>
      <c r="UHR21" s="23"/>
      <c r="UHS21" s="16"/>
      <c r="UHT21" s="23"/>
      <c r="UHU21" s="16"/>
      <c r="UHV21" s="23"/>
      <c r="UHW21" s="16"/>
      <c r="UHX21" s="23"/>
      <c r="UHY21" s="16"/>
      <c r="UHZ21" s="23"/>
      <c r="UIA21" s="16"/>
      <c r="UIB21" s="23"/>
      <c r="UIC21" s="16"/>
      <c r="UID21" s="23"/>
      <c r="UIE21" s="16"/>
      <c r="UIF21" s="23"/>
      <c r="UIG21" s="16"/>
      <c r="UIH21" s="23"/>
      <c r="UII21" s="16"/>
      <c r="UIJ21" s="23"/>
      <c r="UIK21" s="16"/>
      <c r="UIL21" s="23"/>
      <c r="UIM21" s="16"/>
      <c r="UIN21" s="23"/>
      <c r="UIO21" s="16"/>
      <c r="UIP21" s="23"/>
      <c r="UIQ21" s="16"/>
      <c r="UIR21" s="23"/>
      <c r="UIS21" s="16"/>
      <c r="UIT21" s="23"/>
      <c r="UIU21" s="16"/>
      <c r="UIV21" s="23"/>
      <c r="UIW21" s="16"/>
      <c r="UIX21" s="23"/>
      <c r="UIY21" s="16"/>
      <c r="UIZ21" s="23"/>
      <c r="UJA21" s="16"/>
      <c r="UJB21" s="23"/>
      <c r="UJC21" s="16"/>
      <c r="UJD21" s="23"/>
      <c r="UJE21" s="16"/>
      <c r="UJF21" s="23"/>
      <c r="UJG21" s="16"/>
      <c r="UJH21" s="23"/>
      <c r="UJI21" s="16"/>
      <c r="UJJ21" s="23"/>
      <c r="UJK21" s="16"/>
      <c r="UJL21" s="23"/>
      <c r="UJM21" s="16"/>
      <c r="UJN21" s="23"/>
      <c r="UJO21" s="16"/>
      <c r="UJP21" s="23"/>
      <c r="UJQ21" s="16"/>
      <c r="UJR21" s="23"/>
      <c r="UJS21" s="16"/>
      <c r="UJT21" s="23"/>
      <c r="UJU21" s="16"/>
      <c r="UJV21" s="23"/>
      <c r="UJW21" s="16"/>
      <c r="UJX21" s="23"/>
      <c r="UJY21" s="16"/>
      <c r="UJZ21" s="23"/>
      <c r="UKA21" s="16"/>
      <c r="UKB21" s="23"/>
      <c r="UKC21" s="16"/>
      <c r="UKD21" s="23"/>
      <c r="UKE21" s="16"/>
      <c r="UKF21" s="23"/>
      <c r="UKG21" s="16"/>
      <c r="UKH21" s="23"/>
      <c r="UKI21" s="16"/>
      <c r="UKJ21" s="23"/>
      <c r="UKK21" s="16"/>
      <c r="UKL21" s="23"/>
      <c r="UKM21" s="16"/>
      <c r="UKN21" s="23"/>
      <c r="UKO21" s="16"/>
      <c r="UKP21" s="23"/>
      <c r="UKQ21" s="16"/>
      <c r="UKR21" s="23"/>
      <c r="UKS21" s="16"/>
      <c r="UKT21" s="23"/>
      <c r="UKU21" s="16"/>
      <c r="UKV21" s="23"/>
      <c r="UKW21" s="16"/>
      <c r="UKX21" s="23"/>
      <c r="UKY21" s="16"/>
      <c r="UKZ21" s="23"/>
      <c r="ULA21" s="16"/>
      <c r="ULB21" s="23"/>
      <c r="ULC21" s="16"/>
      <c r="ULD21" s="23"/>
      <c r="ULE21" s="16"/>
      <c r="ULF21" s="23"/>
      <c r="ULG21" s="16"/>
      <c r="ULH21" s="23"/>
      <c r="ULI21" s="16"/>
      <c r="ULJ21" s="23"/>
      <c r="ULK21" s="16"/>
      <c r="ULL21" s="23"/>
      <c r="ULM21" s="16"/>
      <c r="ULN21" s="23"/>
      <c r="ULO21" s="16"/>
      <c r="ULP21" s="23"/>
      <c r="ULQ21" s="16"/>
      <c r="ULR21" s="23"/>
      <c r="ULS21" s="16"/>
      <c r="ULT21" s="23"/>
      <c r="ULU21" s="16"/>
      <c r="ULV21" s="23"/>
      <c r="ULW21" s="16"/>
      <c r="ULX21" s="23"/>
      <c r="ULY21" s="16"/>
      <c r="ULZ21" s="23"/>
      <c r="UMA21" s="16"/>
      <c r="UMB21" s="23"/>
      <c r="UMC21" s="16"/>
      <c r="UMD21" s="23"/>
      <c r="UME21" s="16"/>
      <c r="UMF21" s="23"/>
      <c r="UMG21" s="16"/>
      <c r="UMH21" s="23"/>
      <c r="UMI21" s="16"/>
      <c r="UMJ21" s="23"/>
      <c r="UMK21" s="16"/>
      <c r="UML21" s="23"/>
      <c r="UMM21" s="16"/>
      <c r="UMN21" s="23"/>
      <c r="UMO21" s="16"/>
      <c r="UMP21" s="23"/>
      <c r="UMQ21" s="16"/>
      <c r="UMR21" s="23"/>
      <c r="UMS21" s="16"/>
      <c r="UMT21" s="23"/>
      <c r="UMU21" s="16"/>
      <c r="UMV21" s="23"/>
      <c r="UMW21" s="16"/>
      <c r="UMX21" s="23"/>
      <c r="UMY21" s="16"/>
      <c r="UMZ21" s="23"/>
      <c r="UNA21" s="16"/>
      <c r="UNB21" s="23"/>
      <c r="UNC21" s="16"/>
      <c r="UND21" s="23"/>
      <c r="UNE21" s="16"/>
      <c r="UNF21" s="23"/>
      <c r="UNG21" s="16"/>
      <c r="UNH21" s="23"/>
      <c r="UNI21" s="16"/>
      <c r="UNJ21" s="23"/>
      <c r="UNK21" s="16"/>
      <c r="UNL21" s="23"/>
      <c r="UNM21" s="16"/>
      <c r="UNN21" s="23"/>
      <c r="UNO21" s="16"/>
      <c r="UNP21" s="23"/>
      <c r="UNQ21" s="16"/>
      <c r="UNR21" s="23"/>
      <c r="UNS21" s="16"/>
      <c r="UNT21" s="23"/>
      <c r="UNU21" s="16"/>
      <c r="UNV21" s="23"/>
      <c r="UNW21" s="16"/>
      <c r="UNX21" s="23"/>
      <c r="UNY21" s="16"/>
      <c r="UNZ21" s="23"/>
      <c r="UOA21" s="16"/>
      <c r="UOB21" s="23"/>
      <c r="UOC21" s="16"/>
      <c r="UOD21" s="23"/>
      <c r="UOE21" s="16"/>
      <c r="UOF21" s="23"/>
      <c r="UOG21" s="16"/>
      <c r="UOH21" s="23"/>
      <c r="UOI21" s="16"/>
      <c r="UOJ21" s="23"/>
      <c r="UOK21" s="16"/>
      <c r="UOL21" s="23"/>
      <c r="UOM21" s="16"/>
      <c r="UON21" s="23"/>
      <c r="UOO21" s="16"/>
      <c r="UOP21" s="23"/>
      <c r="UOQ21" s="16"/>
      <c r="UOR21" s="23"/>
      <c r="UOS21" s="16"/>
      <c r="UOT21" s="23"/>
      <c r="UOU21" s="16"/>
      <c r="UOV21" s="23"/>
      <c r="UOW21" s="16"/>
      <c r="UOX21" s="23"/>
      <c r="UOY21" s="16"/>
      <c r="UOZ21" s="23"/>
      <c r="UPA21" s="16"/>
      <c r="UPB21" s="23"/>
      <c r="UPC21" s="16"/>
      <c r="UPD21" s="23"/>
      <c r="UPE21" s="16"/>
      <c r="UPF21" s="23"/>
      <c r="UPG21" s="16"/>
      <c r="UPH21" s="23"/>
      <c r="UPI21" s="16"/>
      <c r="UPJ21" s="23"/>
      <c r="UPK21" s="16"/>
      <c r="UPL21" s="23"/>
      <c r="UPM21" s="16"/>
      <c r="UPN21" s="23"/>
      <c r="UPO21" s="16"/>
      <c r="UPP21" s="23"/>
      <c r="UPQ21" s="16"/>
      <c r="UPR21" s="23"/>
      <c r="UPS21" s="16"/>
      <c r="UPT21" s="23"/>
      <c r="UPU21" s="16"/>
      <c r="UPV21" s="23"/>
      <c r="UPW21" s="16"/>
      <c r="UPX21" s="23"/>
      <c r="UPY21" s="16"/>
      <c r="UPZ21" s="23"/>
      <c r="UQA21" s="16"/>
      <c r="UQB21" s="23"/>
      <c r="UQC21" s="16"/>
      <c r="UQD21" s="23"/>
      <c r="UQE21" s="16"/>
      <c r="UQF21" s="23"/>
      <c r="UQG21" s="16"/>
      <c r="UQH21" s="23"/>
      <c r="UQI21" s="16"/>
      <c r="UQJ21" s="23"/>
      <c r="UQK21" s="16"/>
      <c r="UQL21" s="23"/>
      <c r="UQM21" s="16"/>
      <c r="UQN21" s="23"/>
      <c r="UQO21" s="16"/>
      <c r="UQP21" s="23"/>
      <c r="UQQ21" s="16"/>
      <c r="UQR21" s="23"/>
      <c r="UQS21" s="16"/>
      <c r="UQT21" s="23"/>
      <c r="UQU21" s="16"/>
      <c r="UQV21" s="23"/>
      <c r="UQW21" s="16"/>
      <c r="UQX21" s="23"/>
      <c r="UQY21" s="16"/>
      <c r="UQZ21" s="23"/>
      <c r="URA21" s="16"/>
      <c r="URB21" s="23"/>
      <c r="URC21" s="16"/>
      <c r="URD21" s="23"/>
      <c r="URE21" s="16"/>
      <c r="URF21" s="23"/>
      <c r="URG21" s="16"/>
      <c r="URH21" s="23"/>
      <c r="URI21" s="16"/>
      <c r="URJ21" s="23"/>
      <c r="URK21" s="16"/>
      <c r="URL21" s="23"/>
      <c r="URM21" s="16"/>
      <c r="URN21" s="23"/>
      <c r="URO21" s="16"/>
      <c r="URP21" s="23"/>
      <c r="URQ21" s="16"/>
      <c r="URR21" s="23"/>
      <c r="URS21" s="16"/>
      <c r="URT21" s="23"/>
      <c r="URU21" s="16"/>
      <c r="URV21" s="23"/>
      <c r="URW21" s="16"/>
      <c r="URX21" s="23"/>
      <c r="URY21" s="16"/>
      <c r="URZ21" s="23"/>
      <c r="USA21" s="16"/>
      <c r="USB21" s="23"/>
      <c r="USC21" s="16"/>
      <c r="USD21" s="23"/>
      <c r="USE21" s="16"/>
      <c r="USF21" s="23"/>
      <c r="USG21" s="16"/>
      <c r="USH21" s="23"/>
      <c r="USI21" s="16"/>
      <c r="USJ21" s="23"/>
      <c r="USK21" s="16"/>
      <c r="USL21" s="23"/>
      <c r="USM21" s="16"/>
      <c r="USN21" s="23"/>
      <c r="USO21" s="16"/>
      <c r="USP21" s="23"/>
      <c r="USQ21" s="16"/>
      <c r="USR21" s="23"/>
      <c r="USS21" s="16"/>
      <c r="UST21" s="23"/>
      <c r="USU21" s="16"/>
      <c r="USV21" s="23"/>
      <c r="USW21" s="16"/>
      <c r="USX21" s="23"/>
      <c r="USY21" s="16"/>
      <c r="USZ21" s="23"/>
      <c r="UTA21" s="16"/>
      <c r="UTB21" s="23"/>
      <c r="UTC21" s="16"/>
      <c r="UTD21" s="23"/>
      <c r="UTE21" s="16"/>
      <c r="UTF21" s="23"/>
      <c r="UTG21" s="16"/>
      <c r="UTH21" s="23"/>
      <c r="UTI21" s="16"/>
      <c r="UTJ21" s="23"/>
      <c r="UTK21" s="16"/>
      <c r="UTL21" s="23"/>
      <c r="UTM21" s="16"/>
      <c r="UTN21" s="23"/>
      <c r="UTO21" s="16"/>
      <c r="UTP21" s="23"/>
      <c r="UTQ21" s="16"/>
      <c r="UTR21" s="23"/>
      <c r="UTS21" s="16"/>
      <c r="UTT21" s="23"/>
      <c r="UTU21" s="16"/>
      <c r="UTV21" s="23"/>
      <c r="UTW21" s="16"/>
      <c r="UTX21" s="23"/>
      <c r="UTY21" s="16"/>
      <c r="UTZ21" s="23"/>
      <c r="UUA21" s="16"/>
      <c r="UUB21" s="23"/>
      <c r="UUC21" s="16"/>
      <c r="UUD21" s="23"/>
      <c r="UUE21" s="16"/>
      <c r="UUF21" s="23"/>
      <c r="UUG21" s="16"/>
      <c r="UUH21" s="23"/>
      <c r="UUI21" s="16"/>
      <c r="UUJ21" s="23"/>
      <c r="UUK21" s="16"/>
      <c r="UUL21" s="23"/>
      <c r="UUM21" s="16"/>
      <c r="UUN21" s="23"/>
      <c r="UUO21" s="16"/>
      <c r="UUP21" s="23"/>
      <c r="UUQ21" s="16"/>
      <c r="UUR21" s="23"/>
      <c r="UUS21" s="16"/>
      <c r="UUT21" s="23"/>
      <c r="UUU21" s="16"/>
      <c r="UUV21" s="23"/>
      <c r="UUW21" s="16"/>
      <c r="UUX21" s="23"/>
      <c r="UUY21" s="16"/>
      <c r="UUZ21" s="23"/>
      <c r="UVA21" s="16"/>
      <c r="UVB21" s="23"/>
      <c r="UVC21" s="16"/>
      <c r="UVD21" s="23"/>
      <c r="UVE21" s="16"/>
      <c r="UVF21" s="23"/>
      <c r="UVG21" s="16"/>
      <c r="UVH21" s="23"/>
      <c r="UVI21" s="16"/>
      <c r="UVJ21" s="23"/>
      <c r="UVK21" s="16"/>
      <c r="UVL21" s="23"/>
      <c r="UVM21" s="16"/>
      <c r="UVN21" s="23"/>
      <c r="UVO21" s="16"/>
      <c r="UVP21" s="23"/>
      <c r="UVQ21" s="16"/>
      <c r="UVR21" s="23"/>
      <c r="UVS21" s="16"/>
      <c r="UVT21" s="23"/>
      <c r="UVU21" s="16"/>
      <c r="UVV21" s="23"/>
      <c r="UVW21" s="16"/>
      <c r="UVX21" s="23"/>
      <c r="UVY21" s="16"/>
      <c r="UVZ21" s="23"/>
      <c r="UWA21" s="16"/>
      <c r="UWB21" s="23"/>
      <c r="UWC21" s="16"/>
      <c r="UWD21" s="23"/>
      <c r="UWE21" s="16"/>
      <c r="UWF21" s="23"/>
      <c r="UWG21" s="16"/>
      <c r="UWH21" s="23"/>
      <c r="UWI21" s="16"/>
      <c r="UWJ21" s="23"/>
      <c r="UWK21" s="16"/>
      <c r="UWL21" s="23"/>
      <c r="UWM21" s="16"/>
      <c r="UWN21" s="23"/>
      <c r="UWO21" s="16"/>
      <c r="UWP21" s="23"/>
      <c r="UWQ21" s="16"/>
      <c r="UWR21" s="23"/>
      <c r="UWS21" s="16"/>
      <c r="UWT21" s="23"/>
      <c r="UWU21" s="16"/>
      <c r="UWV21" s="23"/>
      <c r="UWW21" s="16"/>
      <c r="UWX21" s="23"/>
      <c r="UWY21" s="16"/>
      <c r="UWZ21" s="23"/>
      <c r="UXA21" s="16"/>
      <c r="UXB21" s="23"/>
      <c r="UXC21" s="16"/>
      <c r="UXD21" s="23"/>
      <c r="UXE21" s="16"/>
      <c r="UXF21" s="23"/>
      <c r="UXG21" s="16"/>
      <c r="UXH21" s="23"/>
      <c r="UXI21" s="16"/>
      <c r="UXJ21" s="23"/>
      <c r="UXK21" s="16"/>
      <c r="UXL21" s="23"/>
      <c r="UXM21" s="16"/>
      <c r="UXN21" s="23"/>
      <c r="UXO21" s="16"/>
      <c r="UXP21" s="23"/>
      <c r="UXQ21" s="16"/>
      <c r="UXR21" s="23"/>
      <c r="UXS21" s="16"/>
      <c r="UXT21" s="23"/>
      <c r="UXU21" s="16"/>
      <c r="UXV21" s="23"/>
      <c r="UXW21" s="16"/>
      <c r="UXX21" s="23"/>
      <c r="UXY21" s="16"/>
      <c r="UXZ21" s="23"/>
      <c r="UYA21" s="16"/>
      <c r="UYB21" s="23"/>
      <c r="UYC21" s="16"/>
      <c r="UYD21" s="23"/>
      <c r="UYE21" s="16"/>
      <c r="UYF21" s="23"/>
      <c r="UYG21" s="16"/>
      <c r="UYH21" s="23"/>
      <c r="UYI21" s="16"/>
      <c r="UYJ21" s="23"/>
      <c r="UYK21" s="16"/>
      <c r="UYL21" s="23"/>
      <c r="UYM21" s="16"/>
      <c r="UYN21" s="23"/>
      <c r="UYO21" s="16"/>
      <c r="UYP21" s="23"/>
      <c r="UYQ21" s="16"/>
      <c r="UYR21" s="23"/>
      <c r="UYS21" s="16"/>
      <c r="UYT21" s="23"/>
      <c r="UYU21" s="16"/>
      <c r="UYV21" s="23"/>
      <c r="UYW21" s="16"/>
      <c r="UYX21" s="23"/>
      <c r="UYY21" s="16"/>
      <c r="UYZ21" s="23"/>
      <c r="UZA21" s="16"/>
      <c r="UZB21" s="23"/>
      <c r="UZC21" s="16"/>
      <c r="UZD21" s="23"/>
      <c r="UZE21" s="16"/>
      <c r="UZF21" s="23"/>
      <c r="UZG21" s="16"/>
      <c r="UZH21" s="23"/>
      <c r="UZI21" s="16"/>
      <c r="UZJ21" s="23"/>
      <c r="UZK21" s="16"/>
      <c r="UZL21" s="23"/>
      <c r="UZM21" s="16"/>
      <c r="UZN21" s="23"/>
      <c r="UZO21" s="16"/>
      <c r="UZP21" s="23"/>
      <c r="UZQ21" s="16"/>
      <c r="UZR21" s="23"/>
      <c r="UZS21" s="16"/>
      <c r="UZT21" s="23"/>
      <c r="UZU21" s="16"/>
      <c r="UZV21" s="23"/>
      <c r="UZW21" s="16"/>
      <c r="UZX21" s="23"/>
      <c r="UZY21" s="16"/>
      <c r="UZZ21" s="23"/>
      <c r="VAA21" s="16"/>
      <c r="VAB21" s="23"/>
      <c r="VAC21" s="16"/>
      <c r="VAD21" s="23"/>
      <c r="VAE21" s="16"/>
      <c r="VAF21" s="23"/>
      <c r="VAG21" s="16"/>
      <c r="VAH21" s="23"/>
      <c r="VAI21" s="16"/>
      <c r="VAJ21" s="23"/>
      <c r="VAK21" s="16"/>
      <c r="VAL21" s="23"/>
      <c r="VAM21" s="16"/>
      <c r="VAN21" s="23"/>
      <c r="VAO21" s="16"/>
      <c r="VAP21" s="23"/>
      <c r="VAQ21" s="16"/>
      <c r="VAR21" s="23"/>
      <c r="VAS21" s="16"/>
      <c r="VAT21" s="23"/>
      <c r="VAU21" s="16"/>
      <c r="VAV21" s="23"/>
      <c r="VAW21" s="16"/>
      <c r="VAX21" s="23"/>
      <c r="VAY21" s="16"/>
      <c r="VAZ21" s="23"/>
      <c r="VBA21" s="16"/>
      <c r="VBB21" s="23"/>
      <c r="VBC21" s="16"/>
      <c r="VBD21" s="23"/>
      <c r="VBE21" s="16"/>
      <c r="VBF21" s="23"/>
      <c r="VBG21" s="16"/>
      <c r="VBH21" s="23"/>
      <c r="VBI21" s="16"/>
      <c r="VBJ21" s="23"/>
      <c r="VBK21" s="16"/>
      <c r="VBL21" s="23"/>
      <c r="VBM21" s="16"/>
      <c r="VBN21" s="23"/>
      <c r="VBO21" s="16"/>
      <c r="VBP21" s="23"/>
      <c r="VBQ21" s="16"/>
      <c r="VBR21" s="23"/>
      <c r="VBS21" s="16"/>
      <c r="VBT21" s="23"/>
      <c r="VBU21" s="16"/>
      <c r="VBV21" s="23"/>
      <c r="VBW21" s="16"/>
      <c r="VBX21" s="23"/>
      <c r="VBY21" s="16"/>
      <c r="VBZ21" s="23"/>
      <c r="VCA21" s="16"/>
      <c r="VCB21" s="23"/>
      <c r="VCC21" s="16"/>
      <c r="VCD21" s="23"/>
      <c r="VCE21" s="16"/>
      <c r="VCF21" s="23"/>
      <c r="VCG21" s="16"/>
      <c r="VCH21" s="23"/>
      <c r="VCI21" s="16"/>
      <c r="VCJ21" s="23"/>
      <c r="VCK21" s="16"/>
      <c r="VCL21" s="23"/>
      <c r="VCM21" s="16"/>
      <c r="VCN21" s="23"/>
      <c r="VCO21" s="16"/>
      <c r="VCP21" s="23"/>
      <c r="VCQ21" s="16"/>
      <c r="VCR21" s="23"/>
      <c r="VCS21" s="16"/>
      <c r="VCT21" s="23"/>
      <c r="VCU21" s="16"/>
      <c r="VCV21" s="23"/>
      <c r="VCW21" s="16"/>
      <c r="VCX21" s="23"/>
      <c r="VCY21" s="16"/>
      <c r="VCZ21" s="23"/>
      <c r="VDA21" s="16"/>
      <c r="VDB21" s="23"/>
      <c r="VDC21" s="16"/>
      <c r="VDD21" s="23"/>
      <c r="VDE21" s="16"/>
      <c r="VDF21" s="23"/>
      <c r="VDG21" s="16"/>
      <c r="VDH21" s="23"/>
      <c r="VDI21" s="16"/>
      <c r="VDJ21" s="23"/>
      <c r="VDK21" s="16"/>
      <c r="VDL21" s="23"/>
      <c r="VDM21" s="16"/>
      <c r="VDN21" s="23"/>
      <c r="VDO21" s="16"/>
      <c r="VDP21" s="23"/>
      <c r="VDQ21" s="16"/>
      <c r="VDR21" s="23"/>
      <c r="VDS21" s="16"/>
      <c r="VDT21" s="23"/>
      <c r="VDU21" s="16"/>
      <c r="VDV21" s="23"/>
      <c r="VDW21" s="16"/>
      <c r="VDX21" s="23"/>
      <c r="VDY21" s="16"/>
      <c r="VDZ21" s="23"/>
      <c r="VEA21" s="16"/>
      <c r="VEB21" s="23"/>
      <c r="VEC21" s="16"/>
      <c r="VED21" s="23"/>
      <c r="VEE21" s="16"/>
      <c r="VEF21" s="23"/>
      <c r="VEG21" s="16"/>
      <c r="VEH21" s="23"/>
      <c r="VEI21" s="16"/>
      <c r="VEJ21" s="23"/>
      <c r="VEK21" s="16"/>
      <c r="VEL21" s="23"/>
      <c r="VEM21" s="16"/>
      <c r="VEN21" s="23"/>
      <c r="VEO21" s="16"/>
      <c r="VEP21" s="23"/>
      <c r="VEQ21" s="16"/>
      <c r="VER21" s="23"/>
      <c r="VES21" s="16"/>
      <c r="VET21" s="23"/>
      <c r="VEU21" s="16"/>
      <c r="VEV21" s="23"/>
      <c r="VEW21" s="16"/>
      <c r="VEX21" s="23"/>
      <c r="VEY21" s="16"/>
      <c r="VEZ21" s="23"/>
      <c r="VFA21" s="16"/>
      <c r="VFB21" s="23"/>
      <c r="VFC21" s="16"/>
      <c r="VFD21" s="23"/>
      <c r="VFE21" s="16"/>
      <c r="VFF21" s="23"/>
      <c r="VFG21" s="16"/>
      <c r="VFH21" s="23"/>
      <c r="VFI21" s="16"/>
      <c r="VFJ21" s="23"/>
      <c r="VFK21" s="16"/>
      <c r="VFL21" s="23"/>
      <c r="VFM21" s="16"/>
      <c r="VFN21" s="23"/>
      <c r="VFO21" s="16"/>
      <c r="VFP21" s="23"/>
      <c r="VFQ21" s="16"/>
      <c r="VFR21" s="23"/>
      <c r="VFS21" s="16"/>
      <c r="VFT21" s="23"/>
      <c r="VFU21" s="16"/>
      <c r="VFV21" s="23"/>
      <c r="VFW21" s="16"/>
      <c r="VFX21" s="23"/>
      <c r="VFY21" s="16"/>
      <c r="VFZ21" s="23"/>
      <c r="VGA21" s="16"/>
      <c r="VGB21" s="23"/>
      <c r="VGC21" s="16"/>
      <c r="VGD21" s="23"/>
      <c r="VGE21" s="16"/>
      <c r="VGF21" s="23"/>
      <c r="VGG21" s="16"/>
      <c r="VGH21" s="23"/>
      <c r="VGI21" s="16"/>
      <c r="VGJ21" s="23"/>
      <c r="VGK21" s="16"/>
      <c r="VGL21" s="23"/>
      <c r="VGM21" s="16"/>
      <c r="VGN21" s="23"/>
      <c r="VGO21" s="16"/>
      <c r="VGP21" s="23"/>
      <c r="VGQ21" s="16"/>
      <c r="VGR21" s="23"/>
      <c r="VGS21" s="16"/>
      <c r="VGT21" s="23"/>
      <c r="VGU21" s="16"/>
      <c r="VGV21" s="23"/>
      <c r="VGW21" s="16"/>
      <c r="VGX21" s="23"/>
      <c r="VGY21" s="16"/>
      <c r="VGZ21" s="23"/>
      <c r="VHA21" s="16"/>
      <c r="VHB21" s="23"/>
      <c r="VHC21" s="16"/>
      <c r="VHD21" s="23"/>
      <c r="VHE21" s="16"/>
      <c r="VHF21" s="23"/>
      <c r="VHG21" s="16"/>
      <c r="VHH21" s="23"/>
      <c r="VHI21" s="16"/>
      <c r="VHJ21" s="23"/>
      <c r="VHK21" s="16"/>
      <c r="VHL21" s="23"/>
      <c r="VHM21" s="16"/>
      <c r="VHN21" s="23"/>
      <c r="VHO21" s="16"/>
      <c r="VHP21" s="23"/>
      <c r="VHQ21" s="16"/>
      <c r="VHR21" s="23"/>
      <c r="VHS21" s="16"/>
      <c r="VHT21" s="23"/>
      <c r="VHU21" s="16"/>
      <c r="VHV21" s="23"/>
      <c r="VHW21" s="16"/>
      <c r="VHX21" s="23"/>
      <c r="VHY21" s="16"/>
      <c r="VHZ21" s="23"/>
      <c r="VIA21" s="16"/>
      <c r="VIB21" s="23"/>
      <c r="VIC21" s="16"/>
      <c r="VID21" s="23"/>
      <c r="VIE21" s="16"/>
      <c r="VIF21" s="23"/>
      <c r="VIG21" s="16"/>
      <c r="VIH21" s="23"/>
      <c r="VII21" s="16"/>
      <c r="VIJ21" s="23"/>
      <c r="VIK21" s="16"/>
      <c r="VIL21" s="23"/>
      <c r="VIM21" s="16"/>
      <c r="VIN21" s="23"/>
      <c r="VIO21" s="16"/>
      <c r="VIP21" s="23"/>
      <c r="VIQ21" s="16"/>
      <c r="VIR21" s="23"/>
      <c r="VIS21" s="16"/>
      <c r="VIT21" s="23"/>
      <c r="VIU21" s="16"/>
      <c r="VIV21" s="23"/>
      <c r="VIW21" s="16"/>
      <c r="VIX21" s="23"/>
      <c r="VIY21" s="16"/>
      <c r="VIZ21" s="23"/>
      <c r="VJA21" s="16"/>
      <c r="VJB21" s="23"/>
      <c r="VJC21" s="16"/>
      <c r="VJD21" s="23"/>
      <c r="VJE21" s="16"/>
      <c r="VJF21" s="23"/>
      <c r="VJG21" s="16"/>
      <c r="VJH21" s="23"/>
      <c r="VJI21" s="16"/>
      <c r="VJJ21" s="23"/>
      <c r="VJK21" s="16"/>
      <c r="VJL21" s="23"/>
      <c r="VJM21" s="16"/>
      <c r="VJN21" s="23"/>
      <c r="VJO21" s="16"/>
      <c r="VJP21" s="23"/>
      <c r="VJQ21" s="16"/>
      <c r="VJR21" s="23"/>
      <c r="VJS21" s="16"/>
      <c r="VJT21" s="23"/>
      <c r="VJU21" s="16"/>
      <c r="VJV21" s="23"/>
      <c r="VJW21" s="16"/>
      <c r="VJX21" s="23"/>
      <c r="VJY21" s="16"/>
      <c r="VJZ21" s="23"/>
      <c r="VKA21" s="16"/>
      <c r="VKB21" s="23"/>
      <c r="VKC21" s="16"/>
      <c r="VKD21" s="23"/>
      <c r="VKE21" s="16"/>
      <c r="VKF21" s="23"/>
      <c r="VKG21" s="16"/>
      <c r="VKH21" s="23"/>
      <c r="VKI21" s="16"/>
      <c r="VKJ21" s="23"/>
      <c r="VKK21" s="16"/>
      <c r="VKL21" s="23"/>
      <c r="VKM21" s="16"/>
      <c r="VKN21" s="23"/>
      <c r="VKO21" s="16"/>
      <c r="VKP21" s="23"/>
      <c r="VKQ21" s="16"/>
      <c r="VKR21" s="23"/>
      <c r="VKS21" s="16"/>
      <c r="VKT21" s="23"/>
      <c r="VKU21" s="16"/>
      <c r="VKV21" s="23"/>
      <c r="VKW21" s="16"/>
      <c r="VKX21" s="23"/>
      <c r="VKY21" s="16"/>
      <c r="VKZ21" s="23"/>
      <c r="VLA21" s="16"/>
      <c r="VLB21" s="23"/>
      <c r="VLC21" s="16"/>
      <c r="VLD21" s="23"/>
      <c r="VLE21" s="16"/>
      <c r="VLF21" s="23"/>
      <c r="VLG21" s="16"/>
      <c r="VLH21" s="23"/>
      <c r="VLI21" s="16"/>
      <c r="VLJ21" s="23"/>
      <c r="VLK21" s="16"/>
      <c r="VLL21" s="23"/>
      <c r="VLM21" s="16"/>
      <c r="VLN21" s="23"/>
      <c r="VLO21" s="16"/>
      <c r="VLP21" s="23"/>
      <c r="VLQ21" s="16"/>
      <c r="VLR21" s="23"/>
      <c r="VLS21" s="16"/>
      <c r="VLT21" s="23"/>
      <c r="VLU21" s="16"/>
      <c r="VLV21" s="23"/>
      <c r="VLW21" s="16"/>
      <c r="VLX21" s="23"/>
      <c r="VLY21" s="16"/>
      <c r="VLZ21" s="23"/>
      <c r="VMA21" s="16"/>
      <c r="VMB21" s="23"/>
      <c r="VMC21" s="16"/>
      <c r="VMD21" s="23"/>
      <c r="VME21" s="16"/>
      <c r="VMF21" s="23"/>
      <c r="VMG21" s="16"/>
      <c r="VMH21" s="23"/>
      <c r="VMI21" s="16"/>
      <c r="VMJ21" s="23"/>
      <c r="VMK21" s="16"/>
      <c r="VML21" s="23"/>
      <c r="VMM21" s="16"/>
      <c r="VMN21" s="23"/>
      <c r="VMO21" s="16"/>
      <c r="VMP21" s="23"/>
      <c r="VMQ21" s="16"/>
      <c r="VMR21" s="23"/>
      <c r="VMS21" s="16"/>
      <c r="VMT21" s="23"/>
      <c r="VMU21" s="16"/>
      <c r="VMV21" s="23"/>
      <c r="VMW21" s="16"/>
      <c r="VMX21" s="23"/>
      <c r="VMY21" s="16"/>
      <c r="VMZ21" s="23"/>
      <c r="VNA21" s="16"/>
      <c r="VNB21" s="23"/>
      <c r="VNC21" s="16"/>
      <c r="VND21" s="23"/>
      <c r="VNE21" s="16"/>
      <c r="VNF21" s="23"/>
      <c r="VNG21" s="16"/>
      <c r="VNH21" s="23"/>
      <c r="VNI21" s="16"/>
      <c r="VNJ21" s="23"/>
      <c r="VNK21" s="16"/>
      <c r="VNL21" s="23"/>
      <c r="VNM21" s="16"/>
      <c r="VNN21" s="23"/>
      <c r="VNO21" s="16"/>
      <c r="VNP21" s="23"/>
      <c r="VNQ21" s="16"/>
      <c r="VNR21" s="23"/>
      <c r="VNS21" s="16"/>
      <c r="VNT21" s="23"/>
      <c r="VNU21" s="16"/>
      <c r="VNV21" s="23"/>
      <c r="VNW21" s="16"/>
      <c r="VNX21" s="23"/>
      <c r="VNY21" s="16"/>
      <c r="VNZ21" s="23"/>
      <c r="VOA21" s="16"/>
      <c r="VOB21" s="23"/>
      <c r="VOC21" s="16"/>
      <c r="VOD21" s="23"/>
      <c r="VOE21" s="16"/>
      <c r="VOF21" s="23"/>
      <c r="VOG21" s="16"/>
      <c r="VOH21" s="23"/>
      <c r="VOI21" s="16"/>
      <c r="VOJ21" s="23"/>
      <c r="VOK21" s="16"/>
      <c r="VOL21" s="23"/>
      <c r="VOM21" s="16"/>
      <c r="VON21" s="23"/>
      <c r="VOO21" s="16"/>
      <c r="VOP21" s="23"/>
      <c r="VOQ21" s="16"/>
      <c r="VOR21" s="23"/>
      <c r="VOS21" s="16"/>
      <c r="VOT21" s="23"/>
      <c r="VOU21" s="16"/>
      <c r="VOV21" s="23"/>
      <c r="VOW21" s="16"/>
      <c r="VOX21" s="23"/>
      <c r="VOY21" s="16"/>
      <c r="VOZ21" s="23"/>
      <c r="VPA21" s="16"/>
      <c r="VPB21" s="23"/>
      <c r="VPC21" s="16"/>
      <c r="VPD21" s="23"/>
      <c r="VPE21" s="16"/>
      <c r="VPF21" s="23"/>
      <c r="VPG21" s="16"/>
      <c r="VPH21" s="23"/>
      <c r="VPI21" s="16"/>
      <c r="VPJ21" s="23"/>
      <c r="VPK21" s="16"/>
      <c r="VPL21" s="23"/>
      <c r="VPM21" s="16"/>
      <c r="VPN21" s="23"/>
      <c r="VPO21" s="16"/>
      <c r="VPP21" s="23"/>
      <c r="VPQ21" s="16"/>
      <c r="VPR21" s="23"/>
      <c r="VPS21" s="16"/>
      <c r="VPT21" s="23"/>
      <c r="VPU21" s="16"/>
      <c r="VPV21" s="23"/>
      <c r="VPW21" s="16"/>
      <c r="VPX21" s="23"/>
      <c r="VPY21" s="16"/>
      <c r="VPZ21" s="23"/>
      <c r="VQA21" s="16"/>
      <c r="VQB21" s="23"/>
      <c r="VQC21" s="16"/>
      <c r="VQD21" s="23"/>
      <c r="VQE21" s="16"/>
      <c r="VQF21" s="23"/>
      <c r="VQG21" s="16"/>
      <c r="VQH21" s="23"/>
      <c r="VQI21" s="16"/>
      <c r="VQJ21" s="23"/>
      <c r="VQK21" s="16"/>
      <c r="VQL21" s="23"/>
      <c r="VQM21" s="16"/>
      <c r="VQN21" s="23"/>
      <c r="VQO21" s="16"/>
      <c r="VQP21" s="23"/>
      <c r="VQQ21" s="16"/>
      <c r="VQR21" s="23"/>
      <c r="VQS21" s="16"/>
      <c r="VQT21" s="23"/>
      <c r="VQU21" s="16"/>
      <c r="VQV21" s="23"/>
      <c r="VQW21" s="16"/>
      <c r="VQX21" s="23"/>
      <c r="VQY21" s="16"/>
      <c r="VQZ21" s="23"/>
      <c r="VRA21" s="16"/>
      <c r="VRB21" s="23"/>
      <c r="VRC21" s="16"/>
      <c r="VRD21" s="23"/>
      <c r="VRE21" s="16"/>
      <c r="VRF21" s="23"/>
      <c r="VRG21" s="16"/>
      <c r="VRH21" s="23"/>
      <c r="VRI21" s="16"/>
      <c r="VRJ21" s="23"/>
      <c r="VRK21" s="16"/>
      <c r="VRL21" s="23"/>
      <c r="VRM21" s="16"/>
      <c r="VRN21" s="23"/>
      <c r="VRO21" s="16"/>
      <c r="VRP21" s="23"/>
      <c r="VRQ21" s="16"/>
      <c r="VRR21" s="23"/>
      <c r="VRS21" s="16"/>
      <c r="VRT21" s="23"/>
      <c r="VRU21" s="16"/>
      <c r="VRV21" s="23"/>
      <c r="VRW21" s="16"/>
      <c r="VRX21" s="23"/>
      <c r="VRY21" s="16"/>
      <c r="VRZ21" s="23"/>
      <c r="VSA21" s="16"/>
      <c r="VSB21" s="23"/>
      <c r="VSC21" s="16"/>
      <c r="VSD21" s="23"/>
      <c r="VSE21" s="16"/>
      <c r="VSF21" s="23"/>
      <c r="VSG21" s="16"/>
      <c r="VSH21" s="23"/>
      <c r="VSI21" s="16"/>
      <c r="VSJ21" s="23"/>
      <c r="VSK21" s="16"/>
      <c r="VSL21" s="23"/>
      <c r="VSM21" s="16"/>
      <c r="VSN21" s="23"/>
      <c r="VSO21" s="16"/>
      <c r="VSP21" s="23"/>
      <c r="VSQ21" s="16"/>
      <c r="VSR21" s="23"/>
      <c r="VSS21" s="16"/>
      <c r="VST21" s="23"/>
      <c r="VSU21" s="16"/>
      <c r="VSV21" s="23"/>
      <c r="VSW21" s="16"/>
      <c r="VSX21" s="23"/>
      <c r="VSY21" s="16"/>
      <c r="VSZ21" s="23"/>
      <c r="VTA21" s="16"/>
      <c r="VTB21" s="23"/>
      <c r="VTC21" s="16"/>
      <c r="VTD21" s="23"/>
      <c r="VTE21" s="16"/>
      <c r="VTF21" s="23"/>
      <c r="VTG21" s="16"/>
      <c r="VTH21" s="23"/>
      <c r="VTI21" s="16"/>
      <c r="VTJ21" s="23"/>
      <c r="VTK21" s="16"/>
      <c r="VTL21" s="23"/>
      <c r="VTM21" s="16"/>
      <c r="VTN21" s="23"/>
      <c r="VTO21" s="16"/>
      <c r="VTP21" s="23"/>
      <c r="VTQ21" s="16"/>
      <c r="VTR21" s="23"/>
      <c r="VTS21" s="16"/>
      <c r="VTT21" s="23"/>
      <c r="VTU21" s="16"/>
      <c r="VTV21" s="23"/>
      <c r="VTW21" s="16"/>
      <c r="VTX21" s="23"/>
      <c r="VTY21" s="16"/>
      <c r="VTZ21" s="23"/>
      <c r="VUA21" s="16"/>
      <c r="VUB21" s="23"/>
      <c r="VUC21" s="16"/>
      <c r="VUD21" s="23"/>
      <c r="VUE21" s="16"/>
      <c r="VUF21" s="23"/>
      <c r="VUG21" s="16"/>
      <c r="VUH21" s="23"/>
      <c r="VUI21" s="16"/>
      <c r="VUJ21" s="23"/>
      <c r="VUK21" s="16"/>
      <c r="VUL21" s="23"/>
      <c r="VUM21" s="16"/>
      <c r="VUN21" s="23"/>
      <c r="VUO21" s="16"/>
      <c r="VUP21" s="23"/>
      <c r="VUQ21" s="16"/>
      <c r="VUR21" s="23"/>
      <c r="VUS21" s="16"/>
      <c r="VUT21" s="23"/>
      <c r="VUU21" s="16"/>
      <c r="VUV21" s="23"/>
      <c r="VUW21" s="16"/>
      <c r="VUX21" s="23"/>
      <c r="VUY21" s="16"/>
      <c r="VUZ21" s="23"/>
      <c r="VVA21" s="16"/>
      <c r="VVB21" s="23"/>
      <c r="VVC21" s="16"/>
      <c r="VVD21" s="23"/>
      <c r="VVE21" s="16"/>
      <c r="VVF21" s="23"/>
      <c r="VVG21" s="16"/>
      <c r="VVH21" s="23"/>
      <c r="VVI21" s="16"/>
      <c r="VVJ21" s="23"/>
      <c r="VVK21" s="16"/>
      <c r="VVL21" s="23"/>
      <c r="VVM21" s="16"/>
      <c r="VVN21" s="23"/>
      <c r="VVO21" s="16"/>
      <c r="VVP21" s="23"/>
      <c r="VVQ21" s="16"/>
      <c r="VVR21" s="23"/>
      <c r="VVS21" s="16"/>
      <c r="VVT21" s="23"/>
      <c r="VVU21" s="16"/>
      <c r="VVV21" s="23"/>
      <c r="VVW21" s="16"/>
      <c r="VVX21" s="23"/>
      <c r="VVY21" s="16"/>
      <c r="VVZ21" s="23"/>
      <c r="VWA21" s="16"/>
      <c r="VWB21" s="23"/>
      <c r="VWC21" s="16"/>
      <c r="VWD21" s="23"/>
      <c r="VWE21" s="16"/>
      <c r="VWF21" s="23"/>
      <c r="VWG21" s="16"/>
      <c r="VWH21" s="23"/>
      <c r="VWI21" s="16"/>
      <c r="VWJ21" s="23"/>
      <c r="VWK21" s="16"/>
      <c r="VWL21" s="23"/>
      <c r="VWM21" s="16"/>
      <c r="VWN21" s="23"/>
      <c r="VWO21" s="16"/>
      <c r="VWP21" s="23"/>
      <c r="VWQ21" s="16"/>
      <c r="VWR21" s="23"/>
      <c r="VWS21" s="16"/>
      <c r="VWT21" s="23"/>
      <c r="VWU21" s="16"/>
      <c r="VWV21" s="23"/>
      <c r="VWW21" s="16"/>
      <c r="VWX21" s="23"/>
      <c r="VWY21" s="16"/>
      <c r="VWZ21" s="23"/>
      <c r="VXA21" s="16"/>
      <c r="VXB21" s="23"/>
      <c r="VXC21" s="16"/>
      <c r="VXD21" s="23"/>
      <c r="VXE21" s="16"/>
      <c r="VXF21" s="23"/>
      <c r="VXG21" s="16"/>
      <c r="VXH21" s="23"/>
      <c r="VXI21" s="16"/>
      <c r="VXJ21" s="23"/>
      <c r="VXK21" s="16"/>
      <c r="VXL21" s="23"/>
      <c r="VXM21" s="16"/>
      <c r="VXN21" s="23"/>
      <c r="VXO21" s="16"/>
      <c r="VXP21" s="23"/>
      <c r="VXQ21" s="16"/>
      <c r="VXR21" s="23"/>
      <c r="VXS21" s="16"/>
      <c r="VXT21" s="23"/>
      <c r="VXU21" s="16"/>
      <c r="VXV21" s="23"/>
      <c r="VXW21" s="16"/>
      <c r="VXX21" s="23"/>
      <c r="VXY21" s="16"/>
      <c r="VXZ21" s="23"/>
      <c r="VYA21" s="16"/>
      <c r="VYB21" s="23"/>
      <c r="VYC21" s="16"/>
      <c r="VYD21" s="23"/>
      <c r="VYE21" s="16"/>
      <c r="VYF21" s="23"/>
      <c r="VYG21" s="16"/>
      <c r="VYH21" s="23"/>
      <c r="VYI21" s="16"/>
      <c r="VYJ21" s="23"/>
      <c r="VYK21" s="16"/>
      <c r="VYL21" s="23"/>
      <c r="VYM21" s="16"/>
      <c r="VYN21" s="23"/>
      <c r="VYO21" s="16"/>
      <c r="VYP21" s="23"/>
      <c r="VYQ21" s="16"/>
      <c r="VYR21" s="23"/>
      <c r="VYS21" s="16"/>
      <c r="VYT21" s="23"/>
      <c r="VYU21" s="16"/>
      <c r="VYV21" s="23"/>
      <c r="VYW21" s="16"/>
      <c r="VYX21" s="23"/>
      <c r="VYY21" s="16"/>
      <c r="VYZ21" s="23"/>
      <c r="VZA21" s="16"/>
      <c r="VZB21" s="23"/>
      <c r="VZC21" s="16"/>
      <c r="VZD21" s="23"/>
      <c r="VZE21" s="16"/>
      <c r="VZF21" s="23"/>
      <c r="VZG21" s="16"/>
      <c r="VZH21" s="23"/>
      <c r="VZI21" s="16"/>
      <c r="VZJ21" s="23"/>
      <c r="VZK21" s="16"/>
      <c r="VZL21" s="23"/>
      <c r="VZM21" s="16"/>
      <c r="VZN21" s="23"/>
      <c r="VZO21" s="16"/>
      <c r="VZP21" s="23"/>
      <c r="VZQ21" s="16"/>
      <c r="VZR21" s="23"/>
      <c r="VZS21" s="16"/>
      <c r="VZT21" s="23"/>
      <c r="VZU21" s="16"/>
      <c r="VZV21" s="23"/>
      <c r="VZW21" s="16"/>
      <c r="VZX21" s="23"/>
      <c r="VZY21" s="16"/>
      <c r="VZZ21" s="23"/>
      <c r="WAA21" s="16"/>
      <c r="WAB21" s="23"/>
      <c r="WAC21" s="16"/>
      <c r="WAD21" s="23"/>
      <c r="WAE21" s="16"/>
      <c r="WAF21" s="23"/>
      <c r="WAG21" s="16"/>
      <c r="WAH21" s="23"/>
      <c r="WAI21" s="16"/>
      <c r="WAJ21" s="23"/>
      <c r="WAK21" s="16"/>
      <c r="WAL21" s="23"/>
      <c r="WAM21" s="16"/>
      <c r="WAN21" s="23"/>
      <c r="WAO21" s="16"/>
      <c r="WAP21" s="23"/>
      <c r="WAQ21" s="16"/>
      <c r="WAR21" s="23"/>
      <c r="WAS21" s="16"/>
      <c r="WAT21" s="23"/>
      <c r="WAU21" s="16"/>
      <c r="WAV21" s="23"/>
      <c r="WAW21" s="16"/>
      <c r="WAX21" s="23"/>
      <c r="WAY21" s="16"/>
      <c r="WAZ21" s="23"/>
      <c r="WBA21" s="16"/>
      <c r="WBB21" s="23"/>
      <c r="WBC21" s="16"/>
      <c r="WBD21" s="23"/>
      <c r="WBE21" s="16"/>
      <c r="WBF21" s="23"/>
      <c r="WBG21" s="16"/>
      <c r="WBH21" s="23"/>
      <c r="WBI21" s="16"/>
      <c r="WBJ21" s="23"/>
      <c r="WBK21" s="16"/>
      <c r="WBL21" s="23"/>
      <c r="WBM21" s="16"/>
      <c r="WBN21" s="23"/>
      <c r="WBO21" s="16"/>
      <c r="WBP21" s="23"/>
      <c r="WBQ21" s="16"/>
      <c r="WBR21" s="23"/>
      <c r="WBS21" s="16"/>
      <c r="WBT21" s="23"/>
      <c r="WBU21" s="16"/>
      <c r="WBV21" s="23"/>
      <c r="WBW21" s="16"/>
      <c r="WBX21" s="23"/>
      <c r="WBY21" s="16"/>
      <c r="WBZ21" s="23"/>
      <c r="WCA21" s="16"/>
      <c r="WCB21" s="23"/>
      <c r="WCC21" s="16"/>
      <c r="WCD21" s="23"/>
      <c r="WCE21" s="16"/>
      <c r="WCF21" s="23"/>
      <c r="WCG21" s="16"/>
      <c r="WCH21" s="23"/>
      <c r="WCI21" s="16"/>
      <c r="WCJ21" s="23"/>
      <c r="WCK21" s="16"/>
      <c r="WCL21" s="23"/>
      <c r="WCM21" s="16"/>
      <c r="WCN21" s="23"/>
      <c r="WCO21" s="16"/>
      <c r="WCP21" s="23"/>
      <c r="WCQ21" s="16"/>
      <c r="WCR21" s="23"/>
      <c r="WCS21" s="16"/>
      <c r="WCT21" s="23"/>
      <c r="WCU21" s="16"/>
      <c r="WCV21" s="23"/>
      <c r="WCW21" s="16"/>
      <c r="WCX21" s="23"/>
      <c r="WCY21" s="16"/>
      <c r="WCZ21" s="23"/>
      <c r="WDA21" s="16"/>
      <c r="WDB21" s="23"/>
      <c r="WDC21" s="16"/>
      <c r="WDD21" s="23"/>
      <c r="WDE21" s="16"/>
      <c r="WDF21" s="23"/>
      <c r="WDG21" s="16"/>
      <c r="WDH21" s="23"/>
      <c r="WDI21" s="16"/>
      <c r="WDJ21" s="23"/>
      <c r="WDK21" s="16"/>
      <c r="WDL21" s="23"/>
      <c r="WDM21" s="16"/>
      <c r="WDN21" s="23"/>
      <c r="WDO21" s="16"/>
      <c r="WDP21" s="23"/>
      <c r="WDQ21" s="16"/>
      <c r="WDR21" s="23"/>
      <c r="WDS21" s="16"/>
      <c r="WDT21" s="23"/>
      <c r="WDU21" s="16"/>
      <c r="WDV21" s="23"/>
      <c r="WDW21" s="16"/>
      <c r="WDX21" s="23"/>
      <c r="WDY21" s="16"/>
      <c r="WDZ21" s="23"/>
      <c r="WEA21" s="16"/>
      <c r="WEB21" s="23"/>
      <c r="WEC21" s="16"/>
      <c r="WED21" s="23"/>
      <c r="WEE21" s="16"/>
      <c r="WEF21" s="23"/>
      <c r="WEG21" s="16"/>
      <c r="WEH21" s="23"/>
      <c r="WEI21" s="16"/>
      <c r="WEJ21" s="23"/>
      <c r="WEK21" s="16"/>
      <c r="WEL21" s="23"/>
      <c r="WEM21" s="16"/>
      <c r="WEN21" s="23"/>
      <c r="WEO21" s="16"/>
      <c r="WEP21" s="23"/>
      <c r="WEQ21" s="16"/>
      <c r="WER21" s="23"/>
      <c r="WES21" s="16"/>
      <c r="WET21" s="23"/>
      <c r="WEU21" s="16"/>
      <c r="WEV21" s="23"/>
      <c r="WEW21" s="16"/>
      <c r="WEX21" s="23"/>
      <c r="WEY21" s="16"/>
      <c r="WEZ21" s="23"/>
      <c r="WFA21" s="16"/>
      <c r="WFB21" s="23"/>
      <c r="WFC21" s="16"/>
      <c r="WFD21" s="23"/>
      <c r="WFE21" s="16"/>
      <c r="WFF21" s="23"/>
      <c r="WFG21" s="16"/>
      <c r="WFH21" s="23"/>
      <c r="WFI21" s="16"/>
      <c r="WFJ21" s="23"/>
      <c r="WFK21" s="16"/>
      <c r="WFL21" s="23"/>
      <c r="WFM21" s="16"/>
      <c r="WFN21" s="23"/>
      <c r="WFO21" s="16"/>
      <c r="WFP21" s="23"/>
      <c r="WFQ21" s="16"/>
      <c r="WFR21" s="23"/>
      <c r="WFS21" s="16"/>
      <c r="WFT21" s="23"/>
      <c r="WFU21" s="16"/>
      <c r="WFV21" s="23"/>
      <c r="WFW21" s="16"/>
      <c r="WFX21" s="23"/>
      <c r="WFY21" s="16"/>
      <c r="WFZ21" s="23"/>
      <c r="WGA21" s="16"/>
      <c r="WGB21" s="23"/>
      <c r="WGC21" s="16"/>
      <c r="WGD21" s="23"/>
      <c r="WGE21" s="16"/>
      <c r="WGF21" s="23"/>
      <c r="WGG21" s="16"/>
      <c r="WGH21" s="23"/>
      <c r="WGI21" s="16"/>
      <c r="WGJ21" s="23"/>
      <c r="WGK21" s="16"/>
      <c r="WGL21" s="23"/>
      <c r="WGM21" s="16"/>
      <c r="WGN21" s="23"/>
      <c r="WGO21" s="16"/>
      <c r="WGP21" s="23"/>
      <c r="WGQ21" s="16"/>
      <c r="WGR21" s="23"/>
      <c r="WGS21" s="16"/>
      <c r="WGT21" s="23"/>
      <c r="WGU21" s="16"/>
      <c r="WGV21" s="23"/>
      <c r="WGW21" s="16"/>
      <c r="WGX21" s="23"/>
      <c r="WGY21" s="16"/>
      <c r="WGZ21" s="23"/>
      <c r="WHA21" s="16"/>
      <c r="WHB21" s="23"/>
      <c r="WHC21" s="16"/>
      <c r="WHD21" s="23"/>
      <c r="WHE21" s="16"/>
      <c r="WHF21" s="23"/>
      <c r="WHG21" s="16"/>
      <c r="WHH21" s="23"/>
      <c r="WHI21" s="16"/>
      <c r="WHJ21" s="23"/>
      <c r="WHK21" s="16"/>
      <c r="WHL21" s="23"/>
      <c r="WHM21" s="16"/>
      <c r="WHN21" s="23"/>
      <c r="WHO21" s="16"/>
      <c r="WHP21" s="23"/>
      <c r="WHQ21" s="16"/>
      <c r="WHR21" s="23"/>
      <c r="WHS21" s="16"/>
      <c r="WHT21" s="23"/>
      <c r="WHU21" s="16"/>
      <c r="WHV21" s="23"/>
      <c r="WHW21" s="16"/>
      <c r="WHX21" s="23"/>
      <c r="WHY21" s="16"/>
      <c r="WHZ21" s="23"/>
      <c r="WIA21" s="16"/>
      <c r="WIB21" s="23"/>
      <c r="WIC21" s="16"/>
      <c r="WID21" s="23"/>
      <c r="WIE21" s="16"/>
      <c r="WIF21" s="23"/>
      <c r="WIG21" s="16"/>
      <c r="WIH21" s="23"/>
      <c r="WII21" s="16"/>
      <c r="WIJ21" s="23"/>
      <c r="WIK21" s="16"/>
      <c r="WIL21" s="23"/>
      <c r="WIM21" s="16"/>
      <c r="WIN21" s="23"/>
      <c r="WIO21" s="16"/>
      <c r="WIP21" s="23"/>
      <c r="WIQ21" s="16"/>
      <c r="WIR21" s="23"/>
      <c r="WIS21" s="16"/>
      <c r="WIT21" s="23"/>
      <c r="WIU21" s="16"/>
      <c r="WIV21" s="23"/>
      <c r="WIW21" s="16"/>
      <c r="WIX21" s="23"/>
      <c r="WIY21" s="16"/>
      <c r="WIZ21" s="23"/>
      <c r="WJA21" s="16"/>
      <c r="WJB21" s="23"/>
      <c r="WJC21" s="16"/>
      <c r="WJD21" s="23"/>
      <c r="WJE21" s="16"/>
      <c r="WJF21" s="23"/>
      <c r="WJG21" s="16"/>
      <c r="WJH21" s="23"/>
      <c r="WJI21" s="16"/>
      <c r="WJJ21" s="23"/>
      <c r="WJK21" s="16"/>
      <c r="WJL21" s="23"/>
      <c r="WJM21" s="16"/>
      <c r="WJN21" s="23"/>
      <c r="WJO21" s="16"/>
      <c r="WJP21" s="23"/>
      <c r="WJQ21" s="16"/>
      <c r="WJR21" s="23"/>
      <c r="WJS21" s="16"/>
      <c r="WJT21" s="23"/>
      <c r="WJU21" s="16"/>
      <c r="WJV21" s="23"/>
      <c r="WJW21" s="16"/>
      <c r="WJX21" s="23"/>
      <c r="WJY21" s="16"/>
      <c r="WJZ21" s="23"/>
      <c r="WKA21" s="16"/>
      <c r="WKB21" s="23"/>
      <c r="WKC21" s="16"/>
      <c r="WKD21" s="23"/>
      <c r="WKE21" s="16"/>
      <c r="WKF21" s="23"/>
      <c r="WKG21" s="16"/>
      <c r="WKH21" s="23"/>
      <c r="WKI21" s="16"/>
      <c r="WKJ21" s="23"/>
      <c r="WKK21" s="16"/>
      <c r="WKL21" s="23"/>
      <c r="WKM21" s="16"/>
      <c r="WKN21" s="23"/>
      <c r="WKO21" s="16"/>
      <c r="WKP21" s="23"/>
      <c r="WKQ21" s="16"/>
      <c r="WKR21" s="23"/>
      <c r="WKS21" s="16"/>
      <c r="WKT21" s="23"/>
      <c r="WKU21" s="16"/>
      <c r="WKV21" s="23"/>
      <c r="WKW21" s="16"/>
      <c r="WKX21" s="23"/>
      <c r="WKY21" s="16"/>
      <c r="WKZ21" s="23"/>
      <c r="WLA21" s="16"/>
      <c r="WLB21" s="23"/>
      <c r="WLC21" s="16"/>
      <c r="WLD21" s="23"/>
      <c r="WLE21" s="16"/>
      <c r="WLF21" s="23"/>
      <c r="WLG21" s="16"/>
      <c r="WLH21" s="23"/>
      <c r="WLI21" s="16"/>
      <c r="WLJ21" s="23"/>
      <c r="WLK21" s="16"/>
      <c r="WLL21" s="23"/>
      <c r="WLM21" s="16"/>
      <c r="WLN21" s="23"/>
      <c r="WLO21" s="16"/>
      <c r="WLP21" s="23"/>
      <c r="WLQ21" s="16"/>
      <c r="WLR21" s="23"/>
      <c r="WLS21" s="16"/>
      <c r="WLT21" s="23"/>
      <c r="WLU21" s="16"/>
      <c r="WLV21" s="23"/>
      <c r="WLW21" s="16"/>
      <c r="WLX21" s="23"/>
      <c r="WLY21" s="16"/>
      <c r="WLZ21" s="23"/>
      <c r="WMA21" s="16"/>
      <c r="WMB21" s="23"/>
      <c r="WMC21" s="16"/>
      <c r="WMD21" s="23"/>
      <c r="WME21" s="16"/>
      <c r="WMF21" s="23"/>
      <c r="WMG21" s="16"/>
      <c r="WMH21" s="23"/>
      <c r="WMI21" s="16"/>
      <c r="WMJ21" s="23"/>
      <c r="WMK21" s="16"/>
      <c r="WML21" s="23"/>
      <c r="WMM21" s="16"/>
      <c r="WMN21" s="23"/>
      <c r="WMO21" s="16"/>
      <c r="WMP21" s="23"/>
      <c r="WMQ21" s="16"/>
      <c r="WMR21" s="23"/>
      <c r="WMS21" s="16"/>
      <c r="WMT21" s="23"/>
      <c r="WMU21" s="16"/>
      <c r="WMV21" s="23"/>
      <c r="WMW21" s="16"/>
      <c r="WMX21" s="23"/>
      <c r="WMY21" s="16"/>
      <c r="WMZ21" s="23"/>
      <c r="WNA21" s="16"/>
      <c r="WNB21" s="23"/>
      <c r="WNC21" s="16"/>
      <c r="WND21" s="23"/>
      <c r="WNE21" s="16"/>
      <c r="WNF21" s="23"/>
      <c r="WNG21" s="16"/>
      <c r="WNH21" s="23"/>
      <c r="WNI21" s="16"/>
      <c r="WNJ21" s="23"/>
      <c r="WNK21" s="16"/>
      <c r="WNL21" s="23"/>
      <c r="WNM21" s="16"/>
      <c r="WNN21" s="23"/>
      <c r="WNO21" s="16"/>
      <c r="WNP21" s="23"/>
      <c r="WNQ21" s="16"/>
      <c r="WNR21" s="23"/>
      <c r="WNS21" s="16"/>
      <c r="WNT21" s="23"/>
      <c r="WNU21" s="16"/>
      <c r="WNV21" s="23"/>
      <c r="WNW21" s="16"/>
      <c r="WNX21" s="23"/>
      <c r="WNY21" s="16"/>
      <c r="WNZ21" s="23"/>
      <c r="WOA21" s="16"/>
      <c r="WOB21" s="23"/>
      <c r="WOC21" s="16"/>
      <c r="WOD21" s="23"/>
      <c r="WOE21" s="16"/>
      <c r="WOF21" s="23"/>
      <c r="WOG21" s="16"/>
      <c r="WOH21" s="23"/>
      <c r="WOI21" s="16"/>
      <c r="WOJ21" s="23"/>
      <c r="WOK21" s="16"/>
      <c r="WOL21" s="23"/>
      <c r="WOM21" s="16"/>
      <c r="WON21" s="23"/>
      <c r="WOO21" s="16"/>
      <c r="WOP21" s="23"/>
      <c r="WOQ21" s="16"/>
      <c r="WOR21" s="23"/>
      <c r="WOS21" s="16"/>
      <c r="WOT21" s="23"/>
      <c r="WOU21" s="16"/>
      <c r="WOV21" s="23"/>
      <c r="WOW21" s="16"/>
      <c r="WOX21" s="23"/>
      <c r="WOY21" s="16"/>
      <c r="WOZ21" s="23"/>
      <c r="WPA21" s="16"/>
      <c r="WPB21" s="23"/>
      <c r="WPC21" s="16"/>
      <c r="WPD21" s="23"/>
      <c r="WPE21" s="16"/>
      <c r="WPF21" s="23"/>
      <c r="WPG21" s="16"/>
      <c r="WPH21" s="23"/>
      <c r="WPI21" s="16"/>
      <c r="WPJ21" s="23"/>
      <c r="WPK21" s="16"/>
      <c r="WPL21" s="23"/>
      <c r="WPM21" s="16"/>
      <c r="WPN21" s="23"/>
      <c r="WPO21" s="16"/>
      <c r="WPP21" s="23"/>
      <c r="WPQ21" s="16"/>
      <c r="WPR21" s="23"/>
      <c r="WPS21" s="16"/>
      <c r="WPT21" s="23"/>
      <c r="WPU21" s="16"/>
      <c r="WPV21" s="23"/>
      <c r="WPW21" s="16"/>
      <c r="WPX21" s="23"/>
      <c r="WPY21" s="16"/>
      <c r="WPZ21" s="23"/>
      <c r="WQA21" s="16"/>
      <c r="WQB21" s="23"/>
      <c r="WQC21" s="16"/>
      <c r="WQD21" s="23"/>
      <c r="WQE21" s="16"/>
      <c r="WQF21" s="23"/>
      <c r="WQG21" s="16"/>
      <c r="WQH21" s="23"/>
      <c r="WQI21" s="16"/>
      <c r="WQJ21" s="23"/>
      <c r="WQK21" s="16"/>
      <c r="WQL21" s="23"/>
      <c r="WQM21" s="16"/>
      <c r="WQN21" s="23"/>
      <c r="WQO21" s="16"/>
      <c r="WQP21" s="23"/>
      <c r="WQQ21" s="16"/>
      <c r="WQR21" s="23"/>
      <c r="WQS21" s="16"/>
      <c r="WQT21" s="23"/>
      <c r="WQU21" s="16"/>
      <c r="WQV21" s="23"/>
      <c r="WQW21" s="16"/>
      <c r="WQX21" s="23"/>
      <c r="WQY21" s="16"/>
      <c r="WQZ21" s="23"/>
      <c r="WRA21" s="16"/>
      <c r="WRB21" s="23"/>
      <c r="WRC21" s="16"/>
      <c r="WRD21" s="23"/>
      <c r="WRE21" s="16"/>
      <c r="WRF21" s="23"/>
      <c r="WRG21" s="16"/>
      <c r="WRH21" s="23"/>
      <c r="WRI21" s="16"/>
      <c r="WRJ21" s="23"/>
      <c r="WRK21" s="16"/>
      <c r="WRL21" s="23"/>
      <c r="WRM21" s="16"/>
      <c r="WRN21" s="23"/>
      <c r="WRO21" s="16"/>
      <c r="WRP21" s="23"/>
      <c r="WRQ21" s="16"/>
      <c r="WRR21" s="23"/>
      <c r="WRS21" s="16"/>
      <c r="WRT21" s="23"/>
      <c r="WRU21" s="16"/>
      <c r="WRV21" s="23"/>
      <c r="WRW21" s="16"/>
      <c r="WRX21" s="23"/>
      <c r="WRY21" s="16"/>
      <c r="WRZ21" s="23"/>
      <c r="WSA21" s="16"/>
      <c r="WSB21" s="23"/>
      <c r="WSC21" s="16"/>
      <c r="WSD21" s="23"/>
      <c r="WSE21" s="16"/>
      <c r="WSF21" s="23"/>
      <c r="WSG21" s="16"/>
      <c r="WSH21" s="23"/>
      <c r="WSI21" s="16"/>
      <c r="WSJ21" s="23"/>
      <c r="WSK21" s="16"/>
      <c r="WSL21" s="23"/>
      <c r="WSM21" s="16"/>
      <c r="WSN21" s="23"/>
      <c r="WSO21" s="16"/>
      <c r="WSP21" s="23"/>
      <c r="WSQ21" s="16"/>
      <c r="WSR21" s="23"/>
      <c r="WSS21" s="16"/>
      <c r="WST21" s="23"/>
      <c r="WSU21" s="16"/>
      <c r="WSV21" s="23"/>
      <c r="WSW21" s="16"/>
      <c r="WSX21" s="23"/>
      <c r="WSY21" s="16"/>
      <c r="WSZ21" s="23"/>
      <c r="WTA21" s="16"/>
      <c r="WTB21" s="23"/>
      <c r="WTC21" s="16"/>
      <c r="WTD21" s="23"/>
      <c r="WTE21" s="16"/>
      <c r="WTF21" s="23"/>
      <c r="WTG21" s="16"/>
      <c r="WTH21" s="23"/>
      <c r="WTI21" s="16"/>
      <c r="WTJ21" s="23"/>
      <c r="WTK21" s="16"/>
      <c r="WTL21" s="23"/>
      <c r="WTM21" s="16"/>
      <c r="WTN21" s="23"/>
      <c r="WTO21" s="16"/>
      <c r="WTP21" s="23"/>
      <c r="WTQ21" s="16"/>
      <c r="WTR21" s="23"/>
      <c r="WTS21" s="16"/>
      <c r="WTT21" s="23"/>
      <c r="WTU21" s="16"/>
      <c r="WTV21" s="23"/>
      <c r="WTW21" s="16"/>
      <c r="WTX21" s="23"/>
      <c r="WTY21" s="16"/>
      <c r="WTZ21" s="23"/>
      <c r="WUA21" s="16"/>
      <c r="WUB21" s="23"/>
      <c r="WUC21" s="16"/>
      <c r="WUD21" s="23"/>
      <c r="WUE21" s="16"/>
      <c r="WUF21" s="23"/>
      <c r="WUG21" s="16"/>
      <c r="WUH21" s="23"/>
      <c r="WUI21" s="16"/>
      <c r="WUJ21" s="23"/>
      <c r="WUK21" s="16"/>
      <c r="WUL21" s="23"/>
      <c r="WUM21" s="16"/>
      <c r="WUN21" s="23"/>
      <c r="WUO21" s="16"/>
      <c r="WUP21" s="23"/>
      <c r="WUQ21" s="16"/>
      <c r="WUR21" s="23"/>
      <c r="WUS21" s="16"/>
      <c r="WUT21" s="23"/>
      <c r="WUU21" s="16"/>
      <c r="WUV21" s="23"/>
      <c r="WUW21" s="16"/>
      <c r="WUX21" s="23"/>
      <c r="WUY21" s="16"/>
      <c r="WUZ21" s="23"/>
      <c r="WVA21" s="16"/>
      <c r="WVB21" s="23"/>
      <c r="WVC21" s="16"/>
      <c r="WVD21" s="23"/>
      <c r="WVE21" s="16"/>
      <c r="WVF21" s="23"/>
      <c r="WVG21" s="16"/>
      <c r="WVH21" s="23"/>
      <c r="WVI21" s="16"/>
      <c r="WVJ21" s="23"/>
      <c r="WVK21" s="16"/>
      <c r="WVL21" s="23"/>
      <c r="WVM21" s="16"/>
      <c r="WVN21" s="23"/>
      <c r="WVO21" s="16"/>
      <c r="WVP21" s="23"/>
      <c r="WVQ21" s="16"/>
      <c r="WVR21" s="23"/>
      <c r="WVS21" s="16"/>
      <c r="WVT21" s="23"/>
      <c r="WVU21" s="16"/>
      <c r="WVV21" s="23"/>
      <c r="WVW21" s="16"/>
      <c r="WVX21" s="23"/>
      <c r="WVY21" s="16"/>
      <c r="WVZ21" s="23"/>
      <c r="WWA21" s="16"/>
      <c r="WWB21" s="23"/>
      <c r="WWC21" s="16"/>
      <c r="WWD21" s="23"/>
      <c r="WWE21" s="16"/>
      <c r="WWF21" s="23"/>
      <c r="WWG21" s="16"/>
      <c r="WWH21" s="23"/>
      <c r="WWI21" s="16"/>
      <c r="WWJ21" s="23"/>
      <c r="WWK21" s="16"/>
      <c r="WWL21" s="23"/>
      <c r="WWM21" s="16"/>
      <c r="WWN21" s="23"/>
      <c r="WWO21" s="16"/>
      <c r="WWP21" s="23"/>
      <c r="WWQ21" s="16"/>
      <c r="WWR21" s="23"/>
      <c r="WWS21" s="16"/>
      <c r="WWT21" s="23"/>
      <c r="WWU21" s="16"/>
      <c r="WWV21" s="23"/>
      <c r="WWW21" s="16"/>
      <c r="WWX21" s="23"/>
      <c r="WWY21" s="16"/>
      <c r="WWZ21" s="23"/>
      <c r="WXA21" s="16"/>
      <c r="WXB21" s="23"/>
      <c r="WXC21" s="16"/>
      <c r="WXD21" s="23"/>
      <c r="WXE21" s="16"/>
      <c r="WXF21" s="23"/>
      <c r="WXG21" s="16"/>
      <c r="WXH21" s="23"/>
      <c r="WXI21" s="16"/>
      <c r="WXJ21" s="23"/>
      <c r="WXK21" s="16"/>
      <c r="WXL21" s="23"/>
      <c r="WXM21" s="16"/>
      <c r="WXN21" s="23"/>
      <c r="WXO21" s="16"/>
      <c r="WXP21" s="23"/>
      <c r="WXQ21" s="16"/>
      <c r="WXR21" s="23"/>
      <c r="WXS21" s="16"/>
      <c r="WXT21" s="23"/>
      <c r="WXU21" s="16"/>
      <c r="WXV21" s="23"/>
      <c r="WXW21" s="16"/>
      <c r="WXX21" s="23"/>
      <c r="WXY21" s="16"/>
      <c r="WXZ21" s="23"/>
      <c r="WYA21" s="16"/>
      <c r="WYB21" s="23"/>
      <c r="WYC21" s="16"/>
      <c r="WYD21" s="23"/>
      <c r="WYE21" s="16"/>
      <c r="WYF21" s="23"/>
      <c r="WYG21" s="16"/>
      <c r="WYH21" s="23"/>
      <c r="WYI21" s="16"/>
      <c r="WYJ21" s="23"/>
      <c r="WYK21" s="16"/>
      <c r="WYL21" s="23"/>
      <c r="WYM21" s="16"/>
      <c r="WYN21" s="23"/>
      <c r="WYO21" s="16"/>
      <c r="WYP21" s="23"/>
      <c r="WYQ21" s="16"/>
      <c r="WYR21" s="23"/>
      <c r="WYS21" s="16"/>
      <c r="WYT21" s="23"/>
      <c r="WYU21" s="16"/>
      <c r="WYV21" s="23"/>
      <c r="WYW21" s="16"/>
      <c r="WYX21" s="23"/>
      <c r="WYY21" s="16"/>
      <c r="WYZ21" s="23"/>
      <c r="WZA21" s="16"/>
      <c r="WZB21" s="23"/>
      <c r="WZC21" s="16"/>
      <c r="WZD21" s="23"/>
      <c r="WZE21" s="16"/>
      <c r="WZF21" s="23"/>
      <c r="WZG21" s="16"/>
      <c r="WZH21" s="23"/>
      <c r="WZI21" s="16"/>
      <c r="WZJ21" s="23"/>
      <c r="WZK21" s="16"/>
      <c r="WZL21" s="23"/>
      <c r="WZM21" s="16"/>
      <c r="WZN21" s="23"/>
      <c r="WZO21" s="16"/>
      <c r="WZP21" s="23"/>
      <c r="WZQ21" s="16"/>
      <c r="WZR21" s="23"/>
      <c r="WZS21" s="16"/>
      <c r="WZT21" s="23"/>
      <c r="WZU21" s="16"/>
      <c r="WZV21" s="23"/>
      <c r="WZW21" s="16"/>
      <c r="WZX21" s="23"/>
      <c r="WZY21" s="16"/>
      <c r="WZZ21" s="23"/>
      <c r="XAA21" s="16"/>
      <c r="XAB21" s="23"/>
      <c r="XAC21" s="16"/>
      <c r="XAD21" s="23"/>
      <c r="XAE21" s="16"/>
      <c r="XAF21" s="23"/>
      <c r="XAG21" s="16"/>
      <c r="XAH21" s="23"/>
      <c r="XAI21" s="16"/>
      <c r="XAJ21" s="23"/>
      <c r="XAK21" s="16"/>
      <c r="XAL21" s="23"/>
      <c r="XAM21" s="16"/>
      <c r="XAN21" s="23"/>
      <c r="XAO21" s="16"/>
      <c r="XAP21" s="23"/>
      <c r="XAQ21" s="16"/>
      <c r="XAR21" s="23"/>
      <c r="XAS21" s="16"/>
      <c r="XAT21" s="23"/>
      <c r="XAU21" s="16"/>
      <c r="XAV21" s="23"/>
      <c r="XAW21" s="16"/>
      <c r="XAX21" s="23"/>
      <c r="XAY21" s="16"/>
      <c r="XAZ21" s="23"/>
      <c r="XBA21" s="16"/>
      <c r="XBB21" s="23"/>
      <c r="XBC21" s="16"/>
      <c r="XBD21" s="23"/>
      <c r="XBE21" s="16"/>
      <c r="XBF21" s="23"/>
      <c r="XBG21" s="16"/>
      <c r="XBH21" s="23"/>
      <c r="XBI21" s="16"/>
      <c r="XBJ21" s="23"/>
      <c r="XBK21" s="16"/>
      <c r="XBL21" s="23"/>
      <c r="XBM21" s="16"/>
      <c r="XBN21" s="23"/>
      <c r="XBO21" s="16"/>
      <c r="XBP21" s="23"/>
      <c r="XBQ21" s="16"/>
      <c r="XBR21" s="23"/>
      <c r="XBS21" s="16"/>
      <c r="XBT21" s="23"/>
      <c r="XBU21" s="16"/>
      <c r="XBV21" s="23"/>
      <c r="XBW21" s="16"/>
      <c r="XBX21" s="23"/>
      <c r="XBY21" s="16"/>
      <c r="XBZ21" s="23"/>
      <c r="XCA21" s="16"/>
      <c r="XCB21" s="23"/>
      <c r="XCC21" s="16"/>
      <c r="XCD21" s="23"/>
      <c r="XCE21" s="16"/>
      <c r="XCF21" s="23"/>
      <c r="XCG21" s="16"/>
      <c r="XCH21" s="23"/>
      <c r="XCI21" s="16"/>
      <c r="XCJ21" s="23"/>
      <c r="XCK21" s="16"/>
      <c r="XCL21" s="23"/>
      <c r="XCM21" s="16"/>
      <c r="XCN21" s="23"/>
      <c r="XCO21" s="16"/>
      <c r="XCP21" s="23"/>
      <c r="XCQ21" s="16"/>
      <c r="XCR21" s="23"/>
      <c r="XCS21" s="16"/>
      <c r="XCT21" s="23"/>
      <c r="XCU21" s="16"/>
      <c r="XCV21" s="23"/>
      <c r="XCW21" s="16"/>
      <c r="XCX21" s="23"/>
      <c r="XCY21" s="16"/>
      <c r="XCZ21" s="23"/>
      <c r="XDA21" s="16"/>
      <c r="XDB21" s="23"/>
      <c r="XDC21" s="16"/>
      <c r="XDD21" s="23"/>
      <c r="XDE21" s="16"/>
      <c r="XDF21" s="23"/>
      <c r="XDG21" s="16"/>
      <c r="XDH21" s="23"/>
      <c r="XDI21" s="16"/>
      <c r="XDJ21" s="23"/>
      <c r="XDK21" s="16"/>
      <c r="XDL21" s="23"/>
      <c r="XDM21" s="16"/>
      <c r="XDN21" s="23"/>
      <c r="XDO21" s="16"/>
      <c r="XDP21" s="23"/>
      <c r="XDQ21" s="16"/>
      <c r="XDR21" s="23"/>
      <c r="XDS21" s="16"/>
      <c r="XDT21" s="23"/>
      <c r="XDU21" s="16"/>
      <c r="XDV21" s="23"/>
      <c r="XDW21" s="16"/>
      <c r="XDX21" s="23"/>
      <c r="XDY21" s="16"/>
      <c r="XDZ21" s="23"/>
      <c r="XEA21" s="16"/>
      <c r="XEB21" s="23"/>
      <c r="XEC21" s="16"/>
      <c r="XED21" s="23"/>
      <c r="XEE21" s="16"/>
      <c r="XEF21" s="23"/>
      <c r="XEG21" s="16"/>
      <c r="XEH21" s="23"/>
      <c r="XEI21" s="16"/>
      <c r="XEJ21" s="23"/>
      <c r="XEK21" s="16"/>
      <c r="XEL21" s="23"/>
      <c r="XEM21" s="16"/>
      <c r="XEN21" s="23"/>
      <c r="XEO21" s="16"/>
      <c r="XEP21" s="23"/>
      <c r="XEQ21" s="16"/>
      <c r="XER21" s="23"/>
      <c r="XES21" s="16"/>
      <c r="XET21" s="23"/>
      <c r="XEU21" s="16"/>
      <c r="XEV21" s="23"/>
      <c r="XEW21" s="16"/>
      <c r="XEX21" s="23"/>
      <c r="XEY21" s="16"/>
      <c r="XEZ21" s="23"/>
      <c r="XFA21" s="16"/>
      <c r="XFB21" s="23"/>
    </row>
    <row r="22" spans="1:16382" ht="30" customHeight="1" thickBot="1">
      <c r="A22" s="2141"/>
      <c r="B22" s="2141"/>
      <c r="C22" s="141" t="s">
        <v>24</v>
      </c>
      <c r="D22" s="142" t="s">
        <v>236</v>
      </c>
      <c r="E22" s="417"/>
      <c r="F22" s="2141"/>
      <c r="G22" s="2141"/>
      <c r="H22" s="2142"/>
    </row>
    <row r="23" spans="1:16382" ht="15.75" customHeight="1">
      <c r="A23" s="2136" t="s">
        <v>478</v>
      </c>
      <c r="B23" s="2137"/>
      <c r="C23" s="143" t="s">
        <v>360</v>
      </c>
      <c r="D23" s="142" t="s">
        <v>265</v>
      </c>
      <c r="E23" s="417"/>
      <c r="F23" s="1828" t="s">
        <v>477</v>
      </c>
      <c r="G23" s="2140"/>
      <c r="H23" s="2137"/>
    </row>
    <row r="24" spans="1:16382" ht="15.75">
      <c r="A24" s="2138"/>
      <c r="B24" s="2139"/>
      <c r="C24" s="144" t="s">
        <v>361</v>
      </c>
      <c r="D24" s="142" t="s">
        <v>362</v>
      </c>
      <c r="E24" s="417"/>
      <c r="F24" s="1798"/>
      <c r="G24" s="1798"/>
      <c r="H24" s="2139"/>
    </row>
    <row r="25" spans="1:16382" ht="16.5" thickBot="1">
      <c r="A25" s="2138"/>
      <c r="B25" s="2139"/>
      <c r="C25" s="145" t="s">
        <v>479</v>
      </c>
      <c r="D25" s="142" t="s">
        <v>480</v>
      </c>
      <c r="E25" s="417"/>
      <c r="F25" s="2141"/>
      <c r="G25" s="2141"/>
      <c r="H25" s="2142"/>
    </row>
    <row r="26" spans="1:16382" ht="15.75" thickBot="1">
      <c r="A26" s="2143" t="s">
        <v>25</v>
      </c>
      <c r="B26" s="2144"/>
      <c r="C26" s="2145"/>
      <c r="D26" s="146" t="s">
        <v>270</v>
      </c>
      <c r="E26" s="417"/>
      <c r="F26" s="1818" t="s">
        <v>481</v>
      </c>
      <c r="G26" s="2097"/>
      <c r="H26" s="2098"/>
      <c r="I26" s="327"/>
    </row>
    <row r="27" spans="1:16382" ht="15.75">
      <c r="A27" s="2157" t="s">
        <v>153</v>
      </c>
      <c r="B27" s="2158"/>
      <c r="C27" s="147" t="s">
        <v>152</v>
      </c>
      <c r="D27" s="148" t="s">
        <v>268</v>
      </c>
      <c r="E27" s="417"/>
      <c r="F27" s="1828" t="s">
        <v>475</v>
      </c>
      <c r="G27" s="2140"/>
      <c r="H27" s="2137"/>
      <c r="I27" s="327"/>
    </row>
    <row r="28" spans="1:16382" ht="15.75">
      <c r="A28" s="2138"/>
      <c r="B28" s="2158"/>
      <c r="C28" s="149" t="s">
        <v>154</v>
      </c>
      <c r="D28" s="148" t="s">
        <v>392</v>
      </c>
      <c r="E28" s="417"/>
      <c r="F28" s="1798"/>
      <c r="G28" s="1798"/>
      <c r="H28" s="2139"/>
      <c r="I28" s="327"/>
    </row>
    <row r="29" spans="1:16382" ht="16.5" thickBot="1">
      <c r="A29" s="2149"/>
      <c r="B29" s="2152"/>
      <c r="C29" s="150" t="s">
        <v>400</v>
      </c>
      <c r="D29" s="148" t="s">
        <v>393</v>
      </c>
      <c r="E29" s="417"/>
      <c r="F29" s="2141"/>
      <c r="G29" s="2141"/>
      <c r="H29" s="2142"/>
      <c r="I29" s="327"/>
    </row>
    <row r="30" spans="1:16382" ht="15.75">
      <c r="A30" s="2159" t="s">
        <v>153</v>
      </c>
      <c r="B30" s="2151"/>
      <c r="C30" s="151" t="s">
        <v>155</v>
      </c>
      <c r="D30" s="148" t="s">
        <v>266</v>
      </c>
      <c r="E30" s="417"/>
      <c r="F30" s="1828" t="s">
        <v>475</v>
      </c>
      <c r="G30" s="2140"/>
      <c r="H30" s="2137"/>
      <c r="I30" s="327"/>
    </row>
    <row r="31" spans="1:16382" ht="15.75">
      <c r="A31" s="2138"/>
      <c r="B31" s="2158"/>
      <c r="C31" s="149" t="s">
        <v>156</v>
      </c>
      <c r="D31" s="148" t="s">
        <v>394</v>
      </c>
      <c r="E31" s="417"/>
      <c r="F31" s="1798"/>
      <c r="G31" s="1798"/>
      <c r="H31" s="2139"/>
      <c r="I31" s="327"/>
    </row>
    <row r="32" spans="1:16382" ht="16.5" thickBot="1">
      <c r="A32" s="2149"/>
      <c r="B32" s="2152"/>
      <c r="C32" s="150" t="s">
        <v>399</v>
      </c>
      <c r="D32" s="148" t="s">
        <v>395</v>
      </c>
      <c r="E32" s="417"/>
      <c r="F32" s="2141"/>
      <c r="G32" s="2141"/>
      <c r="H32" s="2142"/>
      <c r="I32" s="327"/>
    </row>
    <row r="33" spans="1:23" ht="16.5" thickBot="1">
      <c r="A33" s="2159" t="s">
        <v>482</v>
      </c>
      <c r="B33" s="2151"/>
      <c r="C33" s="151" t="s">
        <v>365</v>
      </c>
      <c r="D33" s="148" t="s">
        <v>252</v>
      </c>
      <c r="E33" s="417"/>
      <c r="F33" s="1828" t="s">
        <v>483</v>
      </c>
      <c r="G33" s="2140"/>
      <c r="H33" s="2137"/>
      <c r="I33" s="327"/>
    </row>
    <row r="34" spans="1:23" ht="16.5" thickBot="1">
      <c r="A34" s="2159" t="s">
        <v>484</v>
      </c>
      <c r="B34" s="2151"/>
      <c r="C34" s="151" t="s">
        <v>485</v>
      </c>
      <c r="D34" s="148" t="s">
        <v>264</v>
      </c>
      <c r="E34" s="417"/>
      <c r="F34" s="2160"/>
      <c r="G34" s="2140"/>
      <c r="H34" s="2137"/>
      <c r="I34" s="327"/>
    </row>
    <row r="35" spans="1:23" ht="15.75">
      <c r="A35" s="2161" t="s">
        <v>486</v>
      </c>
      <c r="B35" s="2151"/>
      <c r="C35" s="152" t="s">
        <v>43</v>
      </c>
      <c r="D35" s="153" t="s">
        <v>256</v>
      </c>
      <c r="E35" s="417"/>
      <c r="F35" s="1828" t="s">
        <v>487</v>
      </c>
      <c r="G35" s="2140"/>
      <c r="H35" s="2137"/>
      <c r="I35" s="327"/>
    </row>
    <row r="36" spans="1:23" ht="16.5" thickBot="1">
      <c r="A36" s="2149"/>
      <c r="B36" s="2152"/>
      <c r="C36" s="154" t="s">
        <v>60</v>
      </c>
      <c r="D36" s="153" t="s">
        <v>257</v>
      </c>
      <c r="E36" s="417"/>
      <c r="F36" s="2141"/>
      <c r="G36" s="2141"/>
      <c r="H36" s="2142"/>
      <c r="I36" s="327"/>
    </row>
    <row r="37" spans="1:23" ht="30">
      <c r="A37" s="2165" t="s">
        <v>33</v>
      </c>
      <c r="B37" s="2140"/>
      <c r="C37" s="155" t="s">
        <v>30</v>
      </c>
      <c r="D37" s="156" t="s">
        <v>170</v>
      </c>
      <c r="E37" s="417"/>
      <c r="F37" s="1820" t="s">
        <v>510</v>
      </c>
      <c r="G37" s="2140"/>
      <c r="H37" s="2137"/>
      <c r="I37" s="327"/>
    </row>
    <row r="38" spans="1:23" ht="30">
      <c r="A38" s="2138"/>
      <c r="B38" s="2148"/>
      <c r="C38" s="157" t="s">
        <v>31</v>
      </c>
      <c r="D38" s="156" t="s">
        <v>169</v>
      </c>
      <c r="E38" s="183" t="s">
        <v>277</v>
      </c>
      <c r="F38" s="2530" t="s">
        <v>891</v>
      </c>
      <c r="G38" s="2686"/>
      <c r="H38" s="2687"/>
      <c r="I38" s="704" t="s">
        <v>277</v>
      </c>
      <c r="J38" s="624">
        <v>1</v>
      </c>
      <c r="K38" s="624">
        <v>0</v>
      </c>
      <c r="L38" s="624">
        <v>100</v>
      </c>
      <c r="M38" s="624">
        <f>L38*177*5</f>
        <v>88500</v>
      </c>
      <c r="N38" s="326" t="s">
        <v>277</v>
      </c>
      <c r="O38" s="624">
        <v>1</v>
      </c>
      <c r="P38" s="624">
        <v>0</v>
      </c>
      <c r="Q38" s="624">
        <v>100</v>
      </c>
      <c r="R38" s="624">
        <f>Q38*5*177</f>
        <v>88500</v>
      </c>
      <c r="S38" s="326" t="s">
        <v>277</v>
      </c>
      <c r="T38" s="624">
        <v>1</v>
      </c>
      <c r="U38" s="624">
        <v>0</v>
      </c>
      <c r="V38" s="624">
        <v>100</v>
      </c>
      <c r="W38" s="625">
        <f>V38*177*5</f>
        <v>88500</v>
      </c>
    </row>
    <row r="39" spans="1:23" ht="30.75" thickBot="1">
      <c r="A39" s="2138"/>
      <c r="B39" s="2148"/>
      <c r="C39" s="158" t="s">
        <v>32</v>
      </c>
      <c r="D39" s="156" t="s">
        <v>250</v>
      </c>
      <c r="E39" s="183" t="s">
        <v>277</v>
      </c>
      <c r="F39" s="2688" t="s">
        <v>892</v>
      </c>
      <c r="G39" s="2689"/>
      <c r="H39" s="2690"/>
      <c r="I39" s="704" t="s">
        <v>277</v>
      </c>
      <c r="J39" s="624">
        <v>2</v>
      </c>
      <c r="K39" s="624">
        <v>2</v>
      </c>
      <c r="L39" s="624">
        <v>300</v>
      </c>
      <c r="M39" s="624">
        <f>L39*233*5</f>
        <v>349500</v>
      </c>
      <c r="N39" s="326" t="s">
        <v>277</v>
      </c>
      <c r="O39" s="624">
        <v>1</v>
      </c>
      <c r="P39" s="624">
        <v>1</v>
      </c>
      <c r="Q39" s="624">
        <v>150</v>
      </c>
      <c r="R39" s="624">
        <f>Q39*233*5</f>
        <v>174750</v>
      </c>
      <c r="S39" s="326" t="s">
        <v>277</v>
      </c>
      <c r="T39" s="624">
        <v>1</v>
      </c>
      <c r="U39" s="624">
        <v>1</v>
      </c>
      <c r="V39" s="624">
        <v>150</v>
      </c>
      <c r="W39" s="625">
        <f>V39*5*233</f>
        <v>174750</v>
      </c>
    </row>
    <row r="40" spans="1:23" ht="15.75">
      <c r="A40" s="2169" t="s">
        <v>491</v>
      </c>
      <c r="B40" s="2170"/>
      <c r="C40" s="159" t="s">
        <v>144</v>
      </c>
      <c r="D40" s="160" t="s">
        <v>253</v>
      </c>
      <c r="E40" s="183" t="s">
        <v>277</v>
      </c>
      <c r="F40" s="2522" t="s">
        <v>893</v>
      </c>
      <c r="G40" s="2525"/>
      <c r="H40" s="2526"/>
      <c r="I40" s="704" t="s">
        <v>277</v>
      </c>
      <c r="J40" s="624">
        <v>2</v>
      </c>
      <c r="K40" s="624">
        <v>0</v>
      </c>
      <c r="L40" s="624">
        <v>20</v>
      </c>
      <c r="M40" s="624">
        <f>L40*5*150</f>
        <v>15000</v>
      </c>
      <c r="N40" s="326" t="s">
        <v>277</v>
      </c>
      <c r="O40" s="624">
        <v>2</v>
      </c>
      <c r="P40" s="624">
        <v>0</v>
      </c>
      <c r="Q40" s="624">
        <v>20</v>
      </c>
      <c r="R40" s="624">
        <f>Q40*5*150</f>
        <v>15000</v>
      </c>
      <c r="S40" s="326" t="s">
        <v>277</v>
      </c>
      <c r="T40" s="624">
        <v>1</v>
      </c>
      <c r="U40" s="624">
        <v>1</v>
      </c>
      <c r="V40" s="624">
        <v>10</v>
      </c>
      <c r="W40" s="625">
        <f>V40*5*150</f>
        <v>7500</v>
      </c>
    </row>
    <row r="41" spans="1:23" ht="16.5" thickBot="1">
      <c r="A41" s="2148"/>
      <c r="B41" s="2158"/>
      <c r="C41" s="161" t="s">
        <v>145</v>
      </c>
      <c r="D41" s="160" t="s">
        <v>254</v>
      </c>
      <c r="E41" s="183" t="s">
        <v>277</v>
      </c>
      <c r="F41" s="2684"/>
      <c r="G41" s="2684"/>
      <c r="H41" s="2685"/>
      <c r="I41" s="704" t="s">
        <v>277</v>
      </c>
      <c r="J41" s="624">
        <v>3</v>
      </c>
      <c r="K41" s="624">
        <v>1</v>
      </c>
      <c r="L41" s="624">
        <v>30</v>
      </c>
      <c r="M41" s="624">
        <f>L41*5*201</f>
        <v>30150</v>
      </c>
      <c r="N41" s="326" t="s">
        <v>277</v>
      </c>
      <c r="O41" s="624">
        <v>2</v>
      </c>
      <c r="P41" s="624">
        <v>1</v>
      </c>
      <c r="Q41" s="624">
        <v>20</v>
      </c>
      <c r="R41" s="624">
        <f>Q41*5*201</f>
        <v>20100</v>
      </c>
      <c r="S41" s="326" t="s">
        <v>277</v>
      </c>
      <c r="T41" s="624">
        <v>2</v>
      </c>
      <c r="U41" s="624">
        <v>0</v>
      </c>
      <c r="V41" s="624">
        <v>20</v>
      </c>
      <c r="W41" s="625">
        <f>V41*5*201</f>
        <v>20100</v>
      </c>
    </row>
    <row r="42" spans="1:23" ht="48" thickBot="1">
      <c r="A42" s="2171"/>
      <c r="B42" s="2172"/>
      <c r="C42" s="162" t="s">
        <v>128</v>
      </c>
      <c r="D42" s="160" t="s">
        <v>262</v>
      </c>
      <c r="E42" s="417"/>
      <c r="F42" s="2173"/>
      <c r="G42" s="2097"/>
      <c r="H42" s="2098"/>
      <c r="I42" s="327"/>
    </row>
    <row r="43" spans="1:23" ht="43.5" customHeight="1" thickBot="1">
      <c r="A43" s="2146" t="s">
        <v>493</v>
      </c>
      <c r="B43" s="2144"/>
      <c r="C43" s="2145"/>
      <c r="D43" s="163" t="s">
        <v>237</v>
      </c>
      <c r="E43" s="183" t="s">
        <v>277</v>
      </c>
      <c r="F43" s="2517" t="s">
        <v>894</v>
      </c>
      <c r="G43" s="2518"/>
      <c r="H43" s="2519"/>
      <c r="I43" s="704" t="s">
        <v>277</v>
      </c>
      <c r="J43" s="624">
        <v>4</v>
      </c>
      <c r="K43" s="624">
        <v>0</v>
      </c>
      <c r="L43" s="624">
        <v>28</v>
      </c>
      <c r="M43" s="624">
        <f>L43*5*652</f>
        <v>91280</v>
      </c>
      <c r="N43" s="326" t="s">
        <v>554</v>
      </c>
      <c r="O43" s="624">
        <v>3</v>
      </c>
      <c r="P43" s="624">
        <v>0</v>
      </c>
      <c r="Q43" s="624">
        <v>21</v>
      </c>
      <c r="R43" s="624">
        <f>Q43*5*652</f>
        <v>68460</v>
      </c>
      <c r="S43" s="326" t="s">
        <v>277</v>
      </c>
      <c r="T43" s="624">
        <v>3</v>
      </c>
      <c r="U43" s="624">
        <v>0</v>
      </c>
      <c r="V43" s="624">
        <v>21</v>
      </c>
      <c r="W43" s="625">
        <f>V43*5*652</f>
        <v>68460</v>
      </c>
    </row>
    <row r="44" spans="1:23" ht="15.75" thickBot="1">
      <c r="A44" s="2146" t="s">
        <v>133</v>
      </c>
      <c r="B44" s="2144"/>
      <c r="C44" s="2145"/>
      <c r="D44" s="163" t="s">
        <v>238</v>
      </c>
      <c r="E44" s="417"/>
      <c r="F44" s="1818" t="s">
        <v>495</v>
      </c>
      <c r="G44" s="2097"/>
      <c r="H44" s="2098"/>
      <c r="I44" s="327"/>
    </row>
    <row r="45" spans="1:23">
      <c r="A45" s="2147" t="s">
        <v>41</v>
      </c>
      <c r="B45" s="2148"/>
      <c r="C45" s="164" t="s">
        <v>50</v>
      </c>
      <c r="D45" s="165" t="s">
        <v>246</v>
      </c>
      <c r="E45" s="417"/>
      <c r="F45" s="1785" t="s">
        <v>560</v>
      </c>
      <c r="G45" s="2097"/>
      <c r="H45" s="2098"/>
      <c r="I45" s="327"/>
    </row>
    <row r="46" spans="1:23">
      <c r="A46" s="2138"/>
      <c r="B46" s="2148"/>
      <c r="C46" s="166" t="s">
        <v>51</v>
      </c>
      <c r="D46" s="165" t="s">
        <v>247</v>
      </c>
      <c r="E46" s="417"/>
      <c r="F46" s="1785" t="s">
        <v>498</v>
      </c>
      <c r="G46" s="2097"/>
      <c r="H46" s="2098"/>
      <c r="I46" s="327"/>
    </row>
    <row r="47" spans="1:23">
      <c r="A47" s="2138"/>
      <c r="B47" s="2148"/>
      <c r="C47" s="166" t="s">
        <v>39</v>
      </c>
      <c r="D47" s="165" t="s">
        <v>248</v>
      </c>
      <c r="E47" s="417"/>
      <c r="F47" s="1785" t="s">
        <v>498</v>
      </c>
      <c r="G47" s="2097"/>
      <c r="H47" s="2098"/>
      <c r="I47" s="327"/>
    </row>
    <row r="48" spans="1:23" ht="15.75" thickBot="1">
      <c r="A48" s="2149"/>
      <c r="B48" s="2141"/>
      <c r="C48" s="167" t="s">
        <v>40</v>
      </c>
      <c r="D48" s="165" t="s">
        <v>249</v>
      </c>
      <c r="E48" s="417"/>
      <c r="F48" s="1785" t="s">
        <v>498</v>
      </c>
      <c r="G48" s="2097"/>
      <c r="H48" s="2098"/>
      <c r="I48" s="327"/>
    </row>
    <row r="49" spans="1:23" ht="15.75">
      <c r="A49" s="2150" t="s">
        <v>130</v>
      </c>
      <c r="B49" s="2151"/>
      <c r="C49" s="159" t="s">
        <v>131</v>
      </c>
      <c r="D49" s="160" t="s">
        <v>255</v>
      </c>
      <c r="E49" s="183" t="s">
        <v>277</v>
      </c>
      <c r="F49" s="2678" t="s">
        <v>895</v>
      </c>
      <c r="G49" s="2679"/>
      <c r="H49" s="2680"/>
      <c r="I49" s="704" t="s">
        <v>277</v>
      </c>
      <c r="J49" s="624">
        <v>2</v>
      </c>
      <c r="K49" s="624">
        <v>0</v>
      </c>
      <c r="L49" s="624">
        <v>20</v>
      </c>
      <c r="M49" s="624">
        <f>L49*5*153</f>
        <v>15300</v>
      </c>
      <c r="N49" s="326" t="s">
        <v>277</v>
      </c>
      <c r="O49" s="624">
        <v>2</v>
      </c>
      <c r="P49" s="624">
        <v>0</v>
      </c>
      <c r="Q49" s="624">
        <v>20</v>
      </c>
      <c r="R49" s="624">
        <f>Q49*5*153</f>
        <v>15300</v>
      </c>
      <c r="S49" s="326" t="s">
        <v>277</v>
      </c>
      <c r="T49" s="624">
        <v>1</v>
      </c>
      <c r="U49" s="624">
        <v>0</v>
      </c>
      <c r="V49" s="624">
        <v>10</v>
      </c>
      <c r="W49" s="625">
        <f>V49*5*153</f>
        <v>7650</v>
      </c>
    </row>
    <row r="50" spans="1:23" ht="48" thickBot="1">
      <c r="A50" s="2149"/>
      <c r="B50" s="2152"/>
      <c r="C50" s="168" t="s">
        <v>132</v>
      </c>
      <c r="D50" s="160" t="s">
        <v>263</v>
      </c>
      <c r="E50" s="183" t="s">
        <v>277</v>
      </c>
      <c r="F50" s="2681"/>
      <c r="G50" s="2682"/>
      <c r="H50" s="2683"/>
      <c r="I50" s="704" t="s">
        <v>277</v>
      </c>
      <c r="J50" s="624">
        <v>3</v>
      </c>
      <c r="K50" s="624">
        <v>1</v>
      </c>
      <c r="L50" s="624">
        <v>30</v>
      </c>
      <c r="M50" s="624">
        <f>L50*5*204</f>
        <v>30600</v>
      </c>
      <c r="N50" s="326" t="s">
        <v>277</v>
      </c>
      <c r="O50" s="624">
        <v>2</v>
      </c>
      <c r="P50" s="624">
        <v>1</v>
      </c>
      <c r="Q50" s="624">
        <v>20</v>
      </c>
      <c r="R50" s="624">
        <f>Q50*5*204</f>
        <v>20400</v>
      </c>
      <c r="S50" s="326" t="s">
        <v>277</v>
      </c>
      <c r="T50" s="624">
        <v>2</v>
      </c>
      <c r="U50" s="624">
        <v>1</v>
      </c>
      <c r="V50" s="624">
        <v>20</v>
      </c>
      <c r="W50" s="625">
        <f>V50*5*204</f>
        <v>20400</v>
      </c>
    </row>
    <row r="51" spans="1:23">
      <c r="A51" s="2154" t="s">
        <v>42</v>
      </c>
      <c r="B51" s="2140"/>
      <c r="C51" s="169" t="s">
        <v>38</v>
      </c>
      <c r="D51" s="170" t="s">
        <v>239</v>
      </c>
      <c r="E51" s="417"/>
      <c r="F51" s="1818" t="s">
        <v>499</v>
      </c>
      <c r="G51" s="2097"/>
      <c r="H51" s="2098"/>
      <c r="I51" s="327"/>
    </row>
    <row r="52" spans="1:23">
      <c r="A52" s="2148"/>
      <c r="B52" s="2148"/>
      <c r="C52" s="171" t="s">
        <v>55</v>
      </c>
      <c r="D52" s="170" t="s">
        <v>240</v>
      </c>
      <c r="E52" s="417"/>
      <c r="F52" s="2155"/>
      <c r="G52" s="2097"/>
      <c r="H52" s="2098"/>
      <c r="I52" s="327"/>
    </row>
    <row r="53" spans="1:23" ht="16.5" thickBot="1">
      <c r="A53" s="2148"/>
      <c r="B53" s="2148"/>
      <c r="C53" s="161" t="s">
        <v>48</v>
      </c>
      <c r="D53" s="172" t="s">
        <v>241</v>
      </c>
      <c r="E53" s="417"/>
      <c r="F53" s="2156"/>
      <c r="G53" s="2097"/>
      <c r="H53" s="2098"/>
      <c r="I53" s="327"/>
    </row>
    <row r="54" spans="1:23" ht="16.5" thickBot="1">
      <c r="A54" s="2135" t="s">
        <v>500</v>
      </c>
      <c r="B54" s="2097"/>
      <c r="C54" s="173" t="s">
        <v>134</v>
      </c>
      <c r="D54" s="174" t="s">
        <v>269</v>
      </c>
      <c r="E54" s="569"/>
      <c r="F54" s="1818" t="s">
        <v>501</v>
      </c>
      <c r="G54" s="2097"/>
      <c r="H54" s="2098"/>
      <c r="I54" s="327"/>
    </row>
    <row r="55" spans="1:23">
      <c r="I55" s="566"/>
      <c r="J55" s="1171">
        <f>SUM(J17:J50)</f>
        <v>19</v>
      </c>
      <c r="K55" s="1171">
        <f>SUM(K17:K50)</f>
        <v>6</v>
      </c>
      <c r="L55" s="1171">
        <f>SUM(L17:L50)</f>
        <v>828</v>
      </c>
      <c r="M55" s="1171">
        <f>SUM(M17:M50)</f>
        <v>1041830</v>
      </c>
      <c r="N55" s="1171"/>
      <c r="O55" s="1171">
        <f>SUM(O17:O50)</f>
        <v>14</v>
      </c>
      <c r="P55" s="1171">
        <f>SUM(P17:P50)</f>
        <v>4</v>
      </c>
      <c r="Q55" s="1171">
        <f>SUM(Q17:Q50)</f>
        <v>501</v>
      </c>
      <c r="R55" s="1171">
        <f>SUM(R17:R50)</f>
        <v>613260</v>
      </c>
      <c r="S55" s="1171"/>
      <c r="T55" s="1171">
        <f>SUM(T17:T50)</f>
        <v>12</v>
      </c>
      <c r="U55" s="1171">
        <f>SUM(U17:U50)</f>
        <v>4</v>
      </c>
      <c r="V55" s="1171">
        <f>SUM(V17:V50)</f>
        <v>481</v>
      </c>
      <c r="W55" s="1171">
        <f>SUM(W17:W50)</f>
        <v>598110</v>
      </c>
    </row>
    <row r="58" spans="1:23">
      <c r="A58" s="2198" t="s">
        <v>1270</v>
      </c>
      <c r="B58" s="2199"/>
      <c r="C58" s="2199"/>
      <c r="D58" s="2199"/>
      <c r="E58" s="2199"/>
      <c r="F58" s="2199"/>
    </row>
    <row r="59" spans="1:23" ht="90">
      <c r="A59" s="1534" t="s">
        <v>1271</v>
      </c>
      <c r="B59" s="1534" t="s">
        <v>1272</v>
      </c>
      <c r="C59" s="1534" t="s">
        <v>1273</v>
      </c>
      <c r="D59" s="1534" t="s">
        <v>1274</v>
      </c>
      <c r="E59" s="1534" t="s">
        <v>1275</v>
      </c>
      <c r="F59" s="1534" t="s">
        <v>1547</v>
      </c>
    </row>
    <row r="60" spans="1:23" ht="105">
      <c r="A60" s="1535" t="s">
        <v>1548</v>
      </c>
      <c r="B60" s="1535" t="s">
        <v>1549</v>
      </c>
      <c r="C60" s="1533" t="s">
        <v>1550</v>
      </c>
      <c r="D60" s="1533" t="s">
        <v>887</v>
      </c>
      <c r="E60" s="1535" t="s">
        <v>1551</v>
      </c>
      <c r="F60" s="1533">
        <v>50</v>
      </c>
    </row>
    <row r="61" spans="1:23" ht="120">
      <c r="A61" s="1535" t="s">
        <v>1552</v>
      </c>
      <c r="B61" s="1535" t="s">
        <v>1553</v>
      </c>
      <c r="C61" s="1533" t="s">
        <v>1337</v>
      </c>
      <c r="D61" s="1533" t="s">
        <v>887</v>
      </c>
      <c r="E61" s="1535" t="s">
        <v>1554</v>
      </c>
      <c r="F61" s="1533">
        <v>40</v>
      </c>
    </row>
    <row r="62" spans="1:23" ht="210">
      <c r="A62" s="1536" t="s">
        <v>1555</v>
      </c>
      <c r="B62" s="1536" t="s">
        <v>1556</v>
      </c>
      <c r="C62" s="1536" t="s">
        <v>1557</v>
      </c>
      <c r="D62" s="1533" t="s">
        <v>887</v>
      </c>
      <c r="E62" s="1535" t="s">
        <v>233</v>
      </c>
      <c r="F62" s="1533">
        <v>4</v>
      </c>
    </row>
    <row r="63" spans="1:23">
      <c r="A63" s="2696" t="s">
        <v>1558</v>
      </c>
      <c r="B63" s="2697"/>
      <c r="C63" s="2697"/>
      <c r="D63" s="2697"/>
      <c r="E63" s="1537"/>
      <c r="F63" s="1538" t="s">
        <v>1559</v>
      </c>
    </row>
    <row r="64" spans="1:23">
      <c r="A64" s="2693" t="s">
        <v>1560</v>
      </c>
      <c r="B64" s="2694"/>
      <c r="C64" s="2694"/>
      <c r="D64" s="2694"/>
      <c r="E64" s="2694"/>
      <c r="F64" s="2695"/>
    </row>
  </sheetData>
  <mergeCells count="60">
    <mergeCell ref="A58:F58"/>
    <mergeCell ref="A64:F64"/>
    <mergeCell ref="A63:D63"/>
    <mergeCell ref="I13:M13"/>
    <mergeCell ref="N13:R13"/>
    <mergeCell ref="A23:B25"/>
    <mergeCell ref="F23:H25"/>
    <mergeCell ref="A26:C26"/>
    <mergeCell ref="F26:H26"/>
    <mergeCell ref="A27:B29"/>
    <mergeCell ref="F27:H29"/>
    <mergeCell ref="A30:B32"/>
    <mergeCell ref="F30:H32"/>
    <mergeCell ref="A33:B33"/>
    <mergeCell ref="F33:H33"/>
    <mergeCell ref="A34:B34"/>
    <mergeCell ref="S13:W13"/>
    <mergeCell ref="A18:B20"/>
    <mergeCell ref="F18:H20"/>
    <mergeCell ref="A21:B22"/>
    <mergeCell ref="F21:H22"/>
    <mergeCell ref="A15:B17"/>
    <mergeCell ref="F15:H17"/>
    <mergeCell ref="B3:D3"/>
    <mergeCell ref="B4:D4"/>
    <mergeCell ref="B5:D5"/>
    <mergeCell ref="B7:D7"/>
    <mergeCell ref="B9:D9"/>
    <mergeCell ref="C11:H11"/>
    <mergeCell ref="A11:B11"/>
    <mergeCell ref="E12:H13"/>
    <mergeCell ref="A14:B14"/>
    <mergeCell ref="F14:H14"/>
    <mergeCell ref="F34:H34"/>
    <mergeCell ref="A35:B36"/>
    <mergeCell ref="F35:H36"/>
    <mergeCell ref="A37:B39"/>
    <mergeCell ref="F37:H37"/>
    <mergeCell ref="F38:H38"/>
    <mergeCell ref="F39:H39"/>
    <mergeCell ref="A40:B42"/>
    <mergeCell ref="F40:H41"/>
    <mergeCell ref="F42:H42"/>
    <mergeCell ref="A43:C43"/>
    <mergeCell ref="F43:H43"/>
    <mergeCell ref="A44:C44"/>
    <mergeCell ref="F44:H44"/>
    <mergeCell ref="A45:B48"/>
    <mergeCell ref="F45:H45"/>
    <mergeCell ref="F46:H46"/>
    <mergeCell ref="F47:H47"/>
    <mergeCell ref="F48:H48"/>
    <mergeCell ref="A54:B54"/>
    <mergeCell ref="F54:H54"/>
    <mergeCell ref="A49:B50"/>
    <mergeCell ref="F49:H50"/>
    <mergeCell ref="A51:B53"/>
    <mergeCell ref="F51:H51"/>
    <mergeCell ref="F52:H52"/>
    <mergeCell ref="F53:H53"/>
  </mergeCells>
  <dataValidations count="3">
    <dataValidation type="list" allowBlank="1" showErrorMessage="1" sqref="H9">
      <formula1>"Enjeu EAU AESN,Enjeu EAU AEAP,Enjeu ZH et prairies AEAP,Enjeu Erosion AEAP,Enjeu Biodiversité MASA"</formula1>
    </dataValidation>
    <dataValidation type="list" allowBlank="1" showErrorMessage="1" sqref="H3">
      <formula1>$N$3:$N$4</formula1>
    </dataValidation>
    <dataValidation type="list" allowBlank="1" showErrorMessage="1" sqref="H4">
      <formula1>$N$5:$N$6</formula1>
    </dataValidation>
  </dataValidations>
  <hyperlinks>
    <hyperlink ref="K3" location="SOMMAIRE!A1" display="Retour sommaire"/>
    <hyperlink ref="K5" location="SYNTHESE!A1" display="Retour synthèse"/>
  </hyperlinks>
  <pageMargins left="0.25" right="0.25" top="0.75" bottom="0.75" header="0.3" footer="0.3"/>
  <pageSetup paperSize="9" orientation="landscape"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W70"/>
  <sheetViews>
    <sheetView topLeftCell="A58" workbookViewId="0">
      <selection activeCell="F44" sqref="F44:H44"/>
    </sheetView>
  </sheetViews>
  <sheetFormatPr baseColWidth="10" defaultRowHeight="15"/>
  <cols>
    <col min="1" max="1" width="20.42578125" style="1" bestFit="1" customWidth="1"/>
    <col min="2" max="2" width="15.7109375" style="1" customWidth="1"/>
    <col min="3" max="3" width="40" style="1" customWidth="1"/>
    <col min="4" max="4" width="8.85546875" style="1" customWidth="1"/>
    <col min="5" max="5" width="7.5703125" style="1" customWidth="1"/>
    <col min="6" max="6" width="16.28515625" style="1" bestFit="1" customWidth="1"/>
    <col min="7" max="7" width="22.5703125" style="1" customWidth="1"/>
    <col min="8" max="8" width="23.140625" bestFit="1" customWidth="1"/>
  </cols>
  <sheetData>
    <row r="1" spans="1:23" ht="15.75" thickBot="1">
      <c r="A1" s="327"/>
      <c r="B1" s="327"/>
      <c r="C1" s="327"/>
      <c r="D1" s="327"/>
      <c r="E1" s="327"/>
      <c r="F1" s="327"/>
      <c r="G1" s="327"/>
      <c r="H1" s="327"/>
      <c r="J1" s="1251"/>
    </row>
    <row r="2" spans="1:23" ht="15.75" thickBot="1">
      <c r="A2" s="328" t="s">
        <v>0</v>
      </c>
      <c r="B2" s="1807" t="s">
        <v>653</v>
      </c>
      <c r="C2" s="1776"/>
      <c r="D2" s="1777"/>
      <c r="E2" s="329"/>
      <c r="F2" s="329"/>
      <c r="G2" s="330" t="s">
        <v>462</v>
      </c>
      <c r="H2" s="408" t="s">
        <v>14</v>
      </c>
      <c r="J2" s="11" t="s">
        <v>73</v>
      </c>
    </row>
    <row r="3" spans="1:23" ht="15.75" thickBot="1">
      <c r="A3" s="331" t="s">
        <v>344</v>
      </c>
      <c r="B3" s="1807" t="s">
        <v>669</v>
      </c>
      <c r="C3" s="1880"/>
      <c r="D3" s="1881"/>
      <c r="E3" s="329"/>
      <c r="F3" s="329"/>
      <c r="G3" s="332" t="s">
        <v>10</v>
      </c>
      <c r="H3" s="408" t="s">
        <v>16</v>
      </c>
      <c r="J3" s="1251"/>
    </row>
    <row r="4" spans="1:23" ht="15.75" thickBot="1">
      <c r="A4" s="332" t="s">
        <v>3</v>
      </c>
      <c r="B4" s="1809" t="s">
        <v>37</v>
      </c>
      <c r="C4" s="1776"/>
      <c r="D4" s="1777"/>
      <c r="E4" s="333"/>
      <c r="F4" s="329"/>
      <c r="G4" s="334" t="s">
        <v>26</v>
      </c>
      <c r="H4" s="392">
        <v>9</v>
      </c>
      <c r="J4" s="13" t="s">
        <v>381</v>
      </c>
    </row>
    <row r="5" spans="1:23" ht="15.75" customHeight="1" thickBot="1">
      <c r="A5" s="329"/>
      <c r="B5" s="329"/>
      <c r="C5" s="329"/>
      <c r="D5" s="329"/>
      <c r="E5" s="329"/>
      <c r="F5" s="329"/>
      <c r="G5" s="329"/>
      <c r="H5" s="329"/>
    </row>
    <row r="6" spans="1:23" ht="103.5" customHeight="1" thickBot="1">
      <c r="A6" s="328" t="s">
        <v>465</v>
      </c>
      <c r="B6" s="1909" t="s">
        <v>1608</v>
      </c>
      <c r="C6" s="1811"/>
      <c r="D6" s="1812"/>
      <c r="E6" s="329"/>
      <c r="F6" s="329"/>
      <c r="G6" s="335" t="s">
        <v>466</v>
      </c>
      <c r="H6" s="336" t="s">
        <v>670</v>
      </c>
    </row>
    <row r="7" spans="1:23" ht="15.75" thickBot="1">
      <c r="A7" s="327"/>
      <c r="B7" s="329"/>
      <c r="C7" s="329"/>
      <c r="D7" s="329"/>
      <c r="E7" s="329"/>
      <c r="F7" s="329"/>
      <c r="G7" s="337"/>
      <c r="H7" s="329"/>
    </row>
    <row r="8" spans="1:23" ht="30.75" thickBot="1">
      <c r="A8" s="338" t="s">
        <v>7</v>
      </c>
      <c r="B8" s="1823" t="s">
        <v>671</v>
      </c>
      <c r="C8" s="1776"/>
      <c r="D8" s="1777"/>
      <c r="E8" s="333"/>
      <c r="F8" s="339"/>
      <c r="G8" s="338" t="s">
        <v>469</v>
      </c>
      <c r="H8" s="123" t="s">
        <v>470</v>
      </c>
    </row>
    <row r="9" spans="1:23" ht="15.75" thickBot="1">
      <c r="A9" s="327"/>
      <c r="B9" s="329"/>
      <c r="C9" s="329"/>
      <c r="D9" s="329"/>
      <c r="E9" s="329"/>
      <c r="F9" s="329"/>
      <c r="G9" s="337"/>
      <c r="H9" s="329"/>
    </row>
    <row r="10" spans="1:23" ht="84.75" customHeight="1" thickBot="1">
      <c r="A10" s="1813" t="s">
        <v>471</v>
      </c>
      <c r="B10" s="1772"/>
      <c r="C10" s="340" t="s">
        <v>672</v>
      </c>
      <c r="D10" s="341"/>
      <c r="E10" s="333"/>
      <c r="F10" s="339"/>
      <c r="G10" s="342"/>
      <c r="H10" s="342"/>
      <c r="I10" s="1259"/>
    </row>
    <row r="11" spans="1:23">
      <c r="A11" s="343"/>
      <c r="B11" s="333"/>
      <c r="C11" s="333"/>
      <c r="D11" s="333"/>
      <c r="E11" s="333"/>
      <c r="F11" s="339"/>
      <c r="G11" s="342"/>
      <c r="H11" s="342"/>
      <c r="I11" s="61"/>
    </row>
    <row r="12" spans="1:23">
      <c r="A12" s="343"/>
      <c r="B12" s="333"/>
      <c r="C12" s="333"/>
      <c r="D12" s="333"/>
      <c r="E12" s="1814" t="s">
        <v>473</v>
      </c>
      <c r="F12" s="1772"/>
      <c r="G12" s="1772"/>
      <c r="H12" s="1772"/>
      <c r="I12" s="61"/>
    </row>
    <row r="13" spans="1:23" ht="33.75" customHeight="1">
      <c r="A13" s="329"/>
      <c r="B13" s="329"/>
      <c r="C13" s="329"/>
      <c r="D13" s="329"/>
      <c r="E13" s="1780"/>
      <c r="F13" s="1780"/>
      <c r="G13" s="1780"/>
      <c r="H13" s="1780"/>
      <c r="I13" s="1817">
        <v>2025</v>
      </c>
      <c r="J13" s="1762"/>
      <c r="K13" s="1762"/>
      <c r="L13" s="1762"/>
      <c r="M13" s="1764"/>
      <c r="N13" s="1817">
        <v>2026</v>
      </c>
      <c r="O13" s="1762"/>
      <c r="P13" s="1762"/>
      <c r="Q13" s="1762"/>
      <c r="R13" s="1764"/>
      <c r="S13" s="1817">
        <v>2027</v>
      </c>
      <c r="T13" s="1762"/>
      <c r="U13" s="1762"/>
      <c r="V13" s="1762"/>
      <c r="W13" s="1764"/>
    </row>
    <row r="14" spans="1:23" ht="30" customHeight="1" thickBot="1">
      <c r="A14" s="1816" t="s">
        <v>5</v>
      </c>
      <c r="B14" s="1792"/>
      <c r="C14" s="344" t="s">
        <v>1</v>
      </c>
      <c r="D14" s="344" t="s">
        <v>260</v>
      </c>
      <c r="E14" s="345" t="s">
        <v>474</v>
      </c>
      <c r="F14" s="1815" t="s">
        <v>6</v>
      </c>
      <c r="G14" s="1762"/>
      <c r="H14" s="1764"/>
      <c r="I14" s="643" t="s">
        <v>474</v>
      </c>
      <c r="J14" s="644" t="s">
        <v>944</v>
      </c>
      <c r="K14" s="645" t="s">
        <v>945</v>
      </c>
      <c r="L14" s="644" t="s">
        <v>946</v>
      </c>
      <c r="M14" s="646" t="s">
        <v>947</v>
      </c>
      <c r="N14" s="643" t="s">
        <v>474</v>
      </c>
      <c r="O14" s="644" t="s">
        <v>944</v>
      </c>
      <c r="P14" s="645" t="s">
        <v>945</v>
      </c>
      <c r="Q14" s="644" t="s">
        <v>946</v>
      </c>
      <c r="R14" s="646" t="s">
        <v>947</v>
      </c>
      <c r="S14" s="643" t="s">
        <v>474</v>
      </c>
      <c r="T14" s="644" t="s">
        <v>944</v>
      </c>
      <c r="U14" s="645" t="s">
        <v>945</v>
      </c>
      <c r="V14" s="644" t="s">
        <v>946</v>
      </c>
      <c r="W14" s="646" t="s">
        <v>947</v>
      </c>
    </row>
    <row r="15" spans="1:23" ht="52.5" customHeight="1">
      <c r="A15" s="1804" t="s">
        <v>17</v>
      </c>
      <c r="B15" s="1771"/>
      <c r="C15" s="346" t="s">
        <v>59</v>
      </c>
      <c r="D15" s="347" t="s">
        <v>251</v>
      </c>
      <c r="E15" s="348"/>
      <c r="F15" s="1791" t="s">
        <v>475</v>
      </c>
      <c r="G15" s="1771"/>
      <c r="H15" s="1792"/>
      <c r="I15" s="650"/>
      <c r="J15" s="648"/>
      <c r="K15" s="648"/>
      <c r="L15" s="648"/>
      <c r="M15" s="649"/>
      <c r="N15" s="650"/>
      <c r="O15" s="648"/>
      <c r="P15" s="648"/>
      <c r="Q15" s="648"/>
      <c r="R15" s="649"/>
      <c r="S15" s="650"/>
      <c r="T15" s="648"/>
      <c r="U15" s="648"/>
      <c r="V15" s="648"/>
      <c r="W15" s="651"/>
    </row>
    <row r="16" spans="1:23" ht="43.5" customHeight="1">
      <c r="A16" s="1772"/>
      <c r="B16" s="1772"/>
      <c r="C16" s="349" t="s">
        <v>18</v>
      </c>
      <c r="D16" s="350" t="s">
        <v>168</v>
      </c>
      <c r="E16" s="351"/>
      <c r="F16" s="1798"/>
      <c r="G16" s="1798"/>
      <c r="H16" s="1799"/>
      <c r="I16" s="653"/>
      <c r="J16" s="632"/>
      <c r="K16" s="632"/>
      <c r="L16" s="632"/>
      <c r="M16" s="632"/>
      <c r="N16" s="653"/>
      <c r="O16" s="632"/>
      <c r="P16" s="632"/>
      <c r="Q16" s="632"/>
      <c r="R16" s="632"/>
      <c r="S16" s="653"/>
      <c r="T16" s="632"/>
      <c r="U16" s="632"/>
      <c r="V16" s="632"/>
      <c r="W16" s="654"/>
    </row>
    <row r="17" spans="1:23" ht="41.25" customHeight="1" thickBot="1">
      <c r="A17" s="1780"/>
      <c r="B17" s="1780"/>
      <c r="C17" s="352" t="s">
        <v>19</v>
      </c>
      <c r="D17" s="353" t="s">
        <v>233</v>
      </c>
      <c r="E17" s="354"/>
      <c r="F17" s="1780"/>
      <c r="G17" s="1780"/>
      <c r="H17" s="1793"/>
      <c r="I17" s="656"/>
      <c r="J17" s="632"/>
      <c r="K17" s="632"/>
      <c r="L17" s="632"/>
      <c r="M17" s="632"/>
      <c r="N17" s="656"/>
      <c r="O17" s="632"/>
      <c r="P17" s="632"/>
      <c r="Q17" s="632"/>
      <c r="R17" s="632"/>
      <c r="S17" s="656"/>
      <c r="T17" s="632"/>
      <c r="U17" s="632"/>
      <c r="V17" s="632"/>
      <c r="W17" s="654"/>
    </row>
    <row r="18" spans="1:23" ht="15" customHeight="1">
      <c r="A18" s="1804" t="s">
        <v>20</v>
      </c>
      <c r="B18" s="1771"/>
      <c r="C18" s="346" t="s">
        <v>54</v>
      </c>
      <c r="D18" s="353" t="s">
        <v>261</v>
      </c>
      <c r="E18" s="354"/>
      <c r="F18" s="1791" t="s">
        <v>475</v>
      </c>
      <c r="G18" s="1771"/>
      <c r="H18" s="1792"/>
      <c r="I18" s="656"/>
      <c r="J18" s="632"/>
      <c r="K18" s="632"/>
      <c r="L18" s="632"/>
      <c r="M18" s="632"/>
      <c r="N18" s="656"/>
      <c r="O18" s="632"/>
      <c r="P18" s="632"/>
      <c r="Q18" s="632"/>
      <c r="R18" s="632"/>
      <c r="S18" s="656"/>
      <c r="T18" s="632"/>
      <c r="U18" s="632"/>
      <c r="V18" s="632"/>
      <c r="W18" s="654"/>
    </row>
    <row r="19" spans="1:23" ht="30" customHeight="1">
      <c r="A19" s="1772"/>
      <c r="B19" s="1772"/>
      <c r="C19" s="355" t="s">
        <v>21</v>
      </c>
      <c r="D19" s="353" t="s">
        <v>234</v>
      </c>
      <c r="E19" s="354"/>
      <c r="F19" s="1798"/>
      <c r="G19" s="1798"/>
      <c r="H19" s="1799"/>
      <c r="I19" s="656"/>
      <c r="J19" s="632"/>
      <c r="K19" s="632"/>
      <c r="L19" s="632"/>
      <c r="M19" s="632"/>
      <c r="N19" s="656"/>
      <c r="O19" s="632"/>
      <c r="P19" s="632"/>
      <c r="Q19" s="632"/>
      <c r="R19" s="632"/>
      <c r="S19" s="656"/>
      <c r="T19" s="632"/>
      <c r="U19" s="632"/>
      <c r="V19" s="632"/>
      <c r="W19" s="654"/>
    </row>
    <row r="20" spans="1:23" ht="15" customHeight="1" thickBot="1">
      <c r="A20" s="1772"/>
      <c r="B20" s="1772"/>
      <c r="C20" s="352" t="s">
        <v>22</v>
      </c>
      <c r="D20" s="353" t="s">
        <v>235</v>
      </c>
      <c r="E20" s="354"/>
      <c r="F20" s="1780"/>
      <c r="G20" s="1780"/>
      <c r="H20" s="1793"/>
      <c r="I20" s="656"/>
      <c r="J20" s="632"/>
      <c r="K20" s="632"/>
      <c r="L20" s="632"/>
      <c r="M20" s="632"/>
      <c r="N20" s="656"/>
      <c r="O20" s="632"/>
      <c r="P20" s="632"/>
      <c r="Q20" s="632"/>
      <c r="R20" s="632"/>
      <c r="S20" s="656"/>
      <c r="T20" s="632"/>
      <c r="U20" s="632"/>
      <c r="V20" s="632"/>
      <c r="W20" s="654"/>
    </row>
    <row r="21" spans="1:23" ht="15" customHeight="1">
      <c r="A21" s="1804" t="s">
        <v>23</v>
      </c>
      <c r="B21" s="1771"/>
      <c r="C21" s="356" t="s">
        <v>69</v>
      </c>
      <c r="D21" s="353" t="s">
        <v>267</v>
      </c>
      <c r="E21" s="354"/>
      <c r="F21" s="1791" t="s">
        <v>477</v>
      </c>
      <c r="G21" s="1771"/>
      <c r="H21" s="1792"/>
      <c r="I21" s="656"/>
      <c r="J21" s="632"/>
      <c r="K21" s="632"/>
      <c r="L21" s="632"/>
      <c r="M21" s="632"/>
      <c r="N21" s="656"/>
      <c r="O21" s="632"/>
      <c r="P21" s="632"/>
      <c r="Q21" s="632"/>
      <c r="R21" s="632"/>
      <c r="S21" s="656"/>
      <c r="T21" s="632"/>
      <c r="U21" s="632"/>
      <c r="V21" s="632"/>
      <c r="W21" s="654"/>
    </row>
    <row r="22" spans="1:23" ht="30" customHeight="1" thickBot="1">
      <c r="A22" s="1780"/>
      <c r="B22" s="1780"/>
      <c r="C22" s="357" t="s">
        <v>24</v>
      </c>
      <c r="D22" s="358" t="s">
        <v>236</v>
      </c>
      <c r="E22" s="354"/>
      <c r="F22" s="1780"/>
      <c r="G22" s="1780"/>
      <c r="H22" s="1793"/>
      <c r="I22" s="656"/>
      <c r="J22" s="632"/>
      <c r="K22" s="632"/>
      <c r="L22" s="632"/>
      <c r="M22" s="632"/>
      <c r="N22" s="656"/>
      <c r="O22" s="632"/>
      <c r="P22" s="632"/>
      <c r="Q22" s="632"/>
      <c r="R22" s="632"/>
      <c r="S22" s="656"/>
      <c r="T22" s="632"/>
      <c r="U22" s="632"/>
      <c r="V22" s="632"/>
      <c r="W22" s="654"/>
    </row>
    <row r="23" spans="1:23" ht="30" customHeight="1">
      <c r="A23" s="1801" t="s">
        <v>478</v>
      </c>
      <c r="B23" s="1792"/>
      <c r="C23" s="359" t="s">
        <v>360</v>
      </c>
      <c r="D23" s="358" t="s">
        <v>265</v>
      </c>
      <c r="E23" s="354"/>
      <c r="F23" s="1791" t="s">
        <v>477</v>
      </c>
      <c r="G23" s="1771"/>
      <c r="H23" s="1792"/>
      <c r="I23" s="656"/>
      <c r="J23" s="632"/>
      <c r="K23" s="632"/>
      <c r="L23" s="632"/>
      <c r="M23" s="632"/>
      <c r="N23" s="656"/>
      <c r="O23" s="632"/>
      <c r="P23" s="632"/>
      <c r="Q23" s="632"/>
      <c r="R23" s="632"/>
      <c r="S23" s="656"/>
      <c r="T23" s="632"/>
      <c r="U23" s="632"/>
      <c r="V23" s="632"/>
      <c r="W23" s="654"/>
    </row>
    <row r="24" spans="1:23" ht="15.75">
      <c r="A24" s="1779"/>
      <c r="B24" s="1799"/>
      <c r="C24" s="360" t="s">
        <v>361</v>
      </c>
      <c r="D24" s="358" t="s">
        <v>362</v>
      </c>
      <c r="E24" s="354"/>
      <c r="F24" s="1798"/>
      <c r="G24" s="1798"/>
      <c r="H24" s="1799"/>
      <c r="I24" s="656"/>
      <c r="J24" s="632"/>
      <c r="K24" s="632"/>
      <c r="L24" s="632"/>
      <c r="M24" s="632"/>
      <c r="N24" s="656"/>
      <c r="O24" s="632"/>
      <c r="P24" s="632"/>
      <c r="Q24" s="632"/>
      <c r="R24" s="632"/>
      <c r="S24" s="656"/>
      <c r="T24" s="632"/>
      <c r="U24" s="632"/>
      <c r="V24" s="632"/>
      <c r="W24" s="654"/>
    </row>
    <row r="25" spans="1:23" ht="16.5" thickBot="1">
      <c r="A25" s="1779"/>
      <c r="B25" s="1799"/>
      <c r="C25" s="361" t="s">
        <v>479</v>
      </c>
      <c r="D25" s="358" t="s">
        <v>480</v>
      </c>
      <c r="E25" s="354"/>
      <c r="F25" s="1780"/>
      <c r="G25" s="1780"/>
      <c r="H25" s="1793"/>
      <c r="I25" s="656"/>
      <c r="J25" s="632"/>
      <c r="K25" s="632"/>
      <c r="L25" s="632"/>
      <c r="M25" s="632"/>
      <c r="N25" s="656"/>
      <c r="O25" s="632"/>
      <c r="P25" s="632"/>
      <c r="Q25" s="632"/>
      <c r="R25" s="632"/>
      <c r="S25" s="656"/>
      <c r="T25" s="632"/>
      <c r="U25" s="632"/>
      <c r="V25" s="632"/>
      <c r="W25" s="654"/>
    </row>
    <row r="26" spans="1:23" ht="15.75" thickBot="1">
      <c r="A26" s="1802" t="s">
        <v>25</v>
      </c>
      <c r="B26" s="1776"/>
      <c r="C26" s="1777"/>
      <c r="D26" s="362" t="s">
        <v>270</v>
      </c>
      <c r="E26" s="354"/>
      <c r="F26" s="1763" t="s">
        <v>481</v>
      </c>
      <c r="G26" s="1762"/>
      <c r="H26" s="1764"/>
      <c r="I26" s="656"/>
      <c r="J26" s="632"/>
      <c r="K26" s="632"/>
      <c r="L26" s="632"/>
      <c r="M26" s="632"/>
      <c r="N26" s="656"/>
      <c r="O26" s="632"/>
      <c r="P26" s="632"/>
      <c r="Q26" s="632"/>
      <c r="R26" s="632"/>
      <c r="S26" s="656"/>
      <c r="T26" s="632"/>
      <c r="U26" s="632"/>
      <c r="V26" s="632"/>
      <c r="W26" s="654"/>
    </row>
    <row r="27" spans="1:23" ht="15.75">
      <c r="A27" s="1803" t="s">
        <v>153</v>
      </c>
      <c r="B27" s="1788"/>
      <c r="C27" s="363" t="s">
        <v>152</v>
      </c>
      <c r="D27" s="364" t="s">
        <v>268</v>
      </c>
      <c r="E27" s="354"/>
      <c r="F27" s="1791" t="s">
        <v>475</v>
      </c>
      <c r="G27" s="1771"/>
      <c r="H27" s="1792"/>
      <c r="I27" s="656"/>
      <c r="J27" s="632"/>
      <c r="K27" s="632"/>
      <c r="L27" s="632"/>
      <c r="M27" s="632"/>
      <c r="N27" s="656"/>
      <c r="O27" s="632"/>
      <c r="P27" s="632"/>
      <c r="Q27" s="632"/>
      <c r="R27" s="632"/>
      <c r="S27" s="656"/>
      <c r="T27" s="632"/>
      <c r="U27" s="632"/>
      <c r="V27" s="632"/>
      <c r="W27" s="654"/>
    </row>
    <row r="28" spans="1:23" ht="15.75">
      <c r="A28" s="1779"/>
      <c r="B28" s="1788"/>
      <c r="C28" s="365" t="s">
        <v>154</v>
      </c>
      <c r="D28" s="364" t="s">
        <v>392</v>
      </c>
      <c r="E28" s="354"/>
      <c r="F28" s="1798"/>
      <c r="G28" s="1798"/>
      <c r="H28" s="1799"/>
      <c r="I28" s="656"/>
      <c r="J28" s="632"/>
      <c r="K28" s="632"/>
      <c r="L28" s="632"/>
      <c r="M28" s="632"/>
      <c r="N28" s="656"/>
      <c r="O28" s="632"/>
      <c r="P28" s="632"/>
      <c r="Q28" s="632"/>
      <c r="R28" s="632"/>
      <c r="S28" s="656"/>
      <c r="T28" s="632"/>
      <c r="U28" s="632"/>
      <c r="V28" s="632"/>
      <c r="W28" s="654"/>
    </row>
    <row r="29" spans="1:23" ht="16.5" thickBot="1">
      <c r="A29" s="1767"/>
      <c r="B29" s="1768"/>
      <c r="C29" s="366" t="s">
        <v>400</v>
      </c>
      <c r="D29" s="364" t="s">
        <v>393</v>
      </c>
      <c r="E29" s="354"/>
      <c r="F29" s="1780"/>
      <c r="G29" s="1780"/>
      <c r="H29" s="1793"/>
      <c r="I29" s="656"/>
      <c r="J29" s="632"/>
      <c r="K29" s="632"/>
      <c r="L29" s="632"/>
      <c r="M29" s="632"/>
      <c r="N29" s="656"/>
      <c r="O29" s="632"/>
      <c r="P29" s="632"/>
      <c r="Q29" s="632"/>
      <c r="R29" s="632"/>
      <c r="S29" s="656"/>
      <c r="T29" s="632"/>
      <c r="U29" s="632"/>
      <c r="V29" s="632"/>
      <c r="W29" s="654"/>
    </row>
    <row r="30" spans="1:23" ht="15.75">
      <c r="A30" s="1797" t="s">
        <v>153</v>
      </c>
      <c r="B30" s="1766"/>
      <c r="C30" s="367" t="s">
        <v>155</v>
      </c>
      <c r="D30" s="364" t="s">
        <v>266</v>
      </c>
      <c r="E30" s="354"/>
      <c r="F30" s="1791" t="s">
        <v>475</v>
      </c>
      <c r="G30" s="1771"/>
      <c r="H30" s="1792"/>
      <c r="I30" s="656"/>
      <c r="J30" s="632"/>
      <c r="K30" s="632"/>
      <c r="L30" s="632"/>
      <c r="M30" s="632"/>
      <c r="N30" s="656"/>
      <c r="O30" s="632"/>
      <c r="P30" s="632"/>
      <c r="Q30" s="632"/>
      <c r="R30" s="632"/>
      <c r="S30" s="656"/>
      <c r="T30" s="632"/>
      <c r="U30" s="632"/>
      <c r="V30" s="632"/>
      <c r="W30" s="654"/>
    </row>
    <row r="31" spans="1:23" ht="15.75">
      <c r="A31" s="1779"/>
      <c r="B31" s="1788"/>
      <c r="C31" s="365" t="s">
        <v>156</v>
      </c>
      <c r="D31" s="364" t="s">
        <v>394</v>
      </c>
      <c r="E31" s="354"/>
      <c r="F31" s="1798"/>
      <c r="G31" s="1798"/>
      <c r="H31" s="1799"/>
      <c r="I31" s="656"/>
      <c r="J31" s="632"/>
      <c r="K31" s="632"/>
      <c r="L31" s="632"/>
      <c r="M31" s="632"/>
      <c r="N31" s="656"/>
      <c r="O31" s="632"/>
      <c r="P31" s="632"/>
      <c r="Q31" s="632"/>
      <c r="R31" s="632"/>
      <c r="S31" s="656"/>
      <c r="T31" s="632"/>
      <c r="U31" s="632"/>
      <c r="V31" s="632"/>
      <c r="W31" s="654"/>
    </row>
    <row r="32" spans="1:23" ht="16.5" thickBot="1">
      <c r="A32" s="1767"/>
      <c r="B32" s="1768"/>
      <c r="C32" s="366" t="s">
        <v>399</v>
      </c>
      <c r="D32" s="364" t="s">
        <v>395</v>
      </c>
      <c r="E32" s="354"/>
      <c r="F32" s="1780"/>
      <c r="G32" s="1780"/>
      <c r="H32" s="1793"/>
      <c r="I32" s="656"/>
      <c r="J32" s="632"/>
      <c r="K32" s="632"/>
      <c r="L32" s="632"/>
      <c r="M32" s="632"/>
      <c r="N32" s="656"/>
      <c r="O32" s="632"/>
      <c r="P32" s="632"/>
      <c r="Q32" s="632"/>
      <c r="R32" s="632"/>
      <c r="S32" s="656"/>
      <c r="T32" s="632"/>
      <c r="U32" s="632"/>
      <c r="V32" s="632"/>
      <c r="W32" s="654"/>
    </row>
    <row r="33" spans="1:23" ht="16.5" thickBot="1">
      <c r="A33" s="1797" t="s">
        <v>482</v>
      </c>
      <c r="B33" s="1766"/>
      <c r="C33" s="367" t="s">
        <v>365</v>
      </c>
      <c r="D33" s="364" t="s">
        <v>252</v>
      </c>
      <c r="E33" s="354"/>
      <c r="F33" s="1791" t="s">
        <v>483</v>
      </c>
      <c r="G33" s="1771"/>
      <c r="H33" s="1792"/>
      <c r="I33" s="656"/>
      <c r="J33" s="632"/>
      <c r="K33" s="632"/>
      <c r="L33" s="632"/>
      <c r="M33" s="632"/>
      <c r="N33" s="656"/>
      <c r="O33" s="632"/>
      <c r="P33" s="632"/>
      <c r="Q33" s="632"/>
      <c r="R33" s="632"/>
      <c r="S33" s="656"/>
      <c r="T33" s="632"/>
      <c r="U33" s="632"/>
      <c r="V33" s="632"/>
      <c r="W33" s="654"/>
    </row>
    <row r="34" spans="1:23" ht="16.5" thickBot="1">
      <c r="A34" s="1797" t="s">
        <v>484</v>
      </c>
      <c r="B34" s="1766"/>
      <c r="C34" s="367" t="s">
        <v>485</v>
      </c>
      <c r="D34" s="364" t="s">
        <v>264</v>
      </c>
      <c r="E34" s="354"/>
      <c r="F34" s="1800"/>
      <c r="G34" s="1771"/>
      <c r="H34" s="1792"/>
      <c r="I34" s="656"/>
      <c r="J34" s="632"/>
      <c r="K34" s="632"/>
      <c r="L34" s="632"/>
      <c r="M34" s="632"/>
      <c r="N34" s="656"/>
      <c r="O34" s="632"/>
      <c r="P34" s="632"/>
      <c r="Q34" s="632"/>
      <c r="R34" s="632"/>
      <c r="S34" s="656"/>
      <c r="T34" s="632"/>
      <c r="U34" s="632"/>
      <c r="V34" s="632"/>
      <c r="W34" s="654"/>
    </row>
    <row r="35" spans="1:23" ht="15.75">
      <c r="A35" s="1795" t="s">
        <v>486</v>
      </c>
      <c r="B35" s="1766"/>
      <c r="C35" s="368" t="s">
        <v>43</v>
      </c>
      <c r="D35" s="369" t="s">
        <v>256</v>
      </c>
      <c r="E35" s="354"/>
      <c r="F35" s="1791" t="s">
        <v>487</v>
      </c>
      <c r="G35" s="1771"/>
      <c r="H35" s="1792"/>
      <c r="I35" s="656"/>
      <c r="J35" s="632"/>
      <c r="K35" s="632"/>
      <c r="L35" s="632"/>
      <c r="M35" s="632"/>
      <c r="N35" s="656"/>
      <c r="O35" s="632"/>
      <c r="P35" s="632"/>
      <c r="Q35" s="632"/>
      <c r="R35" s="632"/>
      <c r="S35" s="656"/>
      <c r="T35" s="632"/>
      <c r="U35" s="632"/>
      <c r="V35" s="632"/>
      <c r="W35" s="654"/>
    </row>
    <row r="36" spans="1:23" ht="16.5" thickBot="1">
      <c r="A36" s="1767"/>
      <c r="B36" s="1768"/>
      <c r="C36" s="370" t="s">
        <v>60</v>
      </c>
      <c r="D36" s="369" t="s">
        <v>257</v>
      </c>
      <c r="E36" s="354"/>
      <c r="F36" s="1780"/>
      <c r="G36" s="1780"/>
      <c r="H36" s="1793"/>
      <c r="I36" s="656"/>
      <c r="J36" s="632"/>
      <c r="K36" s="632"/>
      <c r="L36" s="632"/>
      <c r="M36" s="632"/>
      <c r="N36" s="656"/>
      <c r="O36" s="632"/>
      <c r="P36" s="632"/>
      <c r="Q36" s="632"/>
      <c r="R36" s="632"/>
      <c r="S36" s="656"/>
      <c r="T36" s="632"/>
      <c r="U36" s="632"/>
      <c r="V36" s="632"/>
      <c r="W36" s="654"/>
    </row>
    <row r="37" spans="1:23" ht="30">
      <c r="A37" s="1796" t="s">
        <v>33</v>
      </c>
      <c r="B37" s="1771"/>
      <c r="C37" s="371" t="s">
        <v>30</v>
      </c>
      <c r="D37" s="372" t="s">
        <v>170</v>
      </c>
      <c r="E37" s="354"/>
      <c r="F37" s="1819" t="s">
        <v>510</v>
      </c>
      <c r="G37" s="1771"/>
      <c r="H37" s="1792"/>
      <c r="I37" s="656"/>
      <c r="J37" s="632"/>
      <c r="K37" s="632"/>
      <c r="L37" s="632"/>
      <c r="M37" s="632"/>
      <c r="N37" s="656"/>
      <c r="O37" s="632"/>
      <c r="P37" s="632"/>
      <c r="Q37" s="632"/>
      <c r="R37" s="632"/>
      <c r="S37" s="656"/>
      <c r="T37" s="632"/>
      <c r="U37" s="632"/>
      <c r="V37" s="632"/>
      <c r="W37" s="654"/>
    </row>
    <row r="38" spans="1:23" ht="30">
      <c r="A38" s="1779"/>
      <c r="B38" s="1772"/>
      <c r="C38" s="373" t="s">
        <v>31</v>
      </c>
      <c r="D38" s="372" t="s">
        <v>169</v>
      </c>
      <c r="E38" s="354"/>
      <c r="F38" s="1819" t="s">
        <v>539</v>
      </c>
      <c r="G38" s="1771"/>
      <c r="H38" s="1792"/>
      <c r="I38" s="656"/>
      <c r="J38" s="632"/>
      <c r="K38" s="632"/>
      <c r="L38" s="632"/>
      <c r="M38" s="632"/>
      <c r="N38" s="656"/>
      <c r="O38" s="632"/>
      <c r="P38" s="632"/>
      <c r="Q38" s="632"/>
      <c r="R38" s="632"/>
      <c r="S38" s="656"/>
      <c r="T38" s="632"/>
      <c r="U38" s="632"/>
      <c r="V38" s="632"/>
      <c r="W38" s="654"/>
    </row>
    <row r="39" spans="1:23" ht="30.75" thickBot="1">
      <c r="A39" s="1779"/>
      <c r="B39" s="1772"/>
      <c r="C39" s="374" t="s">
        <v>32</v>
      </c>
      <c r="D39" s="372" t="s">
        <v>250</v>
      </c>
      <c r="E39" s="354"/>
      <c r="F39" s="1780"/>
      <c r="G39" s="1780"/>
      <c r="H39" s="1793"/>
      <c r="I39" s="656"/>
      <c r="J39" s="632"/>
      <c r="K39" s="632"/>
      <c r="L39" s="632"/>
      <c r="M39" s="632"/>
      <c r="N39" s="656"/>
      <c r="O39" s="632"/>
      <c r="P39" s="632"/>
      <c r="Q39" s="632"/>
      <c r="R39" s="632"/>
      <c r="S39" s="656"/>
      <c r="T39" s="632"/>
      <c r="U39" s="632"/>
      <c r="V39" s="632"/>
      <c r="W39" s="654"/>
    </row>
    <row r="40" spans="1:23" ht="54.75" customHeight="1">
      <c r="A40" s="1786" t="s">
        <v>491</v>
      </c>
      <c r="B40" s="1787"/>
      <c r="C40" s="375" t="s">
        <v>144</v>
      </c>
      <c r="D40" s="376" t="s">
        <v>253</v>
      </c>
      <c r="E40" s="493" t="s">
        <v>554</v>
      </c>
      <c r="F40" s="2698" t="s">
        <v>673</v>
      </c>
      <c r="G40" s="1791"/>
      <c r="H40" s="2699"/>
      <c r="I40" s="712" t="s">
        <v>554</v>
      </c>
      <c r="J40" s="632">
        <v>2</v>
      </c>
      <c r="K40" s="632"/>
      <c r="L40" s="632" t="s">
        <v>1053</v>
      </c>
      <c r="M40">
        <f>150*15*5</f>
        <v>11250</v>
      </c>
      <c r="N40" s="712" t="s">
        <v>554</v>
      </c>
      <c r="O40" s="632">
        <v>2</v>
      </c>
      <c r="P40" s="632"/>
      <c r="Q40" s="632" t="s">
        <v>1053</v>
      </c>
      <c r="R40" s="632"/>
      <c r="S40" s="712" t="s">
        <v>554</v>
      </c>
      <c r="T40" s="632">
        <v>2</v>
      </c>
      <c r="U40" s="632"/>
      <c r="V40" s="632" t="s">
        <v>1053</v>
      </c>
      <c r="W40" s="654"/>
    </row>
    <row r="41" spans="1:23" ht="16.5" thickBot="1">
      <c r="A41" s="1772"/>
      <c r="B41" s="1788"/>
      <c r="C41" s="377" t="s">
        <v>145</v>
      </c>
      <c r="D41" s="376" t="s">
        <v>254</v>
      </c>
      <c r="E41" s="493" t="s">
        <v>554</v>
      </c>
      <c r="F41" s="2698" t="s">
        <v>674</v>
      </c>
      <c r="G41" s="1791"/>
      <c r="H41" s="2699"/>
      <c r="I41" s="712" t="s">
        <v>554</v>
      </c>
      <c r="J41" s="632">
        <v>2</v>
      </c>
      <c r="K41" s="632"/>
      <c r="L41" s="632" t="s">
        <v>1053</v>
      </c>
      <c r="M41" s="632">
        <f>201*15*5</f>
        <v>15075</v>
      </c>
      <c r="N41" s="712" t="s">
        <v>554</v>
      </c>
      <c r="O41" s="632">
        <v>2</v>
      </c>
      <c r="P41" s="632"/>
      <c r="Q41" s="632" t="s">
        <v>1053</v>
      </c>
      <c r="R41" s="632"/>
      <c r="S41" s="712" t="s">
        <v>554</v>
      </c>
      <c r="T41" s="632">
        <v>2</v>
      </c>
      <c r="U41" s="632"/>
      <c r="V41" s="632" t="s">
        <v>1053</v>
      </c>
      <c r="W41" s="654"/>
    </row>
    <row r="42" spans="1:23" ht="48" thickBot="1">
      <c r="A42" s="1789"/>
      <c r="B42" s="1790"/>
      <c r="C42" s="378" t="s">
        <v>128</v>
      </c>
      <c r="D42" s="376" t="s">
        <v>262</v>
      </c>
      <c r="E42" s="354"/>
      <c r="F42" s="1794"/>
      <c r="G42" s="1762"/>
      <c r="H42" s="1764"/>
      <c r="I42" s="712"/>
      <c r="J42" s="632"/>
      <c r="K42" s="632"/>
      <c r="L42" s="632"/>
      <c r="M42" s="632"/>
      <c r="N42" s="712"/>
      <c r="O42" s="632"/>
      <c r="P42" s="632"/>
      <c r="Q42" s="632"/>
      <c r="R42" s="632"/>
      <c r="S42" s="712"/>
      <c r="T42" s="632"/>
      <c r="U42" s="632"/>
      <c r="V42" s="632"/>
      <c r="W42" s="654"/>
    </row>
    <row r="43" spans="1:23" ht="45.75" customHeight="1" thickBot="1">
      <c r="A43" s="1775" t="s">
        <v>493</v>
      </c>
      <c r="B43" s="1776"/>
      <c r="C43" s="1777"/>
      <c r="D43" s="379" t="s">
        <v>237</v>
      </c>
      <c r="E43" s="493" t="s">
        <v>554</v>
      </c>
      <c r="F43" s="1763" t="s">
        <v>659</v>
      </c>
      <c r="G43" s="1762"/>
      <c r="H43" s="1764"/>
      <c r="I43" s="712" t="s">
        <v>554</v>
      </c>
      <c r="J43" s="632">
        <v>1</v>
      </c>
      <c r="K43" s="632"/>
      <c r="L43" s="632" t="s">
        <v>1054</v>
      </c>
      <c r="M43" s="632">
        <f>652*2*5</f>
        <v>6520</v>
      </c>
      <c r="N43" s="712" t="s">
        <v>554</v>
      </c>
      <c r="O43" s="632">
        <v>1</v>
      </c>
      <c r="P43" s="632"/>
      <c r="Q43" s="632" t="s">
        <v>1054</v>
      </c>
      <c r="R43" s="632"/>
      <c r="S43" s="712" t="s">
        <v>554</v>
      </c>
      <c r="T43" s="632">
        <v>1</v>
      </c>
      <c r="U43" s="632"/>
      <c r="V43" s="632" t="s">
        <v>1054</v>
      </c>
      <c r="W43" s="654"/>
    </row>
    <row r="44" spans="1:23" ht="15.75" thickBot="1">
      <c r="A44" s="1775" t="s">
        <v>133</v>
      </c>
      <c r="B44" s="1776"/>
      <c r="C44" s="1777"/>
      <c r="D44" s="379" t="s">
        <v>238</v>
      </c>
      <c r="E44" s="494" t="s">
        <v>554</v>
      </c>
      <c r="F44" s="1763" t="s">
        <v>660</v>
      </c>
      <c r="G44" s="1762"/>
      <c r="H44" s="1764"/>
      <c r="I44" s="712" t="s">
        <v>554</v>
      </c>
      <c r="J44" s="632">
        <v>1</v>
      </c>
      <c r="K44" s="632"/>
      <c r="L44" s="632" t="s">
        <v>1055</v>
      </c>
      <c r="M44" s="632">
        <f>358*1*5</f>
        <v>1790</v>
      </c>
      <c r="N44" s="712" t="s">
        <v>554</v>
      </c>
      <c r="O44" s="632">
        <v>1</v>
      </c>
      <c r="P44" s="632"/>
      <c r="Q44" s="632" t="s">
        <v>1055</v>
      </c>
      <c r="R44" s="632"/>
      <c r="S44" s="712" t="s">
        <v>554</v>
      </c>
      <c r="T44" s="632">
        <v>1</v>
      </c>
      <c r="U44" s="632"/>
      <c r="V44" s="632" t="s">
        <v>1055</v>
      </c>
      <c r="W44" s="654"/>
    </row>
    <row r="45" spans="1:23">
      <c r="A45" s="1778" t="s">
        <v>41</v>
      </c>
      <c r="B45" s="1772"/>
      <c r="C45" s="380" t="s">
        <v>50</v>
      </c>
      <c r="D45" s="381" t="s">
        <v>246</v>
      </c>
      <c r="E45" s="493"/>
      <c r="F45" s="1781" t="s">
        <v>560</v>
      </c>
      <c r="G45" s="1762"/>
      <c r="H45" s="1764"/>
      <c r="I45" s="712"/>
      <c r="J45" s="632"/>
      <c r="K45" s="632"/>
      <c r="L45" s="632"/>
      <c r="M45" s="632"/>
      <c r="N45" s="712"/>
      <c r="O45" s="632"/>
      <c r="P45" s="632"/>
      <c r="Q45" s="632"/>
      <c r="R45" s="632"/>
      <c r="S45" s="712"/>
      <c r="T45" s="632"/>
      <c r="U45" s="632"/>
      <c r="V45" s="632"/>
      <c r="W45" s="654"/>
    </row>
    <row r="46" spans="1:23" ht="54" customHeight="1">
      <c r="A46" s="1779"/>
      <c r="B46" s="1772"/>
      <c r="C46" s="382" t="s">
        <v>51</v>
      </c>
      <c r="D46" s="381" t="s">
        <v>247</v>
      </c>
      <c r="E46" s="493" t="s">
        <v>554</v>
      </c>
      <c r="F46" s="1781" t="s">
        <v>675</v>
      </c>
      <c r="G46" s="1762"/>
      <c r="H46" s="1764"/>
      <c r="I46" s="712" t="s">
        <v>554</v>
      </c>
      <c r="J46" s="632">
        <v>1</v>
      </c>
      <c r="K46" s="632"/>
      <c r="L46" s="632" t="s">
        <v>1056</v>
      </c>
      <c r="M46" s="632">
        <f>145*5*5</f>
        <v>3625</v>
      </c>
      <c r="N46" s="712" t="s">
        <v>554</v>
      </c>
      <c r="O46" s="632">
        <v>1</v>
      </c>
      <c r="P46" s="632"/>
      <c r="Q46" s="632" t="s">
        <v>1056</v>
      </c>
      <c r="R46" s="632"/>
      <c r="S46" s="712" t="s">
        <v>554</v>
      </c>
      <c r="T46" s="632">
        <v>1</v>
      </c>
      <c r="U46" s="632"/>
      <c r="V46" s="632" t="s">
        <v>1056</v>
      </c>
      <c r="W46" s="654"/>
    </row>
    <row r="47" spans="1:23">
      <c r="A47" s="1779"/>
      <c r="B47" s="1772"/>
      <c r="C47" s="382" t="s">
        <v>39</v>
      </c>
      <c r="D47" s="381" t="s">
        <v>248</v>
      </c>
      <c r="E47" s="493" t="s">
        <v>554</v>
      </c>
      <c r="F47" s="1781" t="s">
        <v>676</v>
      </c>
      <c r="G47" s="1762"/>
      <c r="H47" s="1764"/>
      <c r="I47" s="712" t="s">
        <v>554</v>
      </c>
      <c r="J47" s="632">
        <v>1</v>
      </c>
      <c r="K47" s="632"/>
      <c r="L47" s="632" t="s">
        <v>1056</v>
      </c>
      <c r="M47" s="632">
        <f>5*5*200</f>
        <v>5000</v>
      </c>
      <c r="N47" s="712" t="s">
        <v>554</v>
      </c>
      <c r="O47" s="632">
        <v>1</v>
      </c>
      <c r="P47" s="632"/>
      <c r="Q47" s="632" t="s">
        <v>1056</v>
      </c>
      <c r="R47" s="632"/>
      <c r="S47" s="712" t="s">
        <v>554</v>
      </c>
      <c r="T47" s="632">
        <v>1</v>
      </c>
      <c r="U47" s="632"/>
      <c r="V47" s="632" t="s">
        <v>1056</v>
      </c>
      <c r="W47" s="654"/>
    </row>
    <row r="48" spans="1:23" ht="15.75" thickBot="1">
      <c r="A48" s="1767"/>
      <c r="B48" s="1780"/>
      <c r="C48" s="383" t="s">
        <v>40</v>
      </c>
      <c r="D48" s="381" t="s">
        <v>249</v>
      </c>
      <c r="E48" s="493" t="s">
        <v>554</v>
      </c>
      <c r="F48" s="1781" t="s">
        <v>676</v>
      </c>
      <c r="G48" s="1762"/>
      <c r="H48" s="1764"/>
      <c r="I48" s="712" t="s">
        <v>554</v>
      </c>
      <c r="J48" s="632">
        <v>1</v>
      </c>
      <c r="K48" s="632"/>
      <c r="L48" s="632" t="s">
        <v>1056</v>
      </c>
      <c r="M48" s="632">
        <f>5*5*254</f>
        <v>6350</v>
      </c>
      <c r="N48" s="712" t="s">
        <v>554</v>
      </c>
      <c r="O48" s="632">
        <v>1</v>
      </c>
      <c r="P48" s="632"/>
      <c r="Q48" s="632" t="s">
        <v>1056</v>
      </c>
      <c r="R48" s="632"/>
      <c r="S48" s="712" t="s">
        <v>554</v>
      </c>
      <c r="T48" s="632">
        <v>1</v>
      </c>
      <c r="U48" s="632"/>
      <c r="V48" s="632" t="s">
        <v>1056</v>
      </c>
      <c r="W48" s="654"/>
    </row>
    <row r="49" spans="1:23" ht="15.75">
      <c r="A49" s="1765" t="s">
        <v>130</v>
      </c>
      <c r="B49" s="1766"/>
      <c r="C49" s="375" t="s">
        <v>131</v>
      </c>
      <c r="D49" s="376" t="s">
        <v>255</v>
      </c>
      <c r="E49" s="354"/>
      <c r="F49" s="1769"/>
      <c r="G49" s="1762"/>
      <c r="H49" s="1764"/>
      <c r="I49" s="712"/>
      <c r="J49" s="632"/>
      <c r="K49" s="632"/>
      <c r="L49" s="632"/>
      <c r="M49" s="632"/>
      <c r="N49" s="712"/>
      <c r="O49" s="632"/>
      <c r="P49" s="632"/>
      <c r="Q49" s="632"/>
      <c r="R49" s="632"/>
      <c r="S49" s="712"/>
      <c r="T49" s="632"/>
      <c r="U49" s="632"/>
      <c r="V49" s="632"/>
      <c r="W49" s="654"/>
    </row>
    <row r="50" spans="1:23" ht="48" thickBot="1">
      <c r="A50" s="1767"/>
      <c r="B50" s="1768"/>
      <c r="C50" s="384" t="s">
        <v>132</v>
      </c>
      <c r="D50" s="376" t="s">
        <v>263</v>
      </c>
      <c r="E50" s="354"/>
      <c r="F50" s="1769"/>
      <c r="G50" s="1762"/>
      <c r="H50" s="1764"/>
      <c r="I50" s="712"/>
      <c r="J50" s="632"/>
      <c r="K50" s="632"/>
      <c r="L50" s="632"/>
      <c r="M50" s="632"/>
      <c r="N50" s="712"/>
      <c r="O50" s="632"/>
      <c r="P50" s="632"/>
      <c r="Q50" s="632"/>
      <c r="R50" s="632"/>
      <c r="S50" s="712"/>
      <c r="T50" s="632"/>
      <c r="U50" s="632"/>
      <c r="V50" s="632"/>
      <c r="W50" s="654"/>
    </row>
    <row r="51" spans="1:23">
      <c r="A51" s="1770" t="s">
        <v>42</v>
      </c>
      <c r="B51" s="1771"/>
      <c r="C51" s="385" t="s">
        <v>38</v>
      </c>
      <c r="D51" s="386" t="s">
        <v>239</v>
      </c>
      <c r="E51" s="493" t="s">
        <v>554</v>
      </c>
      <c r="F51" s="1763" t="s">
        <v>661</v>
      </c>
      <c r="G51" s="1762"/>
      <c r="H51" s="1764"/>
      <c r="I51" s="712" t="s">
        <v>554</v>
      </c>
      <c r="J51" s="632">
        <v>2</v>
      </c>
      <c r="K51" s="632"/>
      <c r="L51" s="632" t="s">
        <v>1057</v>
      </c>
      <c r="M51" s="632">
        <f>50*0.8*5</f>
        <v>200</v>
      </c>
      <c r="N51" s="712" t="s">
        <v>554</v>
      </c>
      <c r="O51" s="632">
        <v>2</v>
      </c>
      <c r="P51" s="632"/>
      <c r="Q51" s="632" t="s">
        <v>1057</v>
      </c>
      <c r="R51" s="632"/>
      <c r="S51" s="712" t="s">
        <v>554</v>
      </c>
      <c r="T51" s="632">
        <v>2</v>
      </c>
      <c r="U51" s="632"/>
      <c r="V51" s="632" t="s">
        <v>1057</v>
      </c>
      <c r="W51" s="654"/>
    </row>
    <row r="52" spans="1:23">
      <c r="A52" s="1772"/>
      <c r="B52" s="1772"/>
      <c r="C52" s="387" t="s">
        <v>55</v>
      </c>
      <c r="D52" s="386" t="s">
        <v>240</v>
      </c>
      <c r="E52" s="494"/>
      <c r="F52" s="1773"/>
      <c r="G52" s="1762"/>
      <c r="H52" s="1764"/>
      <c r="I52" s="712"/>
      <c r="J52" s="632"/>
      <c r="K52" s="632"/>
      <c r="L52" s="632"/>
      <c r="M52" s="632"/>
      <c r="N52" s="712"/>
      <c r="O52" s="632"/>
      <c r="P52" s="632"/>
      <c r="Q52" s="632"/>
      <c r="R52" s="632"/>
      <c r="S52" s="712"/>
      <c r="T52" s="632"/>
      <c r="U52" s="632"/>
      <c r="V52" s="632"/>
      <c r="W52" s="654"/>
    </row>
    <row r="53" spans="1:23" ht="16.5" thickBot="1">
      <c r="A53" s="1772"/>
      <c r="B53" s="1772"/>
      <c r="C53" s="377" t="s">
        <v>48</v>
      </c>
      <c r="D53" s="388" t="s">
        <v>241</v>
      </c>
      <c r="E53" s="494" t="s">
        <v>554</v>
      </c>
      <c r="F53" s="1774"/>
      <c r="G53" s="1762"/>
      <c r="H53" s="1764"/>
      <c r="I53" s="712" t="s">
        <v>554</v>
      </c>
      <c r="J53" s="632">
        <v>1</v>
      </c>
      <c r="K53" s="632"/>
      <c r="L53" s="632" t="s">
        <v>1058</v>
      </c>
      <c r="M53" s="632">
        <f>20*5*1.6</f>
        <v>160</v>
      </c>
      <c r="N53" s="712" t="s">
        <v>554</v>
      </c>
      <c r="O53" s="632">
        <v>1</v>
      </c>
      <c r="P53" s="632"/>
      <c r="Q53" s="632" t="s">
        <v>1058</v>
      </c>
      <c r="R53" s="632"/>
      <c r="S53" s="712" t="s">
        <v>554</v>
      </c>
      <c r="T53" s="632">
        <v>1</v>
      </c>
      <c r="U53" s="632"/>
      <c r="V53" s="632" t="s">
        <v>1058</v>
      </c>
      <c r="W53" s="654"/>
    </row>
    <row r="54" spans="1:23" ht="32.25" thickBot="1">
      <c r="A54" s="1761" t="s">
        <v>500</v>
      </c>
      <c r="B54" s="1762"/>
      <c r="C54" s="389" t="s">
        <v>134</v>
      </c>
      <c r="D54" s="390" t="s">
        <v>269</v>
      </c>
      <c r="E54" s="391"/>
      <c r="F54" s="1763" t="s">
        <v>501</v>
      </c>
      <c r="G54" s="1762"/>
      <c r="H54" s="1764"/>
      <c r="I54" s="659"/>
      <c r="J54" s="658"/>
      <c r="K54" s="658"/>
      <c r="L54" s="658"/>
      <c r="M54" s="658"/>
      <c r="N54" s="659"/>
      <c r="O54" s="658"/>
      <c r="P54" s="658"/>
      <c r="Q54" s="658"/>
      <c r="R54" s="658"/>
      <c r="S54" s="659"/>
      <c r="T54" s="658"/>
      <c r="U54" s="658"/>
      <c r="V54" s="658"/>
      <c r="W54" s="660"/>
    </row>
    <row r="56" spans="1:23">
      <c r="M56">
        <f>SUM(M16:M54)</f>
        <v>49970</v>
      </c>
    </row>
    <row r="58" spans="1:23" ht="75">
      <c r="A58" s="630" t="s">
        <v>948</v>
      </c>
      <c r="B58" s="630" t="s">
        <v>949</v>
      </c>
      <c r="C58" s="630" t="s">
        <v>950</v>
      </c>
      <c r="D58" s="630" t="s">
        <v>1038</v>
      </c>
      <c r="E58" s="630" t="s">
        <v>1039</v>
      </c>
      <c r="F58" s="630" t="s">
        <v>952</v>
      </c>
    </row>
    <row r="59" spans="1:23">
      <c r="A59" s="719" t="s">
        <v>953</v>
      </c>
      <c r="B59" s="624" t="s">
        <v>887</v>
      </c>
      <c r="C59" s="624" t="s">
        <v>1040</v>
      </c>
      <c r="D59" s="720"/>
      <c r="E59" s="721">
        <v>0.25</v>
      </c>
      <c r="F59" s="2275" t="s">
        <v>1041</v>
      </c>
    </row>
    <row r="60" spans="1:23">
      <c r="A60" s="719" t="s">
        <v>956</v>
      </c>
      <c r="B60" s="624" t="s">
        <v>887</v>
      </c>
      <c r="C60" s="695" t="s">
        <v>1042</v>
      </c>
      <c r="D60" s="720"/>
      <c r="E60" s="721">
        <v>0.25</v>
      </c>
      <c r="F60" s="2276"/>
    </row>
    <row r="61" spans="1:23">
      <c r="A61" s="719" t="s">
        <v>957</v>
      </c>
      <c r="B61" s="624" t="s">
        <v>991</v>
      </c>
      <c r="C61" s="624"/>
      <c r="D61" s="720"/>
      <c r="E61" s="720"/>
      <c r="F61" s="2276"/>
    </row>
    <row r="62" spans="1:23">
      <c r="A62" s="719" t="s">
        <v>959</v>
      </c>
      <c r="B62" s="624" t="s">
        <v>887</v>
      </c>
      <c r="C62" s="624"/>
      <c r="D62" s="720">
        <v>1.1399999999999999</v>
      </c>
      <c r="E62" s="721">
        <v>0.5</v>
      </c>
      <c r="F62" s="2276"/>
    </row>
    <row r="63" spans="1:23">
      <c r="A63" s="719" t="s">
        <v>961</v>
      </c>
      <c r="B63" s="624" t="s">
        <v>887</v>
      </c>
      <c r="C63" s="695" t="s">
        <v>1043</v>
      </c>
      <c r="D63" s="720"/>
      <c r="E63" s="721">
        <v>2</v>
      </c>
      <c r="F63" s="2276"/>
    </row>
    <row r="64" spans="1:23">
      <c r="A64" s="719" t="s">
        <v>963</v>
      </c>
      <c r="B64" s="624" t="s">
        <v>887</v>
      </c>
      <c r="C64" s="695" t="s">
        <v>1044</v>
      </c>
      <c r="D64" s="720">
        <v>2.29</v>
      </c>
      <c r="E64" s="720"/>
      <c r="F64" s="2276"/>
    </row>
    <row r="65" spans="1:6">
      <c r="A65" s="719" t="s">
        <v>965</v>
      </c>
      <c r="B65" s="624" t="s">
        <v>887</v>
      </c>
      <c r="C65" s="624"/>
      <c r="D65" s="720"/>
      <c r="E65" s="721">
        <v>0.5</v>
      </c>
      <c r="F65" s="2276"/>
    </row>
    <row r="66" spans="1:6">
      <c r="A66" s="719" t="s">
        <v>967</v>
      </c>
      <c r="B66" s="624" t="s">
        <v>991</v>
      </c>
      <c r="C66" s="624"/>
      <c r="D66" s="720"/>
      <c r="E66" s="720"/>
      <c r="F66" s="2276"/>
    </row>
    <row r="67" spans="1:6">
      <c r="A67" s="719" t="s">
        <v>969</v>
      </c>
      <c r="B67" s="624" t="s">
        <v>887</v>
      </c>
      <c r="C67" s="695" t="s">
        <v>1045</v>
      </c>
      <c r="D67" s="720">
        <v>0.56999999999999995</v>
      </c>
      <c r="E67" s="721">
        <v>0.5</v>
      </c>
      <c r="F67" s="2276"/>
    </row>
    <row r="68" spans="1:6">
      <c r="A68" s="719" t="s">
        <v>971</v>
      </c>
      <c r="B68" s="624" t="s">
        <v>887</v>
      </c>
      <c r="C68" s="624"/>
      <c r="D68" s="720"/>
      <c r="E68" s="721">
        <v>0.21</v>
      </c>
      <c r="F68" s="2277"/>
    </row>
    <row r="69" spans="1:6">
      <c r="A69" s="609"/>
      <c r="B69" s="609"/>
      <c r="C69" s="609"/>
      <c r="D69" s="609">
        <f>SUM(D59:D68)</f>
        <v>3.9999999999999996</v>
      </c>
      <c r="E69" s="609">
        <f>SUM(E59:E68)</f>
        <v>4.21</v>
      </c>
      <c r="F69" s="609"/>
    </row>
    <row r="70" spans="1:6">
      <c r="A70" s="609"/>
      <c r="B70" s="609"/>
      <c r="C70" s="609"/>
      <c r="D70" s="2278">
        <f>SUM(D69:E69)</f>
        <v>8.2099999999999991</v>
      </c>
      <c r="E70" s="2278"/>
      <c r="F70" s="609"/>
    </row>
  </sheetData>
  <mergeCells count="59">
    <mergeCell ref="F59:F68"/>
    <mergeCell ref="D70:E70"/>
    <mergeCell ref="I13:M13"/>
    <mergeCell ref="N13:R13"/>
    <mergeCell ref="S13:W13"/>
    <mergeCell ref="E12:H13"/>
    <mergeCell ref="A10:B10"/>
    <mergeCell ref="B2:D2"/>
    <mergeCell ref="B3:D3"/>
    <mergeCell ref="B4:D4"/>
    <mergeCell ref="B6:D6"/>
    <mergeCell ref="B8:D8"/>
    <mergeCell ref="A14:B14"/>
    <mergeCell ref="F14:H14"/>
    <mergeCell ref="A15:B17"/>
    <mergeCell ref="F15:H17"/>
    <mergeCell ref="A26:C26"/>
    <mergeCell ref="F26:H26"/>
    <mergeCell ref="A21:B22"/>
    <mergeCell ref="A18:B20"/>
    <mergeCell ref="F18:H20"/>
    <mergeCell ref="F21:H22"/>
    <mergeCell ref="A23:B25"/>
    <mergeCell ref="F23:H25"/>
    <mergeCell ref="A27:B29"/>
    <mergeCell ref="F27:H29"/>
    <mergeCell ref="A30:B32"/>
    <mergeCell ref="F30:H32"/>
    <mergeCell ref="A33:B33"/>
    <mergeCell ref="F33:H33"/>
    <mergeCell ref="A34:B34"/>
    <mergeCell ref="F34:H34"/>
    <mergeCell ref="A35:B36"/>
    <mergeCell ref="F35:H36"/>
    <mergeCell ref="A37:B39"/>
    <mergeCell ref="F37:H37"/>
    <mergeCell ref="F38:H39"/>
    <mergeCell ref="A40:B42"/>
    <mergeCell ref="F40:H40"/>
    <mergeCell ref="F41:H41"/>
    <mergeCell ref="F42:H42"/>
    <mergeCell ref="A43:C43"/>
    <mergeCell ref="F43:H43"/>
    <mergeCell ref="A44:C44"/>
    <mergeCell ref="F44:H44"/>
    <mergeCell ref="A45:B48"/>
    <mergeCell ref="F45:H45"/>
    <mergeCell ref="F46:H46"/>
    <mergeCell ref="F47:H47"/>
    <mergeCell ref="F48:H48"/>
    <mergeCell ref="A54:B54"/>
    <mergeCell ref="F54:H54"/>
    <mergeCell ref="A49:B50"/>
    <mergeCell ref="F49:H49"/>
    <mergeCell ref="F50:H50"/>
    <mergeCell ref="A51:B53"/>
    <mergeCell ref="F51:H51"/>
    <mergeCell ref="F52:H52"/>
    <mergeCell ref="F53:H53"/>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2" location="SOMMAIRE!A1" display="Retour sommaire"/>
    <hyperlink ref="J4" location="SYNTHESE!A1" display="Retour synthèse"/>
  </hyperlinks>
  <pageMargins left="0.7" right="0.7" top="0.75" bottom="0.75" header="0.3" footer="0.3"/>
  <pageSetup paperSize="9"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W70"/>
  <sheetViews>
    <sheetView topLeftCell="A28" workbookViewId="0">
      <selection activeCell="F44" sqref="F44:H44"/>
    </sheetView>
  </sheetViews>
  <sheetFormatPr baseColWidth="10" defaultRowHeight="15"/>
  <cols>
    <col min="1" max="1" width="20.42578125" style="1" bestFit="1" customWidth="1"/>
    <col min="2" max="2" width="15.7109375" style="1" customWidth="1"/>
    <col min="3" max="3" width="40" style="1" customWidth="1"/>
    <col min="4" max="5" width="7.5703125" style="1" customWidth="1"/>
    <col min="6" max="6" width="16.28515625" style="1" bestFit="1" customWidth="1"/>
    <col min="7" max="7" width="13.85546875" style="1" bestFit="1" customWidth="1"/>
    <col min="8" max="8" width="23.140625" bestFit="1" customWidth="1"/>
    <col min="9" max="9" width="5.7109375" customWidth="1"/>
    <col min="10" max="10" width="16.42578125" bestFit="1" customWidth="1"/>
  </cols>
  <sheetData>
    <row r="1" spans="1:23" ht="15.75" thickBot="1">
      <c r="A1" s="327"/>
      <c r="B1" s="327"/>
      <c r="C1" s="327"/>
      <c r="D1" s="327"/>
      <c r="E1" s="327"/>
      <c r="F1" s="327"/>
      <c r="G1" s="327"/>
      <c r="H1" s="327"/>
    </row>
    <row r="2" spans="1:23" ht="15.75" thickBot="1">
      <c r="A2" s="109" t="s">
        <v>0</v>
      </c>
      <c r="B2" s="2029" t="s">
        <v>653</v>
      </c>
      <c r="C2" s="2144"/>
      <c r="D2" s="2145"/>
      <c r="E2" s="110"/>
      <c r="F2" s="110"/>
      <c r="G2" s="111" t="s">
        <v>462</v>
      </c>
      <c r="H2" s="112" t="s">
        <v>14</v>
      </c>
    </row>
    <row r="3" spans="1:23" ht="15.75" thickBot="1">
      <c r="A3" s="113" t="s">
        <v>344</v>
      </c>
      <c r="B3" s="2029" t="s">
        <v>654</v>
      </c>
      <c r="C3" s="2175"/>
      <c r="D3" s="2176"/>
      <c r="E3" s="110"/>
      <c r="F3" s="110"/>
      <c r="G3" s="114" t="s">
        <v>10</v>
      </c>
      <c r="H3" s="112" t="s">
        <v>16</v>
      </c>
      <c r="J3" s="13" t="s">
        <v>73</v>
      </c>
    </row>
    <row r="4" spans="1:23" ht="15.75" thickBot="1">
      <c r="A4" s="114" t="s">
        <v>3</v>
      </c>
      <c r="B4" s="1823" t="s">
        <v>677</v>
      </c>
      <c r="C4" s="2144"/>
      <c r="D4" s="2145"/>
      <c r="E4" s="115"/>
      <c r="F4" s="110"/>
      <c r="G4" s="116" t="s">
        <v>26</v>
      </c>
      <c r="H4" s="117">
        <v>8</v>
      </c>
      <c r="J4" s="13"/>
    </row>
    <row r="5" spans="1:23" ht="15.75" customHeight="1" thickBot="1">
      <c r="A5" s="110"/>
      <c r="B5" s="110"/>
      <c r="C5" s="110"/>
      <c r="D5" s="110"/>
      <c r="E5" s="110"/>
      <c r="F5" s="110"/>
      <c r="G5" s="110"/>
      <c r="H5" s="110"/>
      <c r="J5" s="13" t="s">
        <v>381</v>
      </c>
    </row>
    <row r="6" spans="1:23" ht="45.75" thickBot="1">
      <c r="A6" s="109" t="s">
        <v>465</v>
      </c>
      <c r="B6" s="1823" t="s">
        <v>1609</v>
      </c>
      <c r="C6" s="2267"/>
      <c r="D6" s="2268"/>
      <c r="E6" s="110"/>
      <c r="F6" s="110"/>
      <c r="G6" s="118" t="s">
        <v>466</v>
      </c>
      <c r="H6" s="178" t="s">
        <v>656</v>
      </c>
    </row>
    <row r="7" spans="1:23" ht="15.75" thickBot="1">
      <c r="A7" s="327"/>
      <c r="B7" s="110"/>
      <c r="C7" s="110"/>
      <c r="D7" s="110"/>
      <c r="E7" s="110"/>
      <c r="F7" s="110"/>
      <c r="G7" s="120"/>
      <c r="H7" s="110"/>
    </row>
    <row r="8" spans="1:23" ht="45.75" thickBot="1">
      <c r="A8" s="121" t="s">
        <v>7</v>
      </c>
      <c r="B8" s="1823" t="s">
        <v>657</v>
      </c>
      <c r="C8" s="2144"/>
      <c r="D8" s="2145"/>
      <c r="E8" s="115"/>
      <c r="F8" s="122"/>
      <c r="G8" s="121" t="s">
        <v>469</v>
      </c>
      <c r="H8" s="123" t="s">
        <v>470</v>
      </c>
    </row>
    <row r="9" spans="1:23">
      <c r="A9" s="327"/>
      <c r="B9" s="110"/>
      <c r="C9" s="110"/>
      <c r="D9" s="110"/>
      <c r="E9" s="110"/>
      <c r="F9" s="110"/>
      <c r="G9" s="120"/>
      <c r="H9" s="110"/>
    </row>
    <row r="10" spans="1:23" ht="78.75" customHeight="1">
      <c r="A10" s="2174" t="s">
        <v>471</v>
      </c>
      <c r="B10" s="2148"/>
      <c r="C10" s="1805" t="s">
        <v>678</v>
      </c>
      <c r="D10" s="1805"/>
      <c r="E10" s="1805"/>
      <c r="F10" s="1805"/>
      <c r="G10" s="1805"/>
      <c r="H10" s="1805"/>
      <c r="J10" s="1259"/>
    </row>
    <row r="11" spans="1:23">
      <c r="A11" s="126"/>
      <c r="B11" s="115"/>
      <c r="C11" s="115"/>
      <c r="D11" s="115"/>
      <c r="E11" s="115"/>
      <c r="F11" s="122"/>
      <c r="G11" s="125"/>
      <c r="H11" s="125"/>
    </row>
    <row r="12" spans="1:23">
      <c r="A12" s="126"/>
      <c r="B12" s="115"/>
      <c r="C12" s="115"/>
      <c r="D12" s="115"/>
      <c r="E12" s="2181" t="s">
        <v>473</v>
      </c>
      <c r="F12" s="2148"/>
      <c r="G12" s="2148"/>
      <c r="H12" s="2148"/>
    </row>
    <row r="13" spans="1:23" ht="15" customHeight="1">
      <c r="A13" s="110"/>
      <c r="B13" s="110"/>
      <c r="C13" s="110"/>
      <c r="D13" s="110"/>
      <c r="E13" s="2141"/>
      <c r="F13" s="2141"/>
      <c r="G13" s="2141"/>
      <c r="H13" s="2141"/>
      <c r="I13" s="2186">
        <v>2025</v>
      </c>
      <c r="J13" s="2097"/>
      <c r="K13" s="2097"/>
      <c r="L13" s="2097"/>
      <c r="M13" s="2098"/>
      <c r="N13" s="2186">
        <v>2026</v>
      </c>
      <c r="O13" s="2097"/>
      <c r="P13" s="2097"/>
      <c r="Q13" s="2097"/>
      <c r="R13" s="2098"/>
      <c r="S13" s="2186">
        <v>2027</v>
      </c>
      <c r="T13" s="2097"/>
      <c r="U13" s="2097"/>
      <c r="V13" s="2097"/>
      <c r="W13" s="2098"/>
    </row>
    <row r="14" spans="1:23" ht="29.25" customHeight="1" thickBot="1">
      <c r="A14" s="2184" t="s">
        <v>5</v>
      </c>
      <c r="B14" s="2137"/>
      <c r="C14" s="128" t="s">
        <v>1</v>
      </c>
      <c r="D14" s="128" t="s">
        <v>260</v>
      </c>
      <c r="E14" s="129" t="s">
        <v>474</v>
      </c>
      <c r="F14" s="2182" t="s">
        <v>6</v>
      </c>
      <c r="G14" s="2097"/>
      <c r="H14" s="2098"/>
      <c r="I14" s="615" t="s">
        <v>474</v>
      </c>
      <c r="J14" s="616" t="s">
        <v>944</v>
      </c>
      <c r="K14" s="617" t="s">
        <v>945</v>
      </c>
      <c r="L14" s="616" t="s">
        <v>946</v>
      </c>
      <c r="M14" s="618" t="s">
        <v>947</v>
      </c>
      <c r="N14" s="615" t="s">
        <v>474</v>
      </c>
      <c r="O14" s="616" t="s">
        <v>944</v>
      </c>
      <c r="P14" s="617" t="s">
        <v>945</v>
      </c>
      <c r="Q14" s="616" t="s">
        <v>946</v>
      </c>
      <c r="R14" s="618" t="s">
        <v>947</v>
      </c>
      <c r="S14" s="615" t="s">
        <v>474</v>
      </c>
      <c r="T14" s="616" t="s">
        <v>944</v>
      </c>
      <c r="U14" s="617" t="s">
        <v>945</v>
      </c>
      <c r="V14" s="616" t="s">
        <v>946</v>
      </c>
      <c r="W14" s="618" t="s">
        <v>947</v>
      </c>
    </row>
    <row r="15" spans="1:23" ht="38.25" customHeight="1">
      <c r="A15" s="2183" t="s">
        <v>17</v>
      </c>
      <c r="B15" s="2140"/>
      <c r="C15" s="130" t="s">
        <v>59</v>
      </c>
      <c r="D15" s="131" t="s">
        <v>251</v>
      </c>
      <c r="E15" s="132"/>
      <c r="F15" s="1828" t="s">
        <v>475</v>
      </c>
      <c r="G15" s="2140"/>
      <c r="H15" s="2137"/>
      <c r="I15" s="722"/>
      <c r="J15" s="620"/>
      <c r="K15" s="620"/>
      <c r="L15" s="620"/>
      <c r="M15" s="621"/>
      <c r="N15" s="619"/>
      <c r="O15" s="620"/>
      <c r="P15" s="620"/>
      <c r="Q15" s="620"/>
      <c r="R15" s="621"/>
      <c r="S15" s="619"/>
      <c r="T15" s="620"/>
      <c r="U15" s="620"/>
      <c r="V15" s="620"/>
      <c r="W15" s="622"/>
    </row>
    <row r="16" spans="1:23" ht="40.5" customHeight="1">
      <c r="A16" s="2148"/>
      <c r="B16" s="2148"/>
      <c r="C16" s="133" t="s">
        <v>18</v>
      </c>
      <c r="D16" s="134" t="s">
        <v>168</v>
      </c>
      <c r="E16" s="135"/>
      <c r="F16" s="1798"/>
      <c r="G16" s="1798"/>
      <c r="H16" s="2139"/>
      <c r="I16" s="723"/>
      <c r="J16" s="624"/>
      <c r="K16" s="624"/>
      <c r="L16" s="624"/>
      <c r="M16" s="624"/>
      <c r="N16" s="623"/>
      <c r="O16" s="624"/>
      <c r="P16" s="624"/>
      <c r="Q16" s="624"/>
      <c r="R16" s="624"/>
      <c r="S16" s="623"/>
      <c r="T16" s="624"/>
      <c r="U16" s="624"/>
      <c r="V16" s="624"/>
      <c r="W16" s="625"/>
    </row>
    <row r="17" spans="1:23" ht="33.75" customHeight="1" thickBot="1">
      <c r="A17" s="2141"/>
      <c r="B17" s="2141"/>
      <c r="C17" s="136" t="s">
        <v>19</v>
      </c>
      <c r="D17" s="137" t="s">
        <v>233</v>
      </c>
      <c r="E17" s="138"/>
      <c r="F17" s="2141"/>
      <c r="G17" s="2141"/>
      <c r="H17" s="2142"/>
      <c r="I17" s="704"/>
      <c r="J17" s="624"/>
      <c r="K17" s="624"/>
      <c r="L17" s="624"/>
      <c r="M17" s="624"/>
      <c r="N17" s="326"/>
      <c r="O17" s="624"/>
      <c r="P17" s="624"/>
      <c r="Q17" s="624"/>
      <c r="R17" s="624"/>
      <c r="S17" s="326"/>
      <c r="T17" s="624"/>
      <c r="U17" s="624"/>
      <c r="V17" s="624"/>
      <c r="W17" s="625"/>
    </row>
    <row r="18" spans="1:23" ht="23.25" customHeight="1">
      <c r="A18" s="2183" t="s">
        <v>20</v>
      </c>
      <c r="B18" s="2140"/>
      <c r="C18" s="130" t="s">
        <v>54</v>
      </c>
      <c r="D18" s="137" t="s">
        <v>261</v>
      </c>
      <c r="E18" s="138"/>
      <c r="F18" s="1828" t="s">
        <v>475</v>
      </c>
      <c r="G18" s="2140"/>
      <c r="H18" s="2137"/>
      <c r="I18" s="704"/>
      <c r="J18" s="624"/>
      <c r="K18" s="624"/>
      <c r="L18" s="624"/>
      <c r="M18" s="624"/>
      <c r="N18" s="326"/>
      <c r="O18" s="624"/>
      <c r="P18" s="624"/>
      <c r="Q18" s="624"/>
      <c r="R18" s="624"/>
      <c r="S18" s="326"/>
      <c r="T18" s="624"/>
      <c r="U18" s="624"/>
      <c r="V18" s="624"/>
      <c r="W18" s="625"/>
    </row>
    <row r="19" spans="1:23" ht="42" customHeight="1">
      <c r="A19" s="2148"/>
      <c r="B19" s="2148"/>
      <c r="C19" s="139" t="s">
        <v>21</v>
      </c>
      <c r="D19" s="137" t="s">
        <v>234</v>
      </c>
      <c r="E19" s="138"/>
      <c r="F19" s="1798"/>
      <c r="G19" s="1798"/>
      <c r="H19" s="2139"/>
      <c r="I19" s="704"/>
      <c r="J19" s="624"/>
      <c r="K19" s="624"/>
      <c r="L19" s="624"/>
      <c r="M19" s="624"/>
      <c r="N19" s="326"/>
      <c r="O19" s="624"/>
      <c r="P19" s="624"/>
      <c r="Q19" s="624"/>
      <c r="R19" s="624"/>
      <c r="S19" s="326"/>
      <c r="T19" s="624"/>
      <c r="U19" s="624"/>
      <c r="V19" s="624"/>
      <c r="W19" s="625"/>
    </row>
    <row r="20" spans="1:23" ht="53.25" customHeight="1" thickBot="1">
      <c r="A20" s="2148"/>
      <c r="B20" s="2148"/>
      <c r="C20" s="136" t="s">
        <v>22</v>
      </c>
      <c r="D20" s="137" t="s">
        <v>235</v>
      </c>
      <c r="E20" s="138"/>
      <c r="F20" s="2141"/>
      <c r="G20" s="2141"/>
      <c r="H20" s="2142"/>
      <c r="I20" s="704"/>
      <c r="J20" s="624"/>
      <c r="K20" s="624"/>
      <c r="L20" s="624"/>
      <c r="M20" s="624"/>
      <c r="N20" s="326"/>
      <c r="O20" s="624"/>
      <c r="P20" s="624"/>
      <c r="Q20" s="624"/>
      <c r="R20" s="624"/>
      <c r="S20" s="326"/>
      <c r="T20" s="624"/>
      <c r="U20" s="624"/>
      <c r="V20" s="624"/>
      <c r="W20" s="625"/>
    </row>
    <row r="21" spans="1:23" ht="48.75" customHeight="1">
      <c r="A21" s="2183" t="s">
        <v>23</v>
      </c>
      <c r="B21" s="2140"/>
      <c r="C21" s="140" t="s">
        <v>69</v>
      </c>
      <c r="D21" s="137" t="s">
        <v>267</v>
      </c>
      <c r="E21" s="138"/>
      <c r="F21" s="1828" t="s">
        <v>477</v>
      </c>
      <c r="G21" s="2140"/>
      <c r="H21" s="2137"/>
      <c r="I21" s="704"/>
      <c r="J21" s="624"/>
      <c r="K21" s="624"/>
      <c r="L21" s="624"/>
      <c r="M21" s="624"/>
      <c r="N21" s="326"/>
      <c r="O21" s="624"/>
      <c r="P21" s="624"/>
      <c r="Q21" s="624"/>
      <c r="R21" s="624"/>
      <c r="S21" s="326"/>
      <c r="T21" s="624"/>
      <c r="U21" s="624"/>
      <c r="V21" s="624"/>
      <c r="W21" s="625"/>
    </row>
    <row r="22" spans="1:23" ht="47.25" customHeight="1" thickBot="1">
      <c r="A22" s="2141"/>
      <c r="B22" s="2141"/>
      <c r="C22" s="141" t="s">
        <v>24</v>
      </c>
      <c r="D22" s="142" t="s">
        <v>236</v>
      </c>
      <c r="E22" s="138"/>
      <c r="F22" s="2141"/>
      <c r="G22" s="2141"/>
      <c r="H22" s="2142"/>
      <c r="I22" s="704"/>
      <c r="J22" s="624"/>
      <c r="K22" s="624"/>
      <c r="L22" s="624"/>
      <c r="M22" s="624"/>
      <c r="N22" s="326"/>
      <c r="O22" s="624"/>
      <c r="P22" s="624"/>
      <c r="Q22" s="624"/>
      <c r="R22" s="624"/>
      <c r="S22" s="326"/>
      <c r="T22" s="624"/>
      <c r="U22" s="624"/>
      <c r="V22" s="624"/>
      <c r="W22" s="625"/>
    </row>
    <row r="23" spans="1:23" ht="30" customHeight="1">
      <c r="A23" s="2136" t="s">
        <v>478</v>
      </c>
      <c r="B23" s="2137"/>
      <c r="C23" s="143" t="s">
        <v>360</v>
      </c>
      <c r="D23" s="142" t="s">
        <v>265</v>
      </c>
      <c r="E23" s="138"/>
      <c r="F23" s="1828" t="s">
        <v>477</v>
      </c>
      <c r="G23" s="2140"/>
      <c r="H23" s="2137"/>
      <c r="I23" s="704"/>
      <c r="J23" s="624"/>
      <c r="K23" s="624"/>
      <c r="L23" s="624"/>
      <c r="M23" s="624"/>
      <c r="N23" s="326"/>
      <c r="O23" s="624"/>
      <c r="P23" s="624"/>
      <c r="Q23" s="624"/>
      <c r="R23" s="624"/>
      <c r="S23" s="326"/>
      <c r="T23" s="624"/>
      <c r="U23" s="624"/>
      <c r="V23" s="624"/>
      <c r="W23" s="625"/>
    </row>
    <row r="24" spans="1:23" ht="30" customHeight="1">
      <c r="A24" s="2138"/>
      <c r="B24" s="2139"/>
      <c r="C24" s="144" t="s">
        <v>361</v>
      </c>
      <c r="D24" s="142" t="s">
        <v>362</v>
      </c>
      <c r="E24" s="138"/>
      <c r="F24" s="1798"/>
      <c r="G24" s="1798"/>
      <c r="H24" s="2139"/>
      <c r="I24" s="704"/>
      <c r="J24" s="624"/>
      <c r="K24" s="624"/>
      <c r="L24" s="624"/>
      <c r="M24" s="624"/>
      <c r="N24" s="326"/>
      <c r="O24" s="624"/>
      <c r="P24" s="624"/>
      <c r="Q24" s="624"/>
      <c r="R24" s="624"/>
      <c r="S24" s="326"/>
      <c r="T24" s="624"/>
      <c r="U24" s="624"/>
      <c r="V24" s="624"/>
      <c r="W24" s="625"/>
    </row>
    <row r="25" spans="1:23" ht="30" customHeight="1" thickBot="1">
      <c r="A25" s="2138"/>
      <c r="B25" s="2139"/>
      <c r="C25" s="145" t="s">
        <v>479</v>
      </c>
      <c r="D25" s="142" t="s">
        <v>480</v>
      </c>
      <c r="E25" s="138"/>
      <c r="F25" s="2141"/>
      <c r="G25" s="2141"/>
      <c r="H25" s="2142"/>
      <c r="I25" s="704"/>
      <c r="J25" s="624"/>
      <c r="K25" s="624"/>
      <c r="L25" s="624"/>
      <c r="M25" s="624"/>
      <c r="N25" s="326"/>
      <c r="O25" s="624"/>
      <c r="P25" s="624"/>
      <c r="Q25" s="624"/>
      <c r="R25" s="624"/>
      <c r="S25" s="326"/>
      <c r="T25" s="624"/>
      <c r="U25" s="624"/>
      <c r="V25" s="624"/>
      <c r="W25" s="625"/>
    </row>
    <row r="26" spans="1:23" ht="15.75" thickBot="1">
      <c r="A26" s="2143" t="s">
        <v>25</v>
      </c>
      <c r="B26" s="2144"/>
      <c r="C26" s="2145"/>
      <c r="D26" s="146" t="s">
        <v>270</v>
      </c>
      <c r="E26" s="138"/>
      <c r="F26" s="1818" t="s">
        <v>481</v>
      </c>
      <c r="G26" s="2097"/>
      <c r="H26" s="2098"/>
      <c r="I26" s="704"/>
      <c r="J26" s="624"/>
      <c r="K26" s="624"/>
      <c r="L26" s="624"/>
      <c r="M26" s="624"/>
      <c r="N26" s="326"/>
      <c r="O26" s="624"/>
      <c r="P26" s="624"/>
      <c r="Q26" s="624"/>
      <c r="R26" s="624"/>
      <c r="S26" s="326"/>
      <c r="T26" s="624"/>
      <c r="U26" s="624"/>
      <c r="V26" s="624"/>
      <c r="W26" s="625"/>
    </row>
    <row r="27" spans="1:23" ht="15.75">
      <c r="A27" s="2157" t="s">
        <v>153</v>
      </c>
      <c r="B27" s="2158"/>
      <c r="C27" s="147" t="s">
        <v>152</v>
      </c>
      <c r="D27" s="148" t="s">
        <v>268</v>
      </c>
      <c r="E27" s="138"/>
      <c r="F27" s="1828" t="s">
        <v>475</v>
      </c>
      <c r="G27" s="2140"/>
      <c r="H27" s="2137"/>
      <c r="I27" s="704"/>
      <c r="J27" s="624"/>
      <c r="K27" s="624"/>
      <c r="L27" s="624"/>
      <c r="M27" s="624"/>
      <c r="N27" s="326"/>
      <c r="O27" s="624"/>
      <c r="P27" s="624"/>
      <c r="Q27" s="624"/>
      <c r="R27" s="624"/>
      <c r="S27" s="326"/>
      <c r="T27" s="624"/>
      <c r="U27" s="624"/>
      <c r="V27" s="624"/>
      <c r="W27" s="625"/>
    </row>
    <row r="28" spans="1:23" ht="15.75">
      <c r="A28" s="2138"/>
      <c r="B28" s="2158"/>
      <c r="C28" s="149" t="s">
        <v>154</v>
      </c>
      <c r="D28" s="148" t="s">
        <v>392</v>
      </c>
      <c r="E28" s="138"/>
      <c r="F28" s="1798"/>
      <c r="G28" s="1798"/>
      <c r="H28" s="2139"/>
      <c r="I28" s="704"/>
      <c r="J28" s="624"/>
      <c r="K28" s="624"/>
      <c r="L28" s="624"/>
      <c r="M28" s="624"/>
      <c r="N28" s="326"/>
      <c r="O28" s="624"/>
      <c r="P28" s="624"/>
      <c r="Q28" s="624"/>
      <c r="R28" s="624"/>
      <c r="S28" s="326"/>
      <c r="T28" s="624"/>
      <c r="U28" s="624"/>
      <c r="V28" s="624"/>
      <c r="W28" s="625"/>
    </row>
    <row r="29" spans="1:23" ht="16.5" thickBot="1">
      <c r="A29" s="2149"/>
      <c r="B29" s="2152"/>
      <c r="C29" s="150" t="s">
        <v>400</v>
      </c>
      <c r="D29" s="148" t="s">
        <v>393</v>
      </c>
      <c r="E29" s="138"/>
      <c r="F29" s="2141"/>
      <c r="G29" s="2141"/>
      <c r="H29" s="2142"/>
      <c r="I29" s="704"/>
      <c r="J29" s="624"/>
      <c r="K29" s="624"/>
      <c r="L29" s="624"/>
      <c r="M29" s="624"/>
      <c r="N29" s="326"/>
      <c r="O29" s="624"/>
      <c r="P29" s="624"/>
      <c r="Q29" s="624"/>
      <c r="R29" s="624"/>
      <c r="S29" s="326"/>
      <c r="T29" s="624"/>
      <c r="U29" s="624"/>
      <c r="V29" s="624"/>
      <c r="W29" s="625"/>
    </row>
    <row r="30" spans="1:23" ht="15.75">
      <c r="A30" s="2159" t="s">
        <v>153</v>
      </c>
      <c r="B30" s="2151"/>
      <c r="C30" s="151" t="s">
        <v>155</v>
      </c>
      <c r="D30" s="148" t="s">
        <v>266</v>
      </c>
      <c r="E30" s="138"/>
      <c r="F30" s="1828" t="s">
        <v>475</v>
      </c>
      <c r="G30" s="2140"/>
      <c r="H30" s="2137"/>
      <c r="I30" s="704"/>
      <c r="J30" s="624"/>
      <c r="K30" s="624"/>
      <c r="L30" s="624"/>
      <c r="M30" s="624"/>
      <c r="N30" s="326"/>
      <c r="O30" s="624"/>
      <c r="P30" s="624"/>
      <c r="Q30" s="624"/>
      <c r="R30" s="624"/>
      <c r="S30" s="326"/>
      <c r="T30" s="624"/>
      <c r="U30" s="624"/>
      <c r="V30" s="624"/>
      <c r="W30" s="625"/>
    </row>
    <row r="31" spans="1:23" ht="15.75">
      <c r="A31" s="2138"/>
      <c r="B31" s="2158"/>
      <c r="C31" s="149" t="s">
        <v>156</v>
      </c>
      <c r="D31" s="148" t="s">
        <v>394</v>
      </c>
      <c r="E31" s="138"/>
      <c r="F31" s="1798"/>
      <c r="G31" s="1798"/>
      <c r="H31" s="2139"/>
      <c r="I31" s="704"/>
      <c r="J31" s="624"/>
      <c r="K31" s="624"/>
      <c r="L31" s="624"/>
      <c r="M31" s="624"/>
      <c r="N31" s="326"/>
      <c r="O31" s="624"/>
      <c r="P31" s="624"/>
      <c r="Q31" s="624"/>
      <c r="R31" s="624"/>
      <c r="S31" s="326"/>
      <c r="T31" s="624"/>
      <c r="U31" s="624"/>
      <c r="V31" s="624"/>
      <c r="W31" s="625"/>
    </row>
    <row r="32" spans="1:23" ht="16.5" thickBot="1">
      <c r="A32" s="2149"/>
      <c r="B32" s="2152"/>
      <c r="C32" s="150" t="s">
        <v>399</v>
      </c>
      <c r="D32" s="148" t="s">
        <v>395</v>
      </c>
      <c r="E32" s="138"/>
      <c r="F32" s="2141"/>
      <c r="G32" s="2141"/>
      <c r="H32" s="2142"/>
      <c r="I32" s="704"/>
      <c r="J32" s="624"/>
      <c r="K32" s="624"/>
      <c r="L32" s="624"/>
      <c r="M32" s="624"/>
      <c r="N32" s="326"/>
      <c r="O32" s="624"/>
      <c r="P32" s="624"/>
      <c r="Q32" s="624"/>
      <c r="R32" s="624"/>
      <c r="S32" s="326"/>
      <c r="T32" s="624"/>
      <c r="U32" s="624"/>
      <c r="V32" s="624"/>
      <c r="W32" s="625"/>
    </row>
    <row r="33" spans="1:23" ht="16.5" thickBot="1">
      <c r="A33" s="2159" t="s">
        <v>482</v>
      </c>
      <c r="B33" s="2151"/>
      <c r="C33" s="151" t="s">
        <v>365</v>
      </c>
      <c r="D33" s="148" t="s">
        <v>252</v>
      </c>
      <c r="E33" s="138"/>
      <c r="F33" s="1828" t="s">
        <v>483</v>
      </c>
      <c r="G33" s="2140"/>
      <c r="H33" s="2137"/>
      <c r="I33" s="704"/>
      <c r="J33" s="624"/>
      <c r="K33" s="624"/>
      <c r="L33" s="624"/>
      <c r="M33" s="624"/>
      <c r="N33" s="326"/>
      <c r="O33" s="624"/>
      <c r="P33" s="624"/>
      <c r="Q33" s="624"/>
      <c r="R33" s="624"/>
      <c r="S33" s="326"/>
      <c r="T33" s="624"/>
      <c r="U33" s="624"/>
      <c r="V33" s="624"/>
      <c r="W33" s="625"/>
    </row>
    <row r="34" spans="1:23" ht="16.5" thickBot="1">
      <c r="A34" s="2159" t="s">
        <v>484</v>
      </c>
      <c r="B34" s="2151"/>
      <c r="C34" s="151" t="s">
        <v>485</v>
      </c>
      <c r="D34" s="148" t="s">
        <v>264</v>
      </c>
      <c r="E34" s="138"/>
      <c r="F34" s="2160"/>
      <c r="G34" s="2140"/>
      <c r="H34" s="2137"/>
      <c r="I34" s="704"/>
      <c r="J34" s="624"/>
      <c r="K34" s="624"/>
      <c r="L34" s="624"/>
      <c r="M34" s="624"/>
      <c r="N34" s="326"/>
      <c r="O34" s="624"/>
      <c r="P34" s="624"/>
      <c r="Q34" s="624"/>
      <c r="R34" s="624"/>
      <c r="S34" s="326"/>
      <c r="T34" s="624"/>
      <c r="U34" s="624"/>
      <c r="V34" s="624"/>
      <c r="W34" s="625"/>
    </row>
    <row r="35" spans="1:23" ht="15.75">
      <c r="A35" s="2161" t="s">
        <v>486</v>
      </c>
      <c r="B35" s="2151"/>
      <c r="C35" s="152" t="s">
        <v>43</v>
      </c>
      <c r="D35" s="153" t="s">
        <v>256</v>
      </c>
      <c r="E35" s="138"/>
      <c r="F35" s="1828" t="s">
        <v>487</v>
      </c>
      <c r="G35" s="2140"/>
      <c r="H35" s="2137"/>
      <c r="I35" s="704"/>
      <c r="J35" s="624"/>
      <c r="K35" s="624"/>
      <c r="L35" s="624"/>
      <c r="M35" s="624"/>
      <c r="N35" s="326"/>
      <c r="O35" s="624"/>
      <c r="P35" s="624"/>
      <c r="Q35" s="624"/>
      <c r="R35" s="624"/>
      <c r="S35" s="326"/>
      <c r="T35" s="624"/>
      <c r="U35" s="624"/>
      <c r="V35" s="624"/>
      <c r="W35" s="625"/>
    </row>
    <row r="36" spans="1:23" ht="16.5" thickBot="1">
      <c r="A36" s="2149"/>
      <c r="B36" s="2152"/>
      <c r="C36" s="154" t="s">
        <v>60</v>
      </c>
      <c r="D36" s="153" t="s">
        <v>257</v>
      </c>
      <c r="E36" s="138"/>
      <c r="F36" s="2141"/>
      <c r="G36" s="2141"/>
      <c r="H36" s="2142"/>
      <c r="I36" s="704"/>
      <c r="J36" s="624"/>
      <c r="K36" s="624"/>
      <c r="L36" s="624"/>
      <c r="M36" s="624"/>
      <c r="N36" s="326"/>
      <c r="O36" s="624"/>
      <c r="P36" s="624"/>
      <c r="Q36" s="624"/>
      <c r="R36" s="624"/>
      <c r="S36" s="326"/>
      <c r="T36" s="624"/>
      <c r="U36" s="624"/>
      <c r="V36" s="624"/>
      <c r="W36" s="625"/>
    </row>
    <row r="37" spans="1:23" ht="30">
      <c r="A37" s="2165" t="s">
        <v>33</v>
      </c>
      <c r="B37" s="2140"/>
      <c r="C37" s="155" t="s">
        <v>30</v>
      </c>
      <c r="D37" s="156" t="s">
        <v>170</v>
      </c>
      <c r="E37" s="138"/>
      <c r="F37" s="1820" t="s">
        <v>510</v>
      </c>
      <c r="G37" s="2140"/>
      <c r="H37" s="2137"/>
      <c r="I37" s="704"/>
      <c r="J37" s="624"/>
      <c r="K37" s="624"/>
      <c r="L37" s="624"/>
      <c r="M37" s="624"/>
      <c r="N37" s="326"/>
      <c r="O37" s="624"/>
      <c r="P37" s="624"/>
      <c r="Q37" s="624"/>
      <c r="R37" s="624"/>
      <c r="S37" s="326"/>
      <c r="T37" s="624"/>
      <c r="U37" s="624"/>
      <c r="V37" s="624"/>
      <c r="W37" s="625"/>
    </row>
    <row r="38" spans="1:23" ht="30">
      <c r="A38" s="2138"/>
      <c r="B38" s="2148"/>
      <c r="C38" s="157" t="s">
        <v>31</v>
      </c>
      <c r="D38" s="156" t="s">
        <v>169</v>
      </c>
      <c r="E38" s="138"/>
      <c r="F38" s="1820" t="s">
        <v>539</v>
      </c>
      <c r="G38" s="2140"/>
      <c r="H38" s="2137"/>
      <c r="I38" s="704"/>
      <c r="J38" s="624"/>
      <c r="K38" s="624"/>
      <c r="L38" s="624"/>
      <c r="M38" s="624"/>
      <c r="N38" s="326"/>
      <c r="O38" s="624"/>
      <c r="P38" s="624"/>
      <c r="Q38" s="624"/>
      <c r="R38" s="624"/>
      <c r="S38" s="326"/>
      <c r="T38" s="624"/>
      <c r="U38" s="624"/>
      <c r="V38" s="624"/>
      <c r="W38" s="625"/>
    </row>
    <row r="39" spans="1:23" ht="30.75" thickBot="1">
      <c r="A39" s="2138"/>
      <c r="B39" s="2148"/>
      <c r="C39" s="158" t="s">
        <v>32</v>
      </c>
      <c r="D39" s="156" t="s">
        <v>250</v>
      </c>
      <c r="E39" s="138"/>
      <c r="F39" s="2141"/>
      <c r="G39" s="2141"/>
      <c r="H39" s="2142"/>
      <c r="I39" s="704"/>
      <c r="J39" s="624"/>
      <c r="K39" s="624"/>
      <c r="L39" s="624"/>
      <c r="M39" s="624"/>
      <c r="N39" s="326"/>
      <c r="O39" s="624"/>
      <c r="P39" s="624"/>
      <c r="Q39" s="624"/>
      <c r="R39" s="624"/>
      <c r="S39" s="326"/>
      <c r="T39" s="624"/>
      <c r="U39" s="624"/>
      <c r="V39" s="624"/>
      <c r="W39" s="625"/>
    </row>
    <row r="40" spans="1:23" ht="50.25" customHeight="1">
      <c r="A40" s="2169" t="s">
        <v>491</v>
      </c>
      <c r="B40" s="2170"/>
      <c r="C40" s="159" t="s">
        <v>144</v>
      </c>
      <c r="D40" s="160" t="s">
        <v>253</v>
      </c>
      <c r="E40" s="418" t="s">
        <v>554</v>
      </c>
      <c r="F40" s="2162" t="s">
        <v>1153</v>
      </c>
      <c r="G40" s="1828"/>
      <c r="H40" s="2274"/>
      <c r="I40" s="704" t="s">
        <v>554</v>
      </c>
      <c r="J40" s="695">
        <v>1</v>
      </c>
      <c r="K40" s="624"/>
      <c r="L40" s="624">
        <v>5</v>
      </c>
      <c r="M40" s="624">
        <f>L40*150</f>
        <v>750</v>
      </c>
      <c r="N40" s="704" t="s">
        <v>554</v>
      </c>
      <c r="O40" s="695">
        <v>1</v>
      </c>
      <c r="P40" s="624"/>
      <c r="Q40" s="624">
        <v>5</v>
      </c>
      <c r="R40" s="624">
        <f>Q40*150</f>
        <v>750</v>
      </c>
      <c r="S40" s="704" t="s">
        <v>554</v>
      </c>
      <c r="T40" s="695">
        <v>1</v>
      </c>
      <c r="U40" s="624"/>
      <c r="V40" s="624">
        <v>5</v>
      </c>
      <c r="W40" s="624">
        <f>V40*150</f>
        <v>750</v>
      </c>
    </row>
    <row r="41" spans="1:23" ht="16.5" thickBot="1">
      <c r="A41" s="2148"/>
      <c r="B41" s="2158"/>
      <c r="C41" s="161" t="s">
        <v>145</v>
      </c>
      <c r="D41" s="160" t="s">
        <v>254</v>
      </c>
      <c r="E41" s="418" t="s">
        <v>554</v>
      </c>
      <c r="F41" s="2162" t="s">
        <v>1154</v>
      </c>
      <c r="G41" s="1828"/>
      <c r="H41" s="2274"/>
      <c r="I41" s="704" t="s">
        <v>554</v>
      </c>
      <c r="J41" s="695">
        <v>1</v>
      </c>
      <c r="K41" s="624"/>
      <c r="L41" s="624">
        <v>5</v>
      </c>
      <c r="M41" s="624">
        <f>L41*201</f>
        <v>1005</v>
      </c>
      <c r="N41" s="704" t="s">
        <v>554</v>
      </c>
      <c r="O41" s="695">
        <v>1</v>
      </c>
      <c r="P41" s="624"/>
      <c r="Q41" s="624">
        <v>5</v>
      </c>
      <c r="R41" s="624">
        <f>Q41*201</f>
        <v>1005</v>
      </c>
      <c r="S41" s="704" t="s">
        <v>554</v>
      </c>
      <c r="T41" s="695">
        <v>1</v>
      </c>
      <c r="U41" s="624"/>
      <c r="V41" s="624">
        <v>5</v>
      </c>
      <c r="W41" s="624">
        <f>V41*201</f>
        <v>1005</v>
      </c>
    </row>
    <row r="42" spans="1:23" ht="48" thickBot="1">
      <c r="A42" s="2171"/>
      <c r="B42" s="2172"/>
      <c r="C42" s="162" t="s">
        <v>128</v>
      </c>
      <c r="D42" s="160" t="s">
        <v>262</v>
      </c>
      <c r="E42" s="138"/>
      <c r="F42" s="2173"/>
      <c r="G42" s="2097"/>
      <c r="H42" s="2098"/>
      <c r="I42" s="704"/>
      <c r="J42" s="624"/>
      <c r="K42" s="624"/>
      <c r="L42" s="624"/>
      <c r="M42" s="624"/>
      <c r="N42" s="704"/>
      <c r="O42" s="624"/>
      <c r="P42" s="624"/>
      <c r="Q42" s="624"/>
      <c r="R42" s="624"/>
      <c r="S42" s="704"/>
      <c r="T42" s="624"/>
      <c r="U42" s="624"/>
      <c r="V42" s="624"/>
      <c r="W42" s="624"/>
    </row>
    <row r="43" spans="1:23" ht="15.75" thickBot="1">
      <c r="A43" s="2146" t="s">
        <v>493</v>
      </c>
      <c r="B43" s="2144"/>
      <c r="C43" s="2145"/>
      <c r="D43" s="163" t="s">
        <v>237</v>
      </c>
      <c r="E43" s="418" t="s">
        <v>554</v>
      </c>
      <c r="F43" s="2269" t="s">
        <v>659</v>
      </c>
      <c r="G43" s="1818"/>
      <c r="H43" s="2270"/>
      <c r="I43" s="704" t="s">
        <v>554</v>
      </c>
      <c r="J43" s="695">
        <v>1</v>
      </c>
      <c r="K43" s="624"/>
      <c r="L43" s="624">
        <v>1</v>
      </c>
      <c r="M43" s="624">
        <f>L43*652</f>
        <v>652</v>
      </c>
      <c r="N43" s="704" t="s">
        <v>554</v>
      </c>
      <c r="O43" s="695">
        <v>1</v>
      </c>
      <c r="P43" s="624"/>
      <c r="Q43" s="624">
        <v>5</v>
      </c>
      <c r="R43" s="624">
        <f>Q43*652</f>
        <v>3260</v>
      </c>
      <c r="S43" s="704" t="s">
        <v>554</v>
      </c>
      <c r="T43" s="695">
        <v>1</v>
      </c>
      <c r="U43" s="624"/>
      <c r="V43" s="624">
        <v>5</v>
      </c>
      <c r="W43" s="624">
        <f>V43*652</f>
        <v>3260</v>
      </c>
    </row>
    <row r="44" spans="1:23" ht="15.75" thickBot="1">
      <c r="A44" s="2146" t="s">
        <v>133</v>
      </c>
      <c r="B44" s="2144"/>
      <c r="C44" s="2145"/>
      <c r="D44" s="163" t="s">
        <v>238</v>
      </c>
      <c r="E44" s="417" t="s">
        <v>554</v>
      </c>
      <c r="F44" s="2269" t="s">
        <v>660</v>
      </c>
      <c r="G44" s="1818"/>
      <c r="H44" s="2270"/>
      <c r="I44" s="704" t="s">
        <v>554</v>
      </c>
      <c r="J44" s="695">
        <v>1</v>
      </c>
      <c r="K44" s="624"/>
      <c r="L44" s="624">
        <v>1</v>
      </c>
      <c r="M44" s="624">
        <f>L44*358</f>
        <v>358</v>
      </c>
      <c r="N44" s="704" t="s">
        <v>554</v>
      </c>
      <c r="O44" s="695">
        <v>1</v>
      </c>
      <c r="P44" s="624"/>
      <c r="Q44" s="624">
        <v>1</v>
      </c>
      <c r="R44" s="624">
        <f>Q44*358</f>
        <v>358</v>
      </c>
      <c r="S44" s="704" t="s">
        <v>554</v>
      </c>
      <c r="T44" s="695">
        <v>1</v>
      </c>
      <c r="U44" s="624"/>
      <c r="V44" s="624">
        <v>1</v>
      </c>
      <c r="W44" s="624">
        <f>V44*358</f>
        <v>358</v>
      </c>
    </row>
    <row r="45" spans="1:23">
      <c r="A45" s="2147" t="s">
        <v>41</v>
      </c>
      <c r="B45" s="2148"/>
      <c r="C45" s="164" t="s">
        <v>50</v>
      </c>
      <c r="D45" s="165" t="s">
        <v>246</v>
      </c>
      <c r="E45" s="418"/>
      <c r="F45" s="1785" t="s">
        <v>560</v>
      </c>
      <c r="G45" s="2097"/>
      <c r="H45" s="2098"/>
      <c r="I45" s="704"/>
      <c r="J45" s="695"/>
      <c r="K45" s="624"/>
      <c r="L45" s="624"/>
      <c r="M45" s="624"/>
      <c r="N45" s="704"/>
      <c r="O45" s="695"/>
      <c r="P45" s="624"/>
      <c r="Q45" s="624"/>
      <c r="R45" s="624"/>
      <c r="S45" s="704"/>
      <c r="T45" s="695"/>
      <c r="U45" s="624"/>
      <c r="V45" s="624"/>
      <c r="W45" s="624"/>
    </row>
    <row r="46" spans="1:23" ht="33.75" customHeight="1">
      <c r="A46" s="2138"/>
      <c r="B46" s="2148"/>
      <c r="C46" s="166" t="s">
        <v>51</v>
      </c>
      <c r="D46" s="165" t="s">
        <v>247</v>
      </c>
      <c r="E46" s="418" t="s">
        <v>554</v>
      </c>
      <c r="F46" s="2271" t="s">
        <v>397</v>
      </c>
      <c r="G46" s="2272"/>
      <c r="H46" s="2273"/>
      <c r="I46" s="704" t="s">
        <v>554</v>
      </c>
      <c r="J46" s="695">
        <v>1</v>
      </c>
      <c r="K46" s="624"/>
      <c r="L46" s="624">
        <v>5</v>
      </c>
      <c r="M46" s="624">
        <f>L46*154</f>
        <v>770</v>
      </c>
      <c r="N46" s="704" t="s">
        <v>554</v>
      </c>
      <c r="O46" s="695">
        <v>1</v>
      </c>
      <c r="P46" s="624"/>
      <c r="Q46" s="624">
        <v>5</v>
      </c>
      <c r="R46" s="624">
        <f>Q46*154</f>
        <v>770</v>
      </c>
      <c r="S46" s="704" t="s">
        <v>554</v>
      </c>
      <c r="T46" s="695">
        <v>1</v>
      </c>
      <c r="U46" s="624"/>
      <c r="V46" s="624">
        <v>5</v>
      </c>
      <c r="W46" s="624">
        <f>V46*154</f>
        <v>770</v>
      </c>
    </row>
    <row r="47" spans="1:23">
      <c r="A47" s="2138"/>
      <c r="B47" s="2148"/>
      <c r="C47" s="166" t="s">
        <v>39</v>
      </c>
      <c r="D47" s="165" t="s">
        <v>248</v>
      </c>
      <c r="E47" s="418" t="s">
        <v>554</v>
      </c>
      <c r="F47" s="2271" t="s">
        <v>398</v>
      </c>
      <c r="G47" s="2272"/>
      <c r="H47" s="2273"/>
      <c r="I47" s="704" t="s">
        <v>554</v>
      </c>
      <c r="J47" s="695">
        <v>1</v>
      </c>
      <c r="K47" s="624"/>
      <c r="L47" s="624">
        <v>5</v>
      </c>
      <c r="M47" s="624">
        <f>L47*200</f>
        <v>1000</v>
      </c>
      <c r="N47" s="704" t="s">
        <v>554</v>
      </c>
      <c r="O47" s="695">
        <v>1</v>
      </c>
      <c r="P47" s="624"/>
      <c r="Q47" s="624">
        <v>5</v>
      </c>
      <c r="R47" s="624">
        <f>Q47*200</f>
        <v>1000</v>
      </c>
      <c r="S47" s="704" t="s">
        <v>554</v>
      </c>
      <c r="T47" s="695">
        <v>1</v>
      </c>
      <c r="U47" s="624"/>
      <c r="V47" s="624">
        <v>5</v>
      </c>
      <c r="W47" s="624">
        <f>V47*200</f>
        <v>1000</v>
      </c>
    </row>
    <row r="48" spans="1:23" ht="15.75" thickBot="1">
      <c r="A48" s="2149"/>
      <c r="B48" s="2141"/>
      <c r="C48" s="167" t="s">
        <v>40</v>
      </c>
      <c r="D48" s="165" t="s">
        <v>249</v>
      </c>
      <c r="E48" s="418" t="s">
        <v>554</v>
      </c>
      <c r="F48" s="2271" t="s">
        <v>398</v>
      </c>
      <c r="G48" s="2272"/>
      <c r="H48" s="2273"/>
      <c r="I48" s="704" t="s">
        <v>554</v>
      </c>
      <c r="J48" s="695">
        <v>1</v>
      </c>
      <c r="K48" s="624"/>
      <c r="L48" s="624">
        <v>5</v>
      </c>
      <c r="M48" s="624">
        <f>L48*245</f>
        <v>1225</v>
      </c>
      <c r="N48" s="704" t="s">
        <v>554</v>
      </c>
      <c r="O48" s="695">
        <v>1</v>
      </c>
      <c r="P48" s="624"/>
      <c r="Q48" s="624">
        <v>5</v>
      </c>
      <c r="R48" s="624">
        <f>Q48*245</f>
        <v>1225</v>
      </c>
      <c r="S48" s="704" t="s">
        <v>554</v>
      </c>
      <c r="T48" s="695">
        <v>1</v>
      </c>
      <c r="U48" s="624"/>
      <c r="V48" s="624">
        <v>5</v>
      </c>
      <c r="W48" s="624">
        <f>V48*245</f>
        <v>1225</v>
      </c>
    </row>
    <row r="49" spans="1:23" ht="15.75">
      <c r="A49" s="2150" t="s">
        <v>130</v>
      </c>
      <c r="B49" s="2151"/>
      <c r="C49" s="159" t="s">
        <v>131</v>
      </c>
      <c r="D49" s="160" t="s">
        <v>255</v>
      </c>
      <c r="E49" s="138"/>
      <c r="F49" s="2153"/>
      <c r="G49" s="2097"/>
      <c r="H49" s="2098"/>
      <c r="I49" s="704"/>
      <c r="J49" s="624"/>
      <c r="K49" s="624"/>
      <c r="L49" s="624"/>
      <c r="M49" s="624"/>
      <c r="N49" s="704"/>
      <c r="O49" s="624"/>
      <c r="P49" s="624"/>
      <c r="Q49" s="624"/>
      <c r="R49" s="624"/>
      <c r="S49" s="704"/>
      <c r="T49" s="624"/>
      <c r="U49" s="624"/>
      <c r="V49" s="624"/>
      <c r="W49" s="624"/>
    </row>
    <row r="50" spans="1:23" ht="48" thickBot="1">
      <c r="A50" s="2149"/>
      <c r="B50" s="2152"/>
      <c r="C50" s="168" t="s">
        <v>132</v>
      </c>
      <c r="D50" s="160" t="s">
        <v>263</v>
      </c>
      <c r="E50" s="138"/>
      <c r="F50" s="2153"/>
      <c r="G50" s="2097"/>
      <c r="H50" s="2098"/>
      <c r="I50" s="704"/>
      <c r="J50" s="624"/>
      <c r="K50" s="624"/>
      <c r="L50" s="624"/>
      <c r="M50" s="624"/>
      <c r="N50" s="704"/>
      <c r="O50" s="624"/>
      <c r="P50" s="624"/>
      <c r="Q50" s="624"/>
      <c r="R50" s="624"/>
      <c r="S50" s="704"/>
      <c r="T50" s="624"/>
      <c r="U50" s="624"/>
      <c r="V50" s="624"/>
      <c r="W50" s="624"/>
    </row>
    <row r="51" spans="1:23">
      <c r="A51" s="2154" t="s">
        <v>42</v>
      </c>
      <c r="B51" s="2140"/>
      <c r="C51" s="169" t="s">
        <v>38</v>
      </c>
      <c r="D51" s="170" t="s">
        <v>239</v>
      </c>
      <c r="E51" s="418" t="s">
        <v>554</v>
      </c>
      <c r="F51" s="1818" t="s">
        <v>661</v>
      </c>
      <c r="G51" s="2097"/>
      <c r="H51" s="2098"/>
      <c r="I51" s="704" t="s">
        <v>554</v>
      </c>
      <c r="J51" s="624">
        <v>1</v>
      </c>
      <c r="K51" s="624"/>
      <c r="L51" s="624">
        <v>20</v>
      </c>
      <c r="M51" s="624">
        <f>L51*0.8</f>
        <v>16</v>
      </c>
      <c r="N51" s="704" t="s">
        <v>554</v>
      </c>
      <c r="O51" s="624">
        <v>1</v>
      </c>
      <c r="P51" s="624"/>
      <c r="Q51" s="624">
        <v>20</v>
      </c>
      <c r="R51" s="624">
        <f>Q51*0.8</f>
        <v>16</v>
      </c>
      <c r="S51" s="704" t="s">
        <v>554</v>
      </c>
      <c r="T51" s="624">
        <v>1</v>
      </c>
      <c r="U51" s="624"/>
      <c r="V51" s="624">
        <v>20</v>
      </c>
      <c r="W51" s="624">
        <f>V51*0.8</f>
        <v>16</v>
      </c>
    </row>
    <row r="52" spans="1:23">
      <c r="A52" s="2148"/>
      <c r="B52" s="2148"/>
      <c r="C52" s="171" t="s">
        <v>55</v>
      </c>
      <c r="D52" s="170" t="s">
        <v>240</v>
      </c>
      <c r="E52" s="138"/>
      <c r="F52" s="2155"/>
      <c r="G52" s="2097"/>
      <c r="H52" s="2098"/>
      <c r="I52" s="704"/>
      <c r="J52" s="624"/>
      <c r="K52" s="624"/>
      <c r="L52" s="624"/>
      <c r="M52" s="624"/>
      <c r="N52" s="326"/>
      <c r="O52" s="624"/>
      <c r="P52" s="624"/>
      <c r="Q52" s="624"/>
      <c r="R52" s="624"/>
      <c r="S52" s="326"/>
      <c r="T52" s="624"/>
      <c r="U52" s="624"/>
      <c r="V52" s="624"/>
      <c r="W52" s="625"/>
    </row>
    <row r="53" spans="1:23" ht="16.5" thickBot="1">
      <c r="A53" s="2148"/>
      <c r="B53" s="2148"/>
      <c r="C53" s="161" t="s">
        <v>48</v>
      </c>
      <c r="D53" s="172" t="s">
        <v>241</v>
      </c>
      <c r="E53" s="138"/>
      <c r="F53" s="2156"/>
      <c r="G53" s="2097"/>
      <c r="H53" s="2098"/>
      <c r="I53" s="704"/>
      <c r="J53" s="624"/>
      <c r="K53" s="624"/>
      <c r="L53" s="624"/>
      <c r="M53" s="624"/>
      <c r="N53" s="326"/>
      <c r="O53" s="624"/>
      <c r="P53" s="624"/>
      <c r="Q53" s="624"/>
      <c r="R53" s="624"/>
      <c r="S53" s="326"/>
      <c r="T53" s="624"/>
      <c r="U53" s="624"/>
      <c r="V53" s="624"/>
      <c r="W53" s="625"/>
    </row>
    <row r="54" spans="1:23" ht="32.25" thickBot="1">
      <c r="A54" s="2135" t="s">
        <v>500</v>
      </c>
      <c r="B54" s="2097"/>
      <c r="C54" s="173" t="s">
        <v>134</v>
      </c>
      <c r="D54" s="174" t="s">
        <v>269</v>
      </c>
      <c r="E54" s="175"/>
      <c r="F54" s="1818" t="s">
        <v>501</v>
      </c>
      <c r="G54" s="2097"/>
      <c r="H54" s="2098"/>
      <c r="I54" s="724"/>
      <c r="J54" s="627"/>
      <c r="K54" s="627"/>
      <c r="L54" s="627"/>
      <c r="M54" s="627"/>
      <c r="N54" s="626"/>
      <c r="O54" s="627"/>
      <c r="P54" s="627"/>
      <c r="Q54" s="627"/>
      <c r="R54" s="627"/>
      <c r="S54" s="626"/>
      <c r="T54" s="627"/>
      <c r="U54" s="627"/>
      <c r="V54" s="627"/>
      <c r="W54" s="628"/>
    </row>
    <row r="56" spans="1:23">
      <c r="M56">
        <f>SUM(M40:M51)</f>
        <v>5776</v>
      </c>
    </row>
    <row r="57" spans="1:23">
      <c r="M57">
        <f>M56*5</f>
        <v>28880</v>
      </c>
    </row>
    <row r="58" spans="1:23" ht="90">
      <c r="A58" s="630" t="s">
        <v>948</v>
      </c>
      <c r="B58" s="630" t="s">
        <v>949</v>
      </c>
      <c r="C58" s="630" t="s">
        <v>950</v>
      </c>
      <c r="D58" s="630" t="s">
        <v>1038</v>
      </c>
      <c r="E58" s="630" t="s">
        <v>1039</v>
      </c>
      <c r="F58" s="630" t="s">
        <v>952</v>
      </c>
    </row>
    <row r="59" spans="1:23">
      <c r="A59" s="719" t="s">
        <v>953</v>
      </c>
      <c r="B59" s="624" t="s">
        <v>887</v>
      </c>
      <c r="C59" s="624" t="s">
        <v>1040</v>
      </c>
      <c r="D59" s="720"/>
      <c r="E59" s="721">
        <v>0.25</v>
      </c>
      <c r="F59" s="2275" t="s">
        <v>1041</v>
      </c>
    </row>
    <row r="60" spans="1:23">
      <c r="A60" s="719" t="s">
        <v>956</v>
      </c>
      <c r="B60" s="624" t="s">
        <v>887</v>
      </c>
      <c r="C60" s="695" t="s">
        <v>1042</v>
      </c>
      <c r="D60" s="720"/>
      <c r="E60" s="721">
        <v>0.25</v>
      </c>
      <c r="F60" s="2276"/>
    </row>
    <row r="61" spans="1:23">
      <c r="A61" s="719" t="s">
        <v>957</v>
      </c>
      <c r="B61" s="624" t="s">
        <v>991</v>
      </c>
      <c r="C61" s="624"/>
      <c r="D61" s="720"/>
      <c r="E61" s="720"/>
      <c r="F61" s="2276"/>
    </row>
    <row r="62" spans="1:23">
      <c r="A62" s="719" t="s">
        <v>959</v>
      </c>
      <c r="B62" s="624" t="s">
        <v>887</v>
      </c>
      <c r="C62" s="624"/>
      <c r="D62" s="720">
        <v>1.1399999999999999</v>
      </c>
      <c r="E62" s="721">
        <v>0.5</v>
      </c>
      <c r="F62" s="2276"/>
    </row>
    <row r="63" spans="1:23">
      <c r="A63" s="719" t="s">
        <v>961</v>
      </c>
      <c r="B63" s="624" t="s">
        <v>887</v>
      </c>
      <c r="C63" s="695" t="s">
        <v>1043</v>
      </c>
      <c r="D63" s="720"/>
      <c r="E63" s="721">
        <v>1</v>
      </c>
      <c r="F63" s="2276"/>
    </row>
    <row r="64" spans="1:23">
      <c r="A64" s="719" t="s">
        <v>963</v>
      </c>
      <c r="B64" s="624" t="s">
        <v>887</v>
      </c>
      <c r="C64" s="695" t="s">
        <v>1044</v>
      </c>
      <c r="D64" s="720">
        <v>2.29</v>
      </c>
      <c r="E64" s="720"/>
      <c r="F64" s="2276"/>
    </row>
    <row r="65" spans="1:6">
      <c r="A65" s="719" t="s">
        <v>965</v>
      </c>
      <c r="B65" s="624" t="s">
        <v>887</v>
      </c>
      <c r="C65" s="624"/>
      <c r="D65" s="720"/>
      <c r="E65" s="721">
        <v>0.5</v>
      </c>
      <c r="F65" s="2276"/>
    </row>
    <row r="66" spans="1:6">
      <c r="A66" s="719" t="s">
        <v>967</v>
      </c>
      <c r="B66" s="624" t="s">
        <v>991</v>
      </c>
      <c r="C66" s="624"/>
      <c r="D66" s="720"/>
      <c r="E66" s="720"/>
      <c r="F66" s="2276"/>
    </row>
    <row r="67" spans="1:6">
      <c r="A67" s="719" t="s">
        <v>969</v>
      </c>
      <c r="B67" s="624" t="s">
        <v>887</v>
      </c>
      <c r="C67" s="695" t="s">
        <v>1045</v>
      </c>
      <c r="D67" s="720">
        <v>0.56999999999999995</v>
      </c>
      <c r="E67" s="721">
        <v>0.5</v>
      </c>
      <c r="F67" s="2276"/>
    </row>
    <row r="68" spans="1:6">
      <c r="A68" s="719" t="s">
        <v>971</v>
      </c>
      <c r="B68" s="624" t="s">
        <v>887</v>
      </c>
      <c r="C68" s="624"/>
      <c r="D68" s="720"/>
      <c r="E68" s="721">
        <v>0.21</v>
      </c>
      <c r="F68" s="2277"/>
    </row>
    <row r="69" spans="1:6">
      <c r="A69" s="609"/>
      <c r="B69" s="609"/>
      <c r="C69" s="609"/>
      <c r="D69" s="609">
        <f>SUM(D59:D68)</f>
        <v>3.9999999999999996</v>
      </c>
      <c r="E69" s="609">
        <f>SUM(E59:E68)</f>
        <v>3.21</v>
      </c>
      <c r="F69" s="609"/>
    </row>
    <row r="70" spans="1:6">
      <c r="A70" s="609"/>
      <c r="B70" s="609"/>
      <c r="C70" s="609"/>
      <c r="D70" s="609"/>
      <c r="E70" s="609"/>
      <c r="F70" s="609"/>
    </row>
  </sheetData>
  <mergeCells count="59">
    <mergeCell ref="F59:F68"/>
    <mergeCell ref="I13:M13"/>
    <mergeCell ref="N13:R13"/>
    <mergeCell ref="S13:W13"/>
    <mergeCell ref="A18:B20"/>
    <mergeCell ref="F18:H20"/>
    <mergeCell ref="A23:B25"/>
    <mergeCell ref="F23:H25"/>
    <mergeCell ref="A26:C26"/>
    <mergeCell ref="F26:H26"/>
    <mergeCell ref="A27:B29"/>
    <mergeCell ref="F27:H29"/>
    <mergeCell ref="A30:B32"/>
    <mergeCell ref="F30:H32"/>
    <mergeCell ref="A33:B33"/>
    <mergeCell ref="F33:H33"/>
    <mergeCell ref="A10:B10"/>
    <mergeCell ref="A21:B22"/>
    <mergeCell ref="B2:D2"/>
    <mergeCell ref="B3:D3"/>
    <mergeCell ref="B8:D8"/>
    <mergeCell ref="A14:B14"/>
    <mergeCell ref="C10:H10"/>
    <mergeCell ref="B4:D4"/>
    <mergeCell ref="B6:D6"/>
    <mergeCell ref="E12:H13"/>
    <mergeCell ref="F14:H14"/>
    <mergeCell ref="A15:B17"/>
    <mergeCell ref="F15:H17"/>
    <mergeCell ref="F21:H22"/>
    <mergeCell ref="A34:B34"/>
    <mergeCell ref="F34:H34"/>
    <mergeCell ref="A35:B36"/>
    <mergeCell ref="F35:H36"/>
    <mergeCell ref="A37:B39"/>
    <mergeCell ref="F37:H37"/>
    <mergeCell ref="F38:H39"/>
    <mergeCell ref="A40:B42"/>
    <mergeCell ref="F40:H40"/>
    <mergeCell ref="F41:H41"/>
    <mergeCell ref="F42:H42"/>
    <mergeCell ref="A43:C43"/>
    <mergeCell ref="F43:H43"/>
    <mergeCell ref="A44:C44"/>
    <mergeCell ref="F44:H44"/>
    <mergeCell ref="A45:B48"/>
    <mergeCell ref="F45:H45"/>
    <mergeCell ref="F46:H46"/>
    <mergeCell ref="F47:H47"/>
    <mergeCell ref="F48:H48"/>
    <mergeCell ref="A54:B54"/>
    <mergeCell ref="F54:H54"/>
    <mergeCell ref="A49:B50"/>
    <mergeCell ref="F49:H49"/>
    <mergeCell ref="F50:H50"/>
    <mergeCell ref="A51:B53"/>
    <mergeCell ref="F51:H51"/>
    <mergeCell ref="F52:H52"/>
    <mergeCell ref="F53:H53"/>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3" location="SOMMAIRE!A1" display="Retour sommaire"/>
    <hyperlink ref="J5" location="SYNTHESE!A1" display="Retour synthèse"/>
  </hyperlinks>
  <pageMargins left="0.7" right="0.7" top="0.75" bottom="0.75" header="0.3" footer="0.3"/>
  <legacy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9"/>
  <sheetViews>
    <sheetView workbookViewId="0">
      <selection activeCell="F44" sqref="F44:H44"/>
    </sheetView>
  </sheetViews>
  <sheetFormatPr baseColWidth="10" defaultRowHeight="15"/>
  <cols>
    <col min="1" max="1" width="2.42578125" customWidth="1"/>
    <col min="2" max="2" width="11.28515625" customWidth="1"/>
    <col min="3" max="3" width="70.140625" customWidth="1"/>
    <col min="4" max="4" width="46.42578125" customWidth="1"/>
    <col min="5" max="5" width="3.5703125" customWidth="1"/>
    <col min="6" max="6" width="10.28515625" bestFit="1" customWidth="1"/>
    <col min="7" max="7" width="81.7109375" customWidth="1"/>
    <col min="8" max="8" width="40.28515625" customWidth="1"/>
  </cols>
  <sheetData>
    <row r="2" spans="2:8" ht="15" customHeight="1">
      <c r="B2" s="2711" t="s">
        <v>290</v>
      </c>
      <c r="C2" s="2711"/>
      <c r="D2" s="29" t="s">
        <v>291</v>
      </c>
      <c r="F2" s="2710" t="s">
        <v>24</v>
      </c>
      <c r="G2" s="2710"/>
      <c r="H2" s="2710" t="s">
        <v>236</v>
      </c>
    </row>
    <row r="3" spans="2:8">
      <c r="B3" s="2711"/>
      <c r="C3" s="2711"/>
      <c r="D3" s="29" t="s">
        <v>292</v>
      </c>
      <c r="F3" s="2710"/>
      <c r="G3" s="2710"/>
      <c r="H3" s="2710"/>
    </row>
    <row r="4" spans="2:8">
      <c r="B4" s="26" t="s">
        <v>274</v>
      </c>
      <c r="C4" s="26" t="s">
        <v>275</v>
      </c>
      <c r="D4" s="26" t="s">
        <v>276</v>
      </c>
      <c r="F4" s="26" t="s">
        <v>274</v>
      </c>
      <c r="G4" s="26" t="s">
        <v>275</v>
      </c>
      <c r="H4" s="26" t="s">
        <v>276</v>
      </c>
    </row>
    <row r="5" spans="2:8" ht="45">
      <c r="B5" s="27" t="s">
        <v>277</v>
      </c>
      <c r="C5" s="26" t="s">
        <v>278</v>
      </c>
      <c r="D5" s="27" t="s">
        <v>279</v>
      </c>
      <c r="F5" s="27" t="s">
        <v>277</v>
      </c>
      <c r="G5" s="26" t="s">
        <v>278</v>
      </c>
      <c r="H5" s="27" t="s">
        <v>279</v>
      </c>
    </row>
    <row r="6" spans="2:8" ht="30">
      <c r="B6" s="27" t="s">
        <v>280</v>
      </c>
      <c r="C6" s="26" t="s">
        <v>281</v>
      </c>
      <c r="D6" s="27" t="s">
        <v>282</v>
      </c>
      <c r="F6" s="27" t="s">
        <v>280</v>
      </c>
      <c r="G6" s="26" t="s">
        <v>281</v>
      </c>
      <c r="H6" s="27" t="s">
        <v>282</v>
      </c>
    </row>
    <row r="7" spans="2:8" ht="30">
      <c r="B7" s="2660" t="s">
        <v>283</v>
      </c>
      <c r="C7" s="2701" t="s">
        <v>284</v>
      </c>
      <c r="D7" s="2712">
        <v>0.01</v>
      </c>
      <c r="F7" s="27" t="s">
        <v>283</v>
      </c>
      <c r="G7" s="26" t="s">
        <v>284</v>
      </c>
      <c r="H7" s="28">
        <v>0.01</v>
      </c>
    </row>
    <row r="8" spans="2:8" ht="30">
      <c r="B8" s="2660"/>
      <c r="C8" s="2701"/>
      <c r="D8" s="2712"/>
      <c r="F8" s="27" t="s">
        <v>285</v>
      </c>
      <c r="G8" s="26" t="s">
        <v>286</v>
      </c>
      <c r="H8" s="27" t="s">
        <v>293</v>
      </c>
    </row>
    <row r="9" spans="2:8" ht="30">
      <c r="B9" s="27" t="s">
        <v>285</v>
      </c>
      <c r="C9" s="26" t="s">
        <v>286</v>
      </c>
      <c r="D9" s="27">
        <v>0.2</v>
      </c>
      <c r="F9" s="2660" t="s">
        <v>287</v>
      </c>
      <c r="G9" s="2702" t="s">
        <v>288</v>
      </c>
      <c r="H9" s="2660" t="s">
        <v>289</v>
      </c>
    </row>
    <row r="10" spans="2:8" ht="27.75" customHeight="1">
      <c r="B10" s="2660" t="s">
        <v>287</v>
      </c>
      <c r="C10" s="2701" t="s">
        <v>288</v>
      </c>
      <c r="D10" s="2660" t="s">
        <v>289</v>
      </c>
      <c r="F10" s="2660"/>
      <c r="G10" s="2702"/>
      <c r="H10" s="2660"/>
    </row>
    <row r="11" spans="2:8" ht="30">
      <c r="B11" s="2660"/>
      <c r="C11" s="2701"/>
      <c r="D11" s="2660"/>
      <c r="F11" s="27" t="s">
        <v>294</v>
      </c>
      <c r="G11" s="26" t="s">
        <v>295</v>
      </c>
      <c r="H11" s="27" t="s">
        <v>296</v>
      </c>
    </row>
    <row r="12" spans="2:8" ht="15" customHeight="1"/>
    <row r="13" spans="2:8" ht="15" customHeight="1">
      <c r="B13" s="2706" t="s">
        <v>297</v>
      </c>
      <c r="C13" s="2707"/>
      <c r="D13" s="30" t="s">
        <v>237</v>
      </c>
      <c r="F13" s="2708" t="s">
        <v>29</v>
      </c>
      <c r="G13" s="2709"/>
      <c r="H13" s="31" t="s">
        <v>238</v>
      </c>
    </row>
    <row r="14" spans="2:8">
      <c r="B14" s="26" t="s">
        <v>274</v>
      </c>
      <c r="C14" s="26" t="s">
        <v>275</v>
      </c>
      <c r="D14" s="26" t="s">
        <v>276</v>
      </c>
      <c r="F14" s="26" t="s">
        <v>274</v>
      </c>
      <c r="G14" s="26" t="s">
        <v>275</v>
      </c>
      <c r="H14" s="26" t="s">
        <v>276</v>
      </c>
    </row>
    <row r="15" spans="2:8">
      <c r="B15" s="2660" t="s">
        <v>298</v>
      </c>
      <c r="C15" s="2701" t="s">
        <v>299</v>
      </c>
      <c r="D15" s="1752" t="s">
        <v>322</v>
      </c>
      <c r="F15" s="27" t="s">
        <v>277</v>
      </c>
      <c r="G15" s="2701" t="s">
        <v>313</v>
      </c>
      <c r="H15" s="26" t="s">
        <v>314</v>
      </c>
    </row>
    <row r="16" spans="2:8">
      <c r="B16" s="2660"/>
      <c r="C16" s="2701"/>
      <c r="D16" s="1753"/>
      <c r="F16" s="27" t="s">
        <v>280</v>
      </c>
      <c r="G16" s="2701"/>
      <c r="H16" s="26" t="s">
        <v>315</v>
      </c>
    </row>
    <row r="17" spans="2:8" ht="60">
      <c r="B17" s="27" t="s">
        <v>300</v>
      </c>
      <c r="C17" s="26" t="s">
        <v>301</v>
      </c>
      <c r="D17" s="26" t="s">
        <v>302</v>
      </c>
      <c r="F17" s="2660" t="s">
        <v>316</v>
      </c>
      <c r="G17" s="2702" t="s">
        <v>301</v>
      </c>
      <c r="H17" s="2703" t="s">
        <v>321</v>
      </c>
    </row>
    <row r="18" spans="2:8">
      <c r="B18" s="27" t="s">
        <v>277</v>
      </c>
      <c r="C18" s="2701" t="s">
        <v>303</v>
      </c>
      <c r="D18" s="26" t="s">
        <v>304</v>
      </c>
      <c r="F18" s="2660"/>
      <c r="G18" s="2702"/>
      <c r="H18" s="2704"/>
    </row>
    <row r="19" spans="2:8">
      <c r="B19" s="27" t="s">
        <v>280</v>
      </c>
      <c r="C19" s="2701"/>
      <c r="D19" s="26" t="s">
        <v>305</v>
      </c>
      <c r="F19" s="2660"/>
      <c r="G19" s="2702"/>
      <c r="H19" s="2705"/>
    </row>
    <row r="20" spans="2:8">
      <c r="B20" s="27" t="s">
        <v>306</v>
      </c>
      <c r="C20" s="2701"/>
      <c r="D20" s="26" t="s">
        <v>307</v>
      </c>
      <c r="F20" s="2660" t="s">
        <v>317</v>
      </c>
      <c r="G20" s="2660" t="s">
        <v>318</v>
      </c>
      <c r="H20" s="2660" t="s">
        <v>319</v>
      </c>
    </row>
    <row r="21" spans="2:8" ht="30">
      <c r="B21" s="27" t="s">
        <v>308</v>
      </c>
      <c r="C21" s="26" t="s">
        <v>309</v>
      </c>
      <c r="D21" s="26" t="s">
        <v>320</v>
      </c>
      <c r="F21" s="2660"/>
      <c r="G21" s="2660"/>
      <c r="H21" s="2660"/>
    </row>
    <row r="22" spans="2:8">
      <c r="B22" s="2660" t="s">
        <v>310</v>
      </c>
      <c r="C22" s="26" t="s">
        <v>311</v>
      </c>
      <c r="D22" s="2701" t="s">
        <v>45</v>
      </c>
    </row>
    <row r="23" spans="2:8" ht="15.75" customHeight="1">
      <c r="B23" s="2660"/>
      <c r="C23" s="26" t="s">
        <v>312</v>
      </c>
      <c r="D23" s="2701"/>
    </row>
    <row r="24" spans="2:8" ht="15.75" customHeight="1">
      <c r="F24" s="2700" t="s">
        <v>330</v>
      </c>
      <c r="G24" s="2700"/>
      <c r="H24" s="2700"/>
    </row>
    <row r="25" spans="2:8">
      <c r="B25" s="2700" t="s">
        <v>323</v>
      </c>
      <c r="C25" s="2700"/>
      <c r="D25" s="2700"/>
      <c r="F25" s="26" t="s">
        <v>274</v>
      </c>
      <c r="G25" s="26" t="s">
        <v>275</v>
      </c>
      <c r="H25" s="26" t="s">
        <v>276</v>
      </c>
    </row>
    <row r="26" spans="2:8" ht="30">
      <c r="B26" s="26" t="s">
        <v>274</v>
      </c>
      <c r="C26" s="26" t="s">
        <v>275</v>
      </c>
      <c r="D26" s="26" t="s">
        <v>276</v>
      </c>
      <c r="F26" s="27" t="s">
        <v>285</v>
      </c>
      <c r="G26" s="26" t="s">
        <v>324</v>
      </c>
      <c r="H26" s="26" t="s">
        <v>331</v>
      </c>
    </row>
    <row r="27" spans="2:8" ht="30">
      <c r="B27" s="27" t="s">
        <v>285</v>
      </c>
      <c r="C27" s="26" t="s">
        <v>324</v>
      </c>
      <c r="D27" s="26" t="s">
        <v>327</v>
      </c>
      <c r="F27" s="27" t="s">
        <v>277</v>
      </c>
      <c r="G27" s="26" t="s">
        <v>325</v>
      </c>
      <c r="H27" s="26" t="s">
        <v>335</v>
      </c>
    </row>
    <row r="28" spans="2:8" ht="30">
      <c r="B28" s="27" t="s">
        <v>277</v>
      </c>
      <c r="C28" s="26" t="s">
        <v>325</v>
      </c>
      <c r="D28" s="26" t="s">
        <v>328</v>
      </c>
      <c r="F28" s="27" t="s">
        <v>280</v>
      </c>
      <c r="G28" s="26" t="s">
        <v>326</v>
      </c>
      <c r="H28" s="26" t="s">
        <v>334</v>
      </c>
    </row>
    <row r="29" spans="2:8" ht="30">
      <c r="B29" s="27" t="s">
        <v>280</v>
      </c>
      <c r="C29" s="26" t="s">
        <v>326</v>
      </c>
      <c r="D29" s="26" t="s">
        <v>329</v>
      </c>
      <c r="F29" s="27" t="s">
        <v>306</v>
      </c>
      <c r="G29" s="26" t="s">
        <v>332</v>
      </c>
      <c r="H29" s="26" t="s">
        <v>333</v>
      </c>
    </row>
  </sheetData>
  <mergeCells count="29">
    <mergeCell ref="H2:H3"/>
    <mergeCell ref="G9:G10"/>
    <mergeCell ref="H9:H10"/>
    <mergeCell ref="F9:F10"/>
    <mergeCell ref="B2:C3"/>
    <mergeCell ref="B7:B8"/>
    <mergeCell ref="B10:B11"/>
    <mergeCell ref="F2:G3"/>
    <mergeCell ref="C7:C8"/>
    <mergeCell ref="D7:D8"/>
    <mergeCell ref="C10:C11"/>
    <mergeCell ref="D10:D11"/>
    <mergeCell ref="B13:C13"/>
    <mergeCell ref="F13:G13"/>
    <mergeCell ref="B15:B16"/>
    <mergeCell ref="C15:C16"/>
    <mergeCell ref="C18:C20"/>
    <mergeCell ref="B25:D25"/>
    <mergeCell ref="B22:B23"/>
    <mergeCell ref="D22:D23"/>
    <mergeCell ref="G15:G16"/>
    <mergeCell ref="F17:F19"/>
    <mergeCell ref="G17:G19"/>
    <mergeCell ref="F20:F21"/>
    <mergeCell ref="G20:G21"/>
    <mergeCell ref="F24:H24"/>
    <mergeCell ref="H20:H21"/>
    <mergeCell ref="H17:H19"/>
    <mergeCell ref="D15:D1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W87"/>
  <sheetViews>
    <sheetView workbookViewId="0"/>
  </sheetViews>
  <sheetFormatPr baseColWidth="10" defaultRowHeight="15"/>
  <cols>
    <col min="1" max="1" width="20.42578125" style="1" bestFit="1" customWidth="1"/>
    <col min="2" max="2" width="15.7109375" style="1" customWidth="1"/>
    <col min="3" max="3" width="40" style="1" customWidth="1"/>
    <col min="4" max="4" width="7.85546875" style="1" customWidth="1"/>
    <col min="5" max="5" width="7.5703125" style="1" customWidth="1"/>
    <col min="6" max="6" width="16.28515625" style="1" bestFit="1" customWidth="1"/>
    <col min="7" max="7" width="16.5703125" style="1" bestFit="1" customWidth="1"/>
    <col min="8" max="8" width="16.5703125" style="2" bestFit="1" customWidth="1"/>
    <col min="10" max="10" width="18.42578125" bestFit="1" customWidth="1"/>
  </cols>
  <sheetData>
    <row r="1" spans="1:23" ht="15.75" thickBot="1">
      <c r="A1" s="327"/>
      <c r="B1" s="327"/>
      <c r="C1" s="327"/>
      <c r="D1" s="327"/>
      <c r="E1" s="327"/>
      <c r="F1" s="327"/>
      <c r="G1" s="327"/>
      <c r="H1" s="327"/>
    </row>
    <row r="2" spans="1:23" ht="15.75" thickBot="1">
      <c r="A2" s="328" t="s">
        <v>0</v>
      </c>
      <c r="B2" s="1807" t="s">
        <v>773</v>
      </c>
      <c r="C2" s="1776"/>
      <c r="D2" s="1777"/>
      <c r="E2" s="329"/>
      <c r="F2" s="329"/>
      <c r="G2" s="330" t="s">
        <v>462</v>
      </c>
      <c r="H2" s="112" t="s">
        <v>53</v>
      </c>
    </row>
    <row r="3" spans="1:23" ht="15.75" thickBot="1">
      <c r="A3" s="331" t="s">
        <v>344</v>
      </c>
      <c r="B3" s="1822" t="s">
        <v>774</v>
      </c>
      <c r="C3" s="1776"/>
      <c r="D3" s="1777"/>
      <c r="E3" s="329"/>
      <c r="F3" s="329"/>
      <c r="G3" s="332" t="s">
        <v>10</v>
      </c>
      <c r="H3" s="112" t="s">
        <v>16</v>
      </c>
      <c r="J3" s="11" t="s">
        <v>73</v>
      </c>
    </row>
    <row r="4" spans="1:23" ht="15.75" thickBot="1">
      <c r="A4" s="332" t="s">
        <v>3</v>
      </c>
      <c r="B4" s="1809" t="s">
        <v>775</v>
      </c>
      <c r="C4" s="1776"/>
      <c r="D4" s="1777"/>
      <c r="E4" s="333"/>
      <c r="F4" s="329"/>
      <c r="G4" s="334" t="s">
        <v>26</v>
      </c>
      <c r="H4" s="117">
        <v>7</v>
      </c>
    </row>
    <row r="5" spans="1:23" ht="15.75" customHeight="1" thickBot="1">
      <c r="A5" s="329"/>
      <c r="B5" s="329"/>
      <c r="C5" s="329"/>
      <c r="D5" s="329"/>
      <c r="E5" s="329"/>
      <c r="F5" s="329"/>
      <c r="G5" s="329"/>
      <c r="H5" s="329"/>
      <c r="J5" s="13" t="s">
        <v>381</v>
      </c>
    </row>
    <row r="6" spans="1:23" ht="210.75" customHeight="1" thickBot="1">
      <c r="A6" s="328" t="s">
        <v>465</v>
      </c>
      <c r="B6" s="1824" t="s">
        <v>1564</v>
      </c>
      <c r="C6" s="1806"/>
      <c r="D6" s="1806"/>
      <c r="E6" s="1806"/>
      <c r="F6" s="329"/>
      <c r="G6" s="335" t="s">
        <v>466</v>
      </c>
      <c r="H6" s="178" t="s">
        <v>776</v>
      </c>
    </row>
    <row r="7" spans="1:23" ht="15.75" thickBot="1">
      <c r="A7" s="327"/>
      <c r="B7" s="329"/>
      <c r="C7" s="329"/>
      <c r="D7" s="329"/>
      <c r="E7" s="329"/>
      <c r="F7" s="329"/>
      <c r="G7" s="337"/>
      <c r="H7" s="329"/>
      <c r="J7" s="1821"/>
    </row>
    <row r="8" spans="1:23" ht="30.75" thickBot="1">
      <c r="A8" s="338" t="s">
        <v>7</v>
      </c>
      <c r="B8" s="1823" t="s">
        <v>777</v>
      </c>
      <c r="C8" s="1776"/>
      <c r="D8" s="1777"/>
      <c r="E8" s="333"/>
      <c r="F8" s="339"/>
      <c r="G8" s="338" t="s">
        <v>469</v>
      </c>
      <c r="H8" s="123" t="s">
        <v>508</v>
      </c>
      <c r="J8" s="1821"/>
    </row>
    <row r="9" spans="1:23">
      <c r="A9" s="327"/>
      <c r="B9" s="329"/>
      <c r="C9" s="329"/>
      <c r="D9" s="329"/>
      <c r="E9" s="329"/>
      <c r="F9" s="329"/>
      <c r="G9" s="337"/>
      <c r="H9" s="329"/>
    </row>
    <row r="10" spans="1:23" ht="91.5" customHeight="1">
      <c r="A10" s="1813" t="s">
        <v>471</v>
      </c>
      <c r="B10" s="1772"/>
      <c r="C10" s="1805" t="s">
        <v>778</v>
      </c>
      <c r="D10" s="1805"/>
      <c r="E10" s="1805"/>
      <c r="F10" s="1805"/>
      <c r="G10" s="1805"/>
      <c r="H10" s="1805"/>
    </row>
    <row r="11" spans="1:23">
      <c r="A11" s="343"/>
      <c r="B11" s="333"/>
      <c r="C11" s="333"/>
      <c r="D11" s="333"/>
      <c r="E11" s="333"/>
      <c r="F11" s="339"/>
      <c r="G11" s="342"/>
      <c r="H11" s="342"/>
    </row>
    <row r="12" spans="1:23">
      <c r="A12" s="343"/>
      <c r="B12" s="333"/>
      <c r="C12" s="333"/>
      <c r="D12" s="333"/>
      <c r="E12" s="1814" t="s">
        <v>473</v>
      </c>
      <c r="F12" s="1772"/>
      <c r="G12" s="1772"/>
      <c r="H12" s="1772"/>
    </row>
    <row r="13" spans="1:23" ht="15" customHeight="1">
      <c r="A13" s="329"/>
      <c r="B13" s="329"/>
      <c r="C13" s="329"/>
      <c r="D13" s="329"/>
      <c r="E13" s="1780"/>
      <c r="F13" s="1780"/>
      <c r="G13" s="1780"/>
      <c r="H13" s="1780"/>
      <c r="I13" s="1825">
        <v>2025</v>
      </c>
      <c r="J13" s="1826"/>
      <c r="K13" s="1826"/>
      <c r="L13" s="1826"/>
      <c r="M13" s="1827"/>
      <c r="N13" s="1825">
        <v>2026</v>
      </c>
      <c r="O13" s="1826"/>
      <c r="P13" s="1826"/>
      <c r="Q13" s="1826"/>
      <c r="R13" s="1827"/>
      <c r="S13" s="1825">
        <v>2027</v>
      </c>
      <c r="T13" s="1826"/>
      <c r="U13" s="1826"/>
      <c r="V13" s="1826"/>
      <c r="W13" s="1827"/>
    </row>
    <row r="14" spans="1:23" ht="45.75" thickBot="1">
      <c r="A14" s="1816" t="s">
        <v>5</v>
      </c>
      <c r="B14" s="1792"/>
      <c r="C14" s="344" t="s">
        <v>1</v>
      </c>
      <c r="D14" s="344" t="s">
        <v>260</v>
      </c>
      <c r="E14" s="345" t="s">
        <v>474</v>
      </c>
      <c r="F14" s="1815" t="s">
        <v>6</v>
      </c>
      <c r="G14" s="1762"/>
      <c r="H14" s="1764"/>
      <c r="I14" s="875" t="s">
        <v>474</v>
      </c>
      <c r="J14" s="876" t="s">
        <v>944</v>
      </c>
      <c r="K14" s="877" t="s">
        <v>945</v>
      </c>
      <c r="L14" s="876" t="s">
        <v>946</v>
      </c>
      <c r="M14" s="878" t="s">
        <v>947</v>
      </c>
      <c r="N14" s="875" t="s">
        <v>474</v>
      </c>
      <c r="O14" s="876" t="s">
        <v>944</v>
      </c>
      <c r="P14" s="877" t="s">
        <v>945</v>
      </c>
      <c r="Q14" s="876" t="s">
        <v>946</v>
      </c>
      <c r="R14" s="878" t="s">
        <v>947</v>
      </c>
      <c r="S14" s="875" t="s">
        <v>474</v>
      </c>
      <c r="T14" s="876" t="s">
        <v>944</v>
      </c>
      <c r="U14" s="877" t="s">
        <v>945</v>
      </c>
      <c r="V14" s="876" t="s">
        <v>946</v>
      </c>
      <c r="W14" s="878" t="s">
        <v>947</v>
      </c>
    </row>
    <row r="15" spans="1:23" ht="15" customHeight="1">
      <c r="A15" s="1804" t="s">
        <v>17</v>
      </c>
      <c r="B15" s="1771"/>
      <c r="C15" s="346" t="s">
        <v>59</v>
      </c>
      <c r="D15" s="347" t="s">
        <v>251</v>
      </c>
      <c r="E15" s="521"/>
      <c r="F15" s="1828" t="s">
        <v>779</v>
      </c>
      <c r="G15" s="1771"/>
      <c r="H15" s="1792"/>
      <c r="I15" s="879"/>
      <c r="J15" s="880"/>
      <c r="K15" s="880"/>
      <c r="L15" s="880"/>
      <c r="M15" s="881"/>
      <c r="N15" s="882"/>
      <c r="O15" s="880"/>
      <c r="P15" s="880"/>
      <c r="Q15" s="880"/>
      <c r="R15" s="881"/>
      <c r="S15" s="882"/>
      <c r="T15" s="880"/>
      <c r="U15" s="880"/>
      <c r="V15" s="880"/>
      <c r="W15" s="883"/>
    </row>
    <row r="16" spans="1:23">
      <c r="A16" s="1772"/>
      <c r="B16" s="1772"/>
      <c r="C16" s="349" t="s">
        <v>18</v>
      </c>
      <c r="D16" s="350" t="s">
        <v>168</v>
      </c>
      <c r="E16" s="522"/>
      <c r="F16" s="1798"/>
      <c r="G16" s="1798"/>
      <c r="H16" s="1799"/>
      <c r="I16" s="884"/>
      <c r="J16" s="885"/>
      <c r="K16" s="885"/>
      <c r="L16" s="885"/>
      <c r="M16" s="885"/>
      <c r="N16" s="884"/>
      <c r="O16" s="885"/>
      <c r="P16" s="885"/>
      <c r="Q16" s="885"/>
      <c r="R16" s="885"/>
      <c r="S16" s="884"/>
      <c r="T16" s="885"/>
      <c r="U16" s="885"/>
      <c r="V16" s="885"/>
      <c r="W16" s="886"/>
    </row>
    <row r="17" spans="1:23" ht="30" customHeight="1" thickBot="1">
      <c r="A17" s="1780"/>
      <c r="B17" s="1780"/>
      <c r="C17" s="352" t="s">
        <v>19</v>
      </c>
      <c r="D17" s="353" t="s">
        <v>233</v>
      </c>
      <c r="E17" s="184"/>
      <c r="F17" s="1780"/>
      <c r="G17" s="1780"/>
      <c r="H17" s="1793"/>
      <c r="I17" s="887"/>
      <c r="J17" s="885"/>
      <c r="K17" s="885"/>
      <c r="L17" s="885"/>
      <c r="M17" s="885"/>
      <c r="N17" s="887"/>
      <c r="O17" s="885"/>
      <c r="P17" s="885"/>
      <c r="Q17" s="885"/>
      <c r="R17" s="885"/>
      <c r="S17" s="887"/>
      <c r="T17" s="885"/>
      <c r="U17" s="885"/>
      <c r="V17" s="885"/>
      <c r="W17" s="886"/>
    </row>
    <row r="18" spans="1:23" ht="30" customHeight="1">
      <c r="A18" s="1804" t="s">
        <v>20</v>
      </c>
      <c r="B18" s="1771"/>
      <c r="C18" s="346" t="s">
        <v>54</v>
      </c>
      <c r="D18" s="353" t="s">
        <v>261</v>
      </c>
      <c r="E18" s="184" t="s">
        <v>277</v>
      </c>
      <c r="F18" s="1828" t="s">
        <v>780</v>
      </c>
      <c r="G18" s="1771"/>
      <c r="H18" s="1792"/>
      <c r="I18" s="888" t="s">
        <v>277</v>
      </c>
      <c r="J18" s="885">
        <v>5</v>
      </c>
      <c r="K18" s="885">
        <v>0</v>
      </c>
      <c r="L18" s="885">
        <v>250</v>
      </c>
      <c r="M18" s="885">
        <v>34250</v>
      </c>
      <c r="N18" s="887" t="s">
        <v>277</v>
      </c>
      <c r="O18" s="885">
        <v>2</v>
      </c>
      <c r="P18" s="885">
        <v>30</v>
      </c>
      <c r="Q18" s="885">
        <v>30</v>
      </c>
      <c r="R18" s="885">
        <v>4110</v>
      </c>
      <c r="S18" s="887" t="s">
        <v>277</v>
      </c>
      <c r="T18" s="885" t="s">
        <v>1125</v>
      </c>
      <c r="U18" s="885"/>
      <c r="V18" s="885"/>
      <c r="W18" s="886"/>
    </row>
    <row r="19" spans="1:23" ht="39.75" customHeight="1">
      <c r="A19" s="1772"/>
      <c r="B19" s="1772"/>
      <c r="C19" s="355" t="s">
        <v>21</v>
      </c>
      <c r="D19" s="353" t="s">
        <v>234</v>
      </c>
      <c r="E19" s="184"/>
      <c r="F19" s="1798"/>
      <c r="G19" s="1798"/>
      <c r="H19" s="1799"/>
      <c r="I19" s="887"/>
      <c r="J19" s="885"/>
      <c r="K19" s="885"/>
      <c r="L19" s="885"/>
      <c r="M19" s="885"/>
      <c r="N19" s="887"/>
      <c r="O19" s="885"/>
      <c r="P19" s="885"/>
      <c r="Q19" s="885"/>
      <c r="R19" s="885"/>
      <c r="S19" s="887"/>
      <c r="T19" s="885"/>
      <c r="U19" s="885"/>
      <c r="V19" s="885"/>
      <c r="W19" s="886"/>
    </row>
    <row r="20" spans="1:23" ht="39" customHeight="1" thickBot="1">
      <c r="A20" s="1772"/>
      <c r="B20" s="1772"/>
      <c r="C20" s="352" t="s">
        <v>22</v>
      </c>
      <c r="D20" s="353" t="s">
        <v>235</v>
      </c>
      <c r="E20" s="184" t="s">
        <v>277</v>
      </c>
      <c r="F20" s="1780"/>
      <c r="G20" s="1780"/>
      <c r="H20" s="1793"/>
      <c r="I20" s="888" t="s">
        <v>277</v>
      </c>
      <c r="J20" s="885">
        <v>2</v>
      </c>
      <c r="K20" s="885">
        <v>2</v>
      </c>
      <c r="L20" s="885">
        <v>95</v>
      </c>
      <c r="M20" s="885">
        <v>29070</v>
      </c>
      <c r="N20" s="887" t="s">
        <v>277</v>
      </c>
      <c r="O20" s="885">
        <v>3</v>
      </c>
      <c r="P20" s="885">
        <v>3</v>
      </c>
      <c r="Q20" s="885">
        <v>115</v>
      </c>
      <c r="R20" s="885">
        <v>35190</v>
      </c>
      <c r="S20" s="887" t="s">
        <v>277</v>
      </c>
      <c r="T20" s="885">
        <v>1</v>
      </c>
      <c r="U20" s="885">
        <v>1</v>
      </c>
      <c r="V20" s="885">
        <v>1</v>
      </c>
      <c r="W20" s="885">
        <v>306</v>
      </c>
    </row>
    <row r="21" spans="1:23" ht="31.5" customHeight="1">
      <c r="A21" s="1804" t="s">
        <v>23</v>
      </c>
      <c r="B21" s="1771"/>
      <c r="C21" s="356" t="s">
        <v>69</v>
      </c>
      <c r="D21" s="353" t="s">
        <v>267</v>
      </c>
      <c r="E21" s="184"/>
      <c r="F21" s="1791" t="s">
        <v>477</v>
      </c>
      <c r="G21" s="1771"/>
      <c r="H21" s="1792"/>
      <c r="I21" s="887"/>
      <c r="J21" s="885"/>
      <c r="K21" s="885"/>
      <c r="L21" s="885"/>
      <c r="M21" s="885"/>
      <c r="N21" s="887"/>
      <c r="O21" s="885"/>
      <c r="P21" s="885"/>
      <c r="Q21" s="885"/>
      <c r="R21" s="885"/>
      <c r="S21" s="887"/>
      <c r="T21" s="885"/>
      <c r="U21" s="885"/>
      <c r="V21" s="885"/>
      <c r="W21" s="886"/>
    </row>
    <row r="22" spans="1:23" ht="30" customHeight="1" thickBot="1">
      <c r="A22" s="1780"/>
      <c r="B22" s="1780"/>
      <c r="C22" s="357" t="s">
        <v>24</v>
      </c>
      <c r="D22" s="358" t="s">
        <v>236</v>
      </c>
      <c r="E22" s="184"/>
      <c r="F22" s="1780"/>
      <c r="G22" s="1780"/>
      <c r="H22" s="1793"/>
      <c r="I22" s="887"/>
      <c r="J22" s="885"/>
      <c r="K22" s="885"/>
      <c r="L22" s="885"/>
      <c r="M22" s="885"/>
      <c r="N22" s="887"/>
      <c r="O22" s="885"/>
      <c r="P22" s="885"/>
      <c r="Q22" s="885"/>
      <c r="R22" s="885"/>
      <c r="S22" s="887"/>
      <c r="T22" s="885"/>
      <c r="U22" s="885"/>
      <c r="V22" s="885"/>
      <c r="W22" s="886"/>
    </row>
    <row r="23" spans="1:23" ht="15.75">
      <c r="A23" s="1801" t="s">
        <v>478</v>
      </c>
      <c r="B23" s="1792"/>
      <c r="C23" s="359" t="s">
        <v>360</v>
      </c>
      <c r="D23" s="358" t="s">
        <v>265</v>
      </c>
      <c r="E23" s="184"/>
      <c r="F23" s="1791" t="s">
        <v>477</v>
      </c>
      <c r="G23" s="1771"/>
      <c r="H23" s="1792"/>
      <c r="I23" s="887"/>
      <c r="J23" s="885"/>
      <c r="K23" s="885"/>
      <c r="L23" s="885"/>
      <c r="M23" s="885"/>
      <c r="N23" s="887"/>
      <c r="O23" s="885"/>
      <c r="P23" s="885"/>
      <c r="Q23" s="885"/>
      <c r="R23" s="885"/>
      <c r="S23" s="887"/>
      <c r="T23" s="885"/>
      <c r="U23" s="885"/>
      <c r="V23" s="885"/>
      <c r="W23" s="886"/>
    </row>
    <row r="24" spans="1:23" ht="15.75">
      <c r="A24" s="1779"/>
      <c r="B24" s="1799"/>
      <c r="C24" s="360" t="s">
        <v>361</v>
      </c>
      <c r="D24" s="358" t="s">
        <v>362</v>
      </c>
      <c r="E24" s="184"/>
      <c r="F24" s="1798"/>
      <c r="G24" s="1798"/>
      <c r="H24" s="1799"/>
      <c r="I24" s="887"/>
      <c r="J24" s="885"/>
      <c r="K24" s="885"/>
      <c r="L24" s="885"/>
      <c r="M24" s="885"/>
      <c r="N24" s="887"/>
      <c r="O24" s="885"/>
      <c r="P24" s="885"/>
      <c r="Q24" s="885"/>
      <c r="R24" s="885"/>
      <c r="S24" s="887"/>
      <c r="T24" s="885"/>
      <c r="U24" s="885"/>
      <c r="V24" s="885"/>
      <c r="W24" s="886"/>
    </row>
    <row r="25" spans="1:23" ht="16.5" thickBot="1">
      <c r="A25" s="1779"/>
      <c r="B25" s="1799"/>
      <c r="C25" s="361" t="s">
        <v>479</v>
      </c>
      <c r="D25" s="358" t="s">
        <v>480</v>
      </c>
      <c r="E25" s="184"/>
      <c r="F25" s="1780"/>
      <c r="G25" s="1780"/>
      <c r="H25" s="1793"/>
      <c r="I25" s="887"/>
      <c r="J25" s="885"/>
      <c r="K25" s="885"/>
      <c r="L25" s="885"/>
      <c r="M25" s="885"/>
      <c r="N25" s="887"/>
      <c r="O25" s="885"/>
      <c r="P25" s="885"/>
      <c r="Q25" s="885"/>
      <c r="R25" s="885"/>
      <c r="S25" s="887"/>
      <c r="T25" s="885"/>
      <c r="U25" s="885"/>
      <c r="V25" s="885"/>
      <c r="W25" s="886"/>
    </row>
    <row r="26" spans="1:23" ht="15.75" thickBot="1">
      <c r="A26" s="1802" t="s">
        <v>25</v>
      </c>
      <c r="B26" s="1776"/>
      <c r="C26" s="1777"/>
      <c r="D26" s="362" t="s">
        <v>270</v>
      </c>
      <c r="E26" s="184"/>
      <c r="F26" s="1763" t="s">
        <v>481</v>
      </c>
      <c r="G26" s="1762"/>
      <c r="H26" s="1764"/>
      <c r="I26" s="887"/>
      <c r="J26" s="885"/>
      <c r="K26" s="885"/>
      <c r="L26" s="885"/>
      <c r="M26" s="885"/>
      <c r="N26" s="887"/>
      <c r="O26" s="885"/>
      <c r="P26" s="885"/>
      <c r="Q26" s="885"/>
      <c r="R26" s="885"/>
      <c r="S26" s="887"/>
      <c r="T26" s="885"/>
      <c r="U26" s="885"/>
      <c r="V26" s="885"/>
      <c r="W26" s="886"/>
    </row>
    <row r="27" spans="1:23" ht="15.75">
      <c r="A27" s="1803" t="s">
        <v>153</v>
      </c>
      <c r="B27" s="1788"/>
      <c r="C27" s="363" t="s">
        <v>152</v>
      </c>
      <c r="D27" s="364" t="s">
        <v>268</v>
      </c>
      <c r="E27" s="184"/>
      <c r="F27" s="1791" t="s">
        <v>475</v>
      </c>
      <c r="G27" s="1771"/>
      <c r="H27" s="1792"/>
      <c r="I27" s="887"/>
      <c r="J27" s="885"/>
      <c r="K27" s="885"/>
      <c r="L27" s="885"/>
      <c r="M27" s="885"/>
      <c r="N27" s="887"/>
      <c r="O27" s="885"/>
      <c r="P27" s="885"/>
      <c r="Q27" s="885"/>
      <c r="R27" s="885"/>
      <c r="S27" s="887"/>
      <c r="T27" s="885"/>
      <c r="U27" s="885"/>
      <c r="V27" s="885"/>
      <c r="W27" s="886"/>
    </row>
    <row r="28" spans="1:23" ht="15.75">
      <c r="A28" s="1779"/>
      <c r="B28" s="1788"/>
      <c r="C28" s="365" t="s">
        <v>154</v>
      </c>
      <c r="D28" s="364" t="s">
        <v>392</v>
      </c>
      <c r="E28" s="184"/>
      <c r="F28" s="1798"/>
      <c r="G28" s="1798"/>
      <c r="H28" s="1799"/>
      <c r="I28" s="887"/>
      <c r="J28" s="885"/>
      <c r="K28" s="885"/>
      <c r="L28" s="885"/>
      <c r="M28" s="885"/>
      <c r="N28" s="887"/>
      <c r="O28" s="885"/>
      <c r="P28" s="885"/>
      <c r="Q28" s="885"/>
      <c r="R28" s="885"/>
      <c r="S28" s="887"/>
      <c r="T28" s="885"/>
      <c r="U28" s="885"/>
      <c r="V28" s="885"/>
      <c r="W28" s="886"/>
    </row>
    <row r="29" spans="1:23" ht="16.5" thickBot="1">
      <c r="A29" s="1767"/>
      <c r="B29" s="1768"/>
      <c r="C29" s="366" t="s">
        <v>400</v>
      </c>
      <c r="D29" s="364" t="s">
        <v>393</v>
      </c>
      <c r="E29" s="184"/>
      <c r="F29" s="1780"/>
      <c r="G29" s="1780"/>
      <c r="H29" s="1793"/>
      <c r="I29" s="887"/>
      <c r="J29" s="885"/>
      <c r="K29" s="885"/>
      <c r="L29" s="885"/>
      <c r="M29" s="885"/>
      <c r="N29" s="887"/>
      <c r="O29" s="885"/>
      <c r="P29" s="885"/>
      <c r="Q29" s="885"/>
      <c r="R29" s="885"/>
      <c r="S29" s="887"/>
      <c r="T29" s="885"/>
      <c r="U29" s="885"/>
      <c r="V29" s="885"/>
      <c r="W29" s="886"/>
    </row>
    <row r="30" spans="1:23" ht="15.75">
      <c r="A30" s="1797" t="s">
        <v>153</v>
      </c>
      <c r="B30" s="1766"/>
      <c r="C30" s="367" t="s">
        <v>155</v>
      </c>
      <c r="D30" s="364" t="s">
        <v>266</v>
      </c>
      <c r="E30" s="184"/>
      <c r="F30" s="1791" t="s">
        <v>475</v>
      </c>
      <c r="G30" s="1771"/>
      <c r="H30" s="1792"/>
      <c r="I30" s="887"/>
      <c r="J30" s="885"/>
      <c r="K30" s="885"/>
      <c r="L30" s="885"/>
      <c r="M30" s="885"/>
      <c r="N30" s="887"/>
      <c r="O30" s="885"/>
      <c r="P30" s="885"/>
      <c r="Q30" s="885"/>
      <c r="R30" s="885"/>
      <c r="S30" s="887"/>
      <c r="T30" s="885"/>
      <c r="U30" s="885"/>
      <c r="V30" s="885"/>
      <c r="W30" s="886"/>
    </row>
    <row r="31" spans="1:23" ht="15.75">
      <c r="A31" s="1779"/>
      <c r="B31" s="1788"/>
      <c r="C31" s="365" t="s">
        <v>156</v>
      </c>
      <c r="D31" s="364" t="s">
        <v>394</v>
      </c>
      <c r="E31" s="184"/>
      <c r="F31" s="1798"/>
      <c r="G31" s="1798"/>
      <c r="H31" s="1799"/>
      <c r="I31" s="887"/>
      <c r="J31" s="885"/>
      <c r="K31" s="885"/>
      <c r="L31" s="885"/>
      <c r="M31" s="885"/>
      <c r="N31" s="887"/>
      <c r="O31" s="885"/>
      <c r="P31" s="885"/>
      <c r="Q31" s="885"/>
      <c r="R31" s="885"/>
      <c r="S31" s="887"/>
      <c r="T31" s="885"/>
      <c r="U31" s="885"/>
      <c r="V31" s="885"/>
      <c r="W31" s="886"/>
    </row>
    <row r="32" spans="1:23" ht="16.5" thickBot="1">
      <c r="A32" s="1767"/>
      <c r="B32" s="1768"/>
      <c r="C32" s="366" t="s">
        <v>399</v>
      </c>
      <c r="D32" s="364" t="s">
        <v>395</v>
      </c>
      <c r="E32" s="184"/>
      <c r="F32" s="1780"/>
      <c r="G32" s="1780"/>
      <c r="H32" s="1793"/>
      <c r="I32" s="887"/>
      <c r="J32" s="885"/>
      <c r="K32" s="885"/>
      <c r="L32" s="885"/>
      <c r="M32" s="885"/>
      <c r="N32" s="887"/>
      <c r="O32" s="885"/>
      <c r="P32" s="885"/>
      <c r="Q32" s="885"/>
      <c r="R32" s="885"/>
      <c r="S32" s="887"/>
      <c r="T32" s="885"/>
      <c r="U32" s="885"/>
      <c r="V32" s="885"/>
      <c r="W32" s="886"/>
    </row>
    <row r="33" spans="1:23" ht="16.5" thickBot="1">
      <c r="A33" s="1797" t="s">
        <v>482</v>
      </c>
      <c r="B33" s="1766"/>
      <c r="C33" s="367" t="s">
        <v>365</v>
      </c>
      <c r="D33" s="364" t="s">
        <v>252</v>
      </c>
      <c r="E33" s="184"/>
      <c r="F33" s="1791" t="s">
        <v>483</v>
      </c>
      <c r="G33" s="1771"/>
      <c r="H33" s="1792"/>
      <c r="I33" s="887"/>
      <c r="J33" s="885"/>
      <c r="K33" s="885"/>
      <c r="L33" s="885"/>
      <c r="M33" s="885"/>
      <c r="N33" s="887"/>
      <c r="O33" s="885"/>
      <c r="P33" s="885"/>
      <c r="Q33" s="885"/>
      <c r="R33" s="885"/>
      <c r="S33" s="887"/>
      <c r="T33" s="885"/>
      <c r="U33" s="885"/>
      <c r="V33" s="885"/>
      <c r="W33" s="886"/>
    </row>
    <row r="34" spans="1:23" ht="16.5" thickBot="1">
      <c r="A34" s="1797" t="s">
        <v>484</v>
      </c>
      <c r="B34" s="1766"/>
      <c r="C34" s="367" t="s">
        <v>485</v>
      </c>
      <c r="D34" s="364" t="s">
        <v>264</v>
      </c>
      <c r="E34" s="184" t="s">
        <v>277</v>
      </c>
      <c r="F34" s="1800"/>
      <c r="G34" s="1771"/>
      <c r="H34" s="1792"/>
      <c r="I34" s="888" t="s">
        <v>277</v>
      </c>
      <c r="J34" s="885">
        <v>1</v>
      </c>
      <c r="K34" s="892">
        <v>1</v>
      </c>
      <c r="L34" s="885">
        <v>7.7</v>
      </c>
      <c r="M34" s="885">
        <v>4057.9</v>
      </c>
      <c r="N34" s="887" t="s">
        <v>277</v>
      </c>
      <c r="O34" s="885">
        <v>1</v>
      </c>
      <c r="P34" s="885">
        <v>1</v>
      </c>
      <c r="Q34" s="885">
        <v>3.8</v>
      </c>
      <c r="R34" s="885">
        <v>2002.6</v>
      </c>
      <c r="S34" s="887" t="s">
        <v>277</v>
      </c>
      <c r="T34" s="885">
        <v>0</v>
      </c>
      <c r="U34" s="885">
        <v>0</v>
      </c>
      <c r="V34" s="885">
        <v>0</v>
      </c>
      <c r="W34" s="886">
        <v>0</v>
      </c>
    </row>
    <row r="35" spans="1:23" ht="15.75">
      <c r="A35" s="1795" t="s">
        <v>486</v>
      </c>
      <c r="B35" s="1766"/>
      <c r="C35" s="368" t="s">
        <v>43</v>
      </c>
      <c r="D35" s="369" t="s">
        <v>256</v>
      </c>
      <c r="E35" s="184"/>
      <c r="F35" s="1791" t="s">
        <v>487</v>
      </c>
      <c r="G35" s="1771"/>
      <c r="H35" s="1792"/>
      <c r="I35" s="887"/>
      <c r="J35" s="885"/>
      <c r="K35" s="885"/>
      <c r="L35" s="885"/>
      <c r="M35" s="885"/>
      <c r="N35" s="887"/>
      <c r="O35" s="885"/>
      <c r="P35" s="885"/>
      <c r="Q35" s="885"/>
      <c r="R35" s="885"/>
      <c r="S35" s="887"/>
      <c r="T35" s="885"/>
      <c r="U35" s="885"/>
      <c r="V35" s="885"/>
      <c r="W35" s="886"/>
    </row>
    <row r="36" spans="1:23" ht="16.5" thickBot="1">
      <c r="A36" s="1767"/>
      <c r="B36" s="1768"/>
      <c r="C36" s="370" t="s">
        <v>60</v>
      </c>
      <c r="D36" s="369" t="s">
        <v>257</v>
      </c>
      <c r="E36" s="184"/>
      <c r="F36" s="1780"/>
      <c r="G36" s="1780"/>
      <c r="H36" s="1793"/>
      <c r="I36" s="887"/>
      <c r="J36" s="885"/>
      <c r="K36" s="885"/>
      <c r="L36" s="885"/>
      <c r="M36" s="885"/>
      <c r="N36" s="887"/>
      <c r="O36" s="885"/>
      <c r="P36" s="885"/>
      <c r="Q36" s="885"/>
      <c r="R36" s="885"/>
      <c r="S36" s="887"/>
      <c r="T36" s="885"/>
      <c r="U36" s="885"/>
      <c r="V36" s="885"/>
      <c r="W36" s="886"/>
    </row>
    <row r="37" spans="1:23" ht="30">
      <c r="A37" s="1796" t="s">
        <v>33</v>
      </c>
      <c r="B37" s="1771"/>
      <c r="C37" s="371" t="s">
        <v>30</v>
      </c>
      <c r="D37" s="372" t="s">
        <v>170</v>
      </c>
      <c r="E37" s="184"/>
      <c r="F37" s="1819" t="s">
        <v>510</v>
      </c>
      <c r="G37" s="1771"/>
      <c r="H37" s="1792"/>
      <c r="I37" s="887"/>
      <c r="J37" s="885"/>
      <c r="K37" s="885"/>
      <c r="L37" s="885"/>
      <c r="M37" s="885"/>
      <c r="N37" s="887"/>
      <c r="O37" s="885"/>
      <c r="P37" s="885"/>
      <c r="Q37" s="885"/>
      <c r="R37" s="885"/>
      <c r="S37" s="887"/>
      <c r="T37" s="885"/>
      <c r="U37" s="885"/>
      <c r="V37" s="885"/>
      <c r="W37" s="886"/>
    </row>
    <row r="38" spans="1:23" ht="30">
      <c r="A38" s="1779"/>
      <c r="B38" s="1772"/>
      <c r="C38" s="373" t="s">
        <v>31</v>
      </c>
      <c r="D38" s="372" t="s">
        <v>169</v>
      </c>
      <c r="E38" s="184" t="s">
        <v>277</v>
      </c>
      <c r="F38" s="1820" t="s">
        <v>781</v>
      </c>
      <c r="G38" s="1771"/>
      <c r="H38" s="1792"/>
      <c r="I38" s="888" t="s">
        <v>277</v>
      </c>
      <c r="J38" s="885">
        <v>1</v>
      </c>
      <c r="K38" s="885"/>
      <c r="L38" s="885" t="s">
        <v>1125</v>
      </c>
      <c r="M38" s="885"/>
      <c r="N38" s="887" t="s">
        <v>277</v>
      </c>
      <c r="O38" s="885" t="s">
        <v>1125</v>
      </c>
      <c r="P38" s="885"/>
      <c r="Q38" s="885" t="s">
        <v>1125</v>
      </c>
      <c r="R38" s="885"/>
      <c r="S38" s="887" t="s">
        <v>277</v>
      </c>
      <c r="T38" s="885"/>
      <c r="U38" s="885" t="s">
        <v>1125</v>
      </c>
      <c r="V38" s="885"/>
      <c r="W38" s="886"/>
    </row>
    <row r="39" spans="1:23" ht="30.75" thickBot="1">
      <c r="A39" s="1779"/>
      <c r="B39" s="1772"/>
      <c r="C39" s="374" t="s">
        <v>32</v>
      </c>
      <c r="D39" s="372" t="s">
        <v>250</v>
      </c>
      <c r="E39" s="184" t="s">
        <v>277</v>
      </c>
      <c r="F39" s="1780"/>
      <c r="G39" s="1780"/>
      <c r="H39" s="1793"/>
      <c r="I39" s="888" t="s">
        <v>277</v>
      </c>
      <c r="J39" s="885">
        <v>1</v>
      </c>
      <c r="K39" s="885"/>
      <c r="L39" s="885" t="s">
        <v>1125</v>
      </c>
      <c r="M39" s="885"/>
      <c r="N39" s="887" t="s">
        <v>277</v>
      </c>
      <c r="O39" s="885" t="s">
        <v>1125</v>
      </c>
      <c r="P39" s="885"/>
      <c r="Q39" s="885" t="s">
        <v>1125</v>
      </c>
      <c r="R39" s="885"/>
      <c r="S39" s="887" t="s">
        <v>277</v>
      </c>
      <c r="T39" s="885"/>
      <c r="U39" s="885" t="s">
        <v>1125</v>
      </c>
      <c r="V39" s="885"/>
      <c r="W39" s="886"/>
    </row>
    <row r="40" spans="1:23" ht="15.75">
      <c r="A40" s="1786" t="s">
        <v>491</v>
      </c>
      <c r="B40" s="1787"/>
      <c r="C40" s="375" t="s">
        <v>144</v>
      </c>
      <c r="D40" s="376" t="s">
        <v>253</v>
      </c>
      <c r="E40" s="184"/>
      <c r="F40" s="1791" t="s">
        <v>492</v>
      </c>
      <c r="G40" s="1771"/>
      <c r="H40" s="1792"/>
      <c r="I40" s="887"/>
      <c r="J40" s="885"/>
      <c r="K40" s="885"/>
      <c r="L40" s="885"/>
      <c r="M40" s="885"/>
      <c r="N40" s="887"/>
      <c r="O40" s="885"/>
      <c r="P40" s="885"/>
      <c r="Q40" s="885"/>
      <c r="R40" s="885"/>
      <c r="S40" s="887"/>
      <c r="T40" s="885"/>
      <c r="U40" s="885"/>
      <c r="V40" s="885"/>
      <c r="W40" s="886"/>
    </row>
    <row r="41" spans="1:23" ht="16.5" thickBot="1">
      <c r="A41" s="1772"/>
      <c r="B41" s="1788"/>
      <c r="C41" s="377" t="s">
        <v>145</v>
      </c>
      <c r="D41" s="376" t="s">
        <v>254</v>
      </c>
      <c r="E41" s="184"/>
      <c r="F41" s="1780"/>
      <c r="G41" s="1780"/>
      <c r="H41" s="1793"/>
      <c r="I41" s="887"/>
      <c r="J41" s="885"/>
      <c r="K41" s="885"/>
      <c r="L41" s="885"/>
      <c r="M41" s="885"/>
      <c r="N41" s="887"/>
      <c r="O41" s="885"/>
      <c r="P41" s="885"/>
      <c r="Q41" s="885"/>
      <c r="R41" s="885"/>
      <c r="S41" s="887"/>
      <c r="T41" s="885"/>
      <c r="U41" s="885"/>
      <c r="V41" s="885"/>
      <c r="W41" s="886"/>
    </row>
    <row r="42" spans="1:23" ht="48" thickBot="1">
      <c r="A42" s="1789"/>
      <c r="B42" s="1790"/>
      <c r="C42" s="378" t="s">
        <v>128</v>
      </c>
      <c r="D42" s="376" t="s">
        <v>262</v>
      </c>
      <c r="E42" s="184" t="s">
        <v>277</v>
      </c>
      <c r="F42" s="1794"/>
      <c r="G42" s="1762"/>
      <c r="H42" s="1764"/>
      <c r="I42" s="888" t="s">
        <v>277</v>
      </c>
      <c r="J42" s="885" t="s">
        <v>1125</v>
      </c>
      <c r="K42" s="885" t="s">
        <v>1125</v>
      </c>
      <c r="L42" s="885" t="s">
        <v>1125</v>
      </c>
      <c r="M42" s="885"/>
      <c r="N42" s="888" t="s">
        <v>277</v>
      </c>
      <c r="O42" s="885" t="s">
        <v>1125</v>
      </c>
      <c r="P42" s="885" t="s">
        <v>1125</v>
      </c>
      <c r="Q42" s="885" t="s">
        <v>1125</v>
      </c>
      <c r="R42" s="885"/>
      <c r="S42" s="888" t="s">
        <v>277</v>
      </c>
      <c r="T42" s="885" t="s">
        <v>1125</v>
      </c>
      <c r="U42" s="885" t="s">
        <v>1125</v>
      </c>
      <c r="V42" s="885" t="s">
        <v>1125</v>
      </c>
      <c r="W42" s="886"/>
    </row>
    <row r="43" spans="1:23" ht="30.75" customHeight="1" thickBot="1">
      <c r="A43" s="1775" t="s">
        <v>493</v>
      </c>
      <c r="B43" s="1776"/>
      <c r="C43" s="1777"/>
      <c r="D43" s="379" t="s">
        <v>237</v>
      </c>
      <c r="E43" s="184" t="s">
        <v>277</v>
      </c>
      <c r="F43" s="1818" t="s">
        <v>782</v>
      </c>
      <c r="G43" s="1762"/>
      <c r="H43" s="1764"/>
      <c r="I43" s="888" t="s">
        <v>277</v>
      </c>
      <c r="J43" s="885">
        <v>6</v>
      </c>
      <c r="K43" s="885">
        <v>0</v>
      </c>
      <c r="L43" s="885">
        <v>20</v>
      </c>
      <c r="M43" s="885">
        <v>13040</v>
      </c>
      <c r="N43" s="887" t="s">
        <v>277</v>
      </c>
      <c r="O43" s="885">
        <v>6</v>
      </c>
      <c r="P43" s="885">
        <v>0</v>
      </c>
      <c r="Q43" s="885">
        <v>22</v>
      </c>
      <c r="R43" s="885">
        <v>14344</v>
      </c>
      <c r="S43" s="887" t="s">
        <v>277</v>
      </c>
      <c r="T43" s="885">
        <v>4</v>
      </c>
      <c r="U43" s="885">
        <v>0</v>
      </c>
      <c r="V43" s="885">
        <v>8</v>
      </c>
      <c r="W43" s="885">
        <v>5216</v>
      </c>
    </row>
    <row r="44" spans="1:23" ht="15.75" thickBot="1">
      <c r="A44" s="1775" t="s">
        <v>133</v>
      </c>
      <c r="B44" s="1776"/>
      <c r="C44" s="1777"/>
      <c r="D44" s="379" t="s">
        <v>238</v>
      </c>
      <c r="E44" s="184"/>
      <c r="F44" s="1763" t="s">
        <v>495</v>
      </c>
      <c r="G44" s="1762"/>
      <c r="H44" s="1764"/>
      <c r="I44" s="887"/>
      <c r="J44" s="885"/>
      <c r="K44" s="885"/>
      <c r="L44" s="885"/>
      <c r="M44" s="885"/>
      <c r="N44" s="887"/>
      <c r="O44" s="885"/>
      <c r="P44" s="885"/>
      <c r="Q44" s="885"/>
      <c r="R44" s="885"/>
      <c r="S44" s="887"/>
      <c r="T44" s="885"/>
      <c r="U44" s="885"/>
      <c r="V44" s="885"/>
      <c r="W44" s="886"/>
    </row>
    <row r="45" spans="1:23">
      <c r="A45" s="1778" t="s">
        <v>41</v>
      </c>
      <c r="B45" s="1772"/>
      <c r="C45" s="380" t="s">
        <v>50</v>
      </c>
      <c r="D45" s="381" t="s">
        <v>246</v>
      </c>
      <c r="E45" s="184"/>
      <c r="F45" s="1781" t="s">
        <v>560</v>
      </c>
      <c r="G45" s="1762"/>
      <c r="H45" s="1764"/>
      <c r="I45" s="887"/>
      <c r="J45" s="885"/>
      <c r="K45" s="885"/>
      <c r="L45" s="885"/>
      <c r="M45" s="885"/>
      <c r="N45" s="887"/>
      <c r="O45" s="885"/>
      <c r="P45" s="885"/>
      <c r="Q45" s="885"/>
      <c r="R45" s="885"/>
      <c r="S45" s="887"/>
      <c r="T45" s="885"/>
      <c r="U45" s="885"/>
      <c r="V45" s="885"/>
      <c r="W45" s="886"/>
    </row>
    <row r="46" spans="1:23">
      <c r="A46" s="1779"/>
      <c r="B46" s="1772"/>
      <c r="C46" s="382" t="s">
        <v>51</v>
      </c>
      <c r="D46" s="381" t="s">
        <v>247</v>
      </c>
      <c r="E46" s="184"/>
      <c r="F46" s="1781" t="s">
        <v>498</v>
      </c>
      <c r="G46" s="1762"/>
      <c r="H46" s="1764"/>
      <c r="I46" s="887"/>
      <c r="J46" s="885"/>
      <c r="K46" s="885"/>
      <c r="L46" s="885"/>
      <c r="M46" s="885"/>
      <c r="N46" s="887"/>
      <c r="O46" s="885"/>
      <c r="P46" s="885"/>
      <c r="Q46" s="885"/>
      <c r="R46" s="885"/>
      <c r="S46" s="887"/>
      <c r="T46" s="885"/>
      <c r="U46" s="885"/>
      <c r="V46" s="885"/>
      <c r="W46" s="886"/>
    </row>
    <row r="47" spans="1:23">
      <c r="A47" s="1779"/>
      <c r="B47" s="1772"/>
      <c r="C47" s="382" t="s">
        <v>39</v>
      </c>
      <c r="D47" s="381" t="s">
        <v>248</v>
      </c>
      <c r="E47" s="184"/>
      <c r="F47" s="1781" t="s">
        <v>498</v>
      </c>
      <c r="G47" s="1762"/>
      <c r="H47" s="1764"/>
      <c r="I47" s="887"/>
      <c r="J47" s="885"/>
      <c r="K47" s="885"/>
      <c r="L47" s="885"/>
      <c r="M47" s="885"/>
      <c r="N47" s="887"/>
      <c r="O47" s="885"/>
      <c r="P47" s="885"/>
      <c r="Q47" s="885"/>
      <c r="R47" s="885"/>
      <c r="S47" s="887"/>
      <c r="T47" s="885"/>
      <c r="U47" s="885"/>
      <c r="V47" s="885"/>
      <c r="W47" s="886"/>
    </row>
    <row r="48" spans="1:23" ht="15.75" thickBot="1">
      <c r="A48" s="1767"/>
      <c r="B48" s="1780"/>
      <c r="C48" s="383" t="s">
        <v>40</v>
      </c>
      <c r="D48" s="381" t="s">
        <v>249</v>
      </c>
      <c r="E48" s="184"/>
      <c r="F48" s="1781" t="s">
        <v>498</v>
      </c>
      <c r="G48" s="1762"/>
      <c r="H48" s="1764"/>
      <c r="I48" s="887"/>
      <c r="J48" s="885"/>
      <c r="K48" s="885"/>
      <c r="L48" s="885"/>
      <c r="M48" s="885"/>
      <c r="N48" s="887"/>
      <c r="O48" s="885"/>
      <c r="P48" s="885"/>
      <c r="Q48" s="885"/>
      <c r="R48" s="885"/>
      <c r="S48" s="887"/>
      <c r="T48" s="885"/>
      <c r="U48" s="885"/>
      <c r="V48" s="885"/>
      <c r="W48" s="886"/>
    </row>
    <row r="49" spans="1:23" ht="15.75">
      <c r="A49" s="1765" t="s">
        <v>130</v>
      </c>
      <c r="B49" s="1766"/>
      <c r="C49" s="375" t="s">
        <v>131</v>
      </c>
      <c r="D49" s="376" t="s">
        <v>255</v>
      </c>
      <c r="E49" s="184"/>
      <c r="F49" s="1769"/>
      <c r="G49" s="1762"/>
      <c r="H49" s="1764"/>
      <c r="I49" s="887"/>
      <c r="J49" s="885"/>
      <c r="K49" s="885"/>
      <c r="L49" s="885"/>
      <c r="M49" s="885"/>
      <c r="N49" s="887"/>
      <c r="O49" s="885"/>
      <c r="P49" s="885"/>
      <c r="Q49" s="885"/>
      <c r="R49" s="885"/>
      <c r="S49" s="887"/>
      <c r="T49" s="885"/>
      <c r="U49" s="885"/>
      <c r="V49" s="885"/>
      <c r="W49" s="886"/>
    </row>
    <row r="50" spans="1:23" ht="48" thickBot="1">
      <c r="A50" s="1767"/>
      <c r="B50" s="1768"/>
      <c r="C50" s="384" t="s">
        <v>132</v>
      </c>
      <c r="D50" s="376" t="s">
        <v>263</v>
      </c>
      <c r="E50" s="184"/>
      <c r="F50" s="1769"/>
      <c r="G50" s="1762"/>
      <c r="H50" s="1764"/>
      <c r="I50" s="887"/>
      <c r="J50" s="885"/>
      <c r="K50" s="885"/>
      <c r="L50" s="885"/>
      <c r="M50" s="885"/>
      <c r="N50" s="887"/>
      <c r="O50" s="885"/>
      <c r="P50" s="885"/>
      <c r="Q50" s="885"/>
      <c r="R50" s="885"/>
      <c r="S50" s="887"/>
      <c r="T50" s="885"/>
      <c r="U50" s="885"/>
      <c r="V50" s="885"/>
      <c r="W50" s="886"/>
    </row>
    <row r="51" spans="1:23">
      <c r="A51" s="1770" t="s">
        <v>42</v>
      </c>
      <c r="B51" s="1771"/>
      <c r="C51" s="385" t="s">
        <v>38</v>
      </c>
      <c r="D51" s="386" t="s">
        <v>239</v>
      </c>
      <c r="E51" s="184"/>
      <c r="F51" s="1818" t="s">
        <v>499</v>
      </c>
      <c r="G51" s="1762"/>
      <c r="H51" s="1764"/>
      <c r="I51" s="887"/>
      <c r="J51" s="885"/>
      <c r="K51" s="885"/>
      <c r="L51" s="885"/>
      <c r="M51" s="885"/>
      <c r="N51" s="887"/>
      <c r="O51" s="885"/>
      <c r="P51" s="885"/>
      <c r="Q51" s="885"/>
      <c r="R51" s="885"/>
      <c r="S51" s="887"/>
      <c r="T51" s="885"/>
      <c r="U51" s="885"/>
      <c r="V51" s="885"/>
      <c r="W51" s="886"/>
    </row>
    <row r="52" spans="1:23">
      <c r="A52" s="1772"/>
      <c r="B52" s="1772"/>
      <c r="C52" s="387" t="s">
        <v>55</v>
      </c>
      <c r="D52" s="386" t="s">
        <v>240</v>
      </c>
      <c r="E52" s="184"/>
      <c r="F52" s="1773"/>
      <c r="G52" s="1762"/>
      <c r="H52" s="1764"/>
      <c r="I52" s="887"/>
      <c r="J52" s="885"/>
      <c r="K52" s="885"/>
      <c r="L52" s="885"/>
      <c r="M52" s="885"/>
      <c r="N52" s="887"/>
      <c r="O52" s="885"/>
      <c r="P52" s="885"/>
      <c r="Q52" s="885"/>
      <c r="R52" s="885"/>
      <c r="S52" s="887"/>
      <c r="T52" s="885"/>
      <c r="U52" s="885"/>
      <c r="V52" s="885"/>
      <c r="W52" s="886"/>
    </row>
    <row r="53" spans="1:23" ht="16.5" thickBot="1">
      <c r="A53" s="1772"/>
      <c r="B53" s="1772"/>
      <c r="C53" s="377" t="s">
        <v>48</v>
      </c>
      <c r="D53" s="388" t="s">
        <v>241</v>
      </c>
      <c r="E53" s="184"/>
      <c r="F53" s="1774"/>
      <c r="G53" s="1762"/>
      <c r="H53" s="1764"/>
      <c r="I53" s="887"/>
      <c r="J53" s="885"/>
      <c r="K53" s="885"/>
      <c r="L53" s="885"/>
      <c r="M53" s="885"/>
      <c r="N53" s="887"/>
      <c r="O53" s="885"/>
      <c r="P53" s="885"/>
      <c r="Q53" s="885"/>
      <c r="R53" s="885"/>
      <c r="S53" s="887"/>
      <c r="T53" s="885"/>
      <c r="U53" s="885"/>
      <c r="V53" s="885"/>
      <c r="W53" s="886"/>
    </row>
    <row r="54" spans="1:23" ht="32.25" thickBot="1">
      <c r="A54" s="1761" t="s">
        <v>500</v>
      </c>
      <c r="B54" s="1762"/>
      <c r="C54" s="389" t="s">
        <v>134</v>
      </c>
      <c r="D54" s="390" t="s">
        <v>269</v>
      </c>
      <c r="E54" s="523"/>
      <c r="F54" s="1763" t="s">
        <v>501</v>
      </c>
      <c r="G54" s="1762"/>
      <c r="H54" s="1764"/>
      <c r="I54" s="889"/>
      <c r="J54" s="890"/>
      <c r="K54" s="890"/>
      <c r="L54" s="890"/>
      <c r="M54" s="890"/>
      <c r="N54" s="889"/>
      <c r="O54" s="890"/>
      <c r="P54" s="890"/>
      <c r="Q54" s="890"/>
      <c r="R54" s="890"/>
      <c r="S54" s="889"/>
      <c r="T54" s="890"/>
      <c r="U54" s="890"/>
      <c r="V54" s="890"/>
      <c r="W54" s="891"/>
    </row>
    <row r="56" spans="1:23">
      <c r="M56">
        <f>SUM(M17:M54)</f>
        <v>80417.899999999994</v>
      </c>
    </row>
    <row r="58" spans="1:23" ht="15.75" thickBot="1">
      <c r="A58" s="1829" t="s">
        <v>1270</v>
      </c>
      <c r="B58" s="1830"/>
      <c r="C58" s="1830"/>
      <c r="D58" s="1830"/>
      <c r="E58" s="1830"/>
      <c r="F58" s="1830"/>
    </row>
    <row r="59" spans="1:23" ht="90.75" thickBot="1">
      <c r="A59" s="1450" t="s">
        <v>1271</v>
      </c>
      <c r="B59" s="1451" t="s">
        <v>1272</v>
      </c>
      <c r="C59" s="1451" t="s">
        <v>1273</v>
      </c>
      <c r="D59" s="1451" t="s">
        <v>1274</v>
      </c>
      <c r="E59" s="1451" t="s">
        <v>1275</v>
      </c>
      <c r="F59" s="1451" t="s">
        <v>1495</v>
      </c>
    </row>
    <row r="60" spans="1:23" ht="15.75" thickBot="1">
      <c r="A60" s="1831" t="s">
        <v>1277</v>
      </c>
      <c r="B60" s="1831" t="s">
        <v>1278</v>
      </c>
      <c r="C60" s="1834" t="s">
        <v>1279</v>
      </c>
      <c r="D60" s="1834" t="s">
        <v>954</v>
      </c>
      <c r="E60" s="1452" t="s">
        <v>237</v>
      </c>
      <c r="F60" s="1452">
        <v>3</v>
      </c>
    </row>
    <row r="61" spans="1:23" ht="15.75" thickBot="1">
      <c r="A61" s="1832"/>
      <c r="B61" s="1832"/>
      <c r="C61" s="1835"/>
      <c r="D61" s="1835"/>
      <c r="E61" s="1453" t="s">
        <v>1280</v>
      </c>
      <c r="F61" s="1453">
        <v>5</v>
      </c>
    </row>
    <row r="62" spans="1:23" ht="15.75" thickBot="1">
      <c r="A62" s="1833"/>
      <c r="B62" s="1833"/>
      <c r="C62" s="1836"/>
      <c r="D62" s="1836"/>
      <c r="E62" s="1453" t="s">
        <v>1284</v>
      </c>
      <c r="F62" s="1454"/>
    </row>
    <row r="63" spans="1:23" ht="75.75" thickBot="1">
      <c r="A63" s="1455" t="s">
        <v>1496</v>
      </c>
      <c r="B63" s="1456" t="s">
        <v>1278</v>
      </c>
      <c r="C63" s="1453" t="s">
        <v>1384</v>
      </c>
      <c r="D63" s="1453" t="s">
        <v>954</v>
      </c>
      <c r="E63" s="1454" t="s">
        <v>1284</v>
      </c>
      <c r="F63" s="1454"/>
    </row>
    <row r="64" spans="1:23" ht="15.75" thickBot="1">
      <c r="A64" s="1837" t="s">
        <v>1439</v>
      </c>
      <c r="B64" s="1831" t="s">
        <v>1282</v>
      </c>
      <c r="C64" s="1834" t="s">
        <v>1283</v>
      </c>
      <c r="D64" s="1834" t="s">
        <v>954</v>
      </c>
      <c r="E64" s="1453" t="s">
        <v>237</v>
      </c>
      <c r="F64" s="1453">
        <v>3</v>
      </c>
    </row>
    <row r="65" spans="1:6" ht="15.75" thickBot="1">
      <c r="A65" s="1838"/>
      <c r="B65" s="1832"/>
      <c r="C65" s="1835"/>
      <c r="D65" s="1835"/>
      <c r="E65" s="1453" t="s">
        <v>1284</v>
      </c>
      <c r="F65" s="1454"/>
    </row>
    <row r="66" spans="1:6" ht="15.75" thickBot="1">
      <c r="A66" s="1839"/>
      <c r="B66" s="1833"/>
      <c r="C66" s="1836"/>
      <c r="D66" s="1836"/>
      <c r="E66" s="1453" t="s">
        <v>1388</v>
      </c>
      <c r="F66" s="1453">
        <v>5</v>
      </c>
    </row>
    <row r="67" spans="1:6" ht="15.75" thickBot="1">
      <c r="A67" s="1840" t="s">
        <v>1440</v>
      </c>
      <c r="B67" s="1831" t="s">
        <v>1287</v>
      </c>
      <c r="C67" s="1834" t="s">
        <v>1307</v>
      </c>
      <c r="D67" s="1834" t="s">
        <v>954</v>
      </c>
      <c r="E67" s="1453" t="s">
        <v>237</v>
      </c>
      <c r="F67" s="1453">
        <v>3</v>
      </c>
    </row>
    <row r="68" spans="1:6" ht="15.75" thickBot="1">
      <c r="A68" s="1838"/>
      <c r="B68" s="1832"/>
      <c r="C68" s="1835"/>
      <c r="D68" s="1835"/>
      <c r="E68" s="1453" t="s">
        <v>1284</v>
      </c>
      <c r="F68" s="1454"/>
    </row>
    <row r="69" spans="1:6" ht="15.75" thickBot="1">
      <c r="A69" s="1841"/>
      <c r="B69" s="1833"/>
      <c r="C69" s="1836"/>
      <c r="D69" s="1836"/>
      <c r="E69" s="1453" t="s">
        <v>1280</v>
      </c>
      <c r="F69" s="1453">
        <v>5</v>
      </c>
    </row>
    <row r="70" spans="1:6" ht="15.75" thickBot="1">
      <c r="A70" s="1837" t="s">
        <v>1441</v>
      </c>
      <c r="B70" s="1831" t="s">
        <v>1282</v>
      </c>
      <c r="C70" s="1834" t="s">
        <v>1283</v>
      </c>
      <c r="D70" s="1834" t="s">
        <v>954</v>
      </c>
      <c r="E70" s="1453" t="s">
        <v>1284</v>
      </c>
      <c r="F70" s="1454"/>
    </row>
    <row r="71" spans="1:6" ht="15.75" thickBot="1">
      <c r="A71" s="1841"/>
      <c r="B71" s="1833"/>
      <c r="C71" s="1836"/>
      <c r="D71" s="1836"/>
      <c r="E71" s="1453" t="s">
        <v>1280</v>
      </c>
      <c r="F71" s="1453">
        <v>5</v>
      </c>
    </row>
    <row r="72" spans="1:6" ht="60.75" thickBot="1">
      <c r="A72" s="1457" t="s">
        <v>1442</v>
      </c>
      <c r="B72" s="1458" t="s">
        <v>1287</v>
      </c>
      <c r="C72" s="1459" t="s">
        <v>1283</v>
      </c>
      <c r="D72" s="1459" t="s">
        <v>954</v>
      </c>
      <c r="E72" s="1453" t="s">
        <v>1284</v>
      </c>
      <c r="F72" s="1453"/>
    </row>
    <row r="73" spans="1:6" ht="15.75" thickBot="1">
      <c r="A73" s="1837" t="s">
        <v>1443</v>
      </c>
      <c r="B73" s="1831" t="s">
        <v>1287</v>
      </c>
      <c r="C73" s="1834" t="s">
        <v>1283</v>
      </c>
      <c r="D73" s="1834" t="s">
        <v>954</v>
      </c>
      <c r="E73" s="1453" t="s">
        <v>237</v>
      </c>
      <c r="F73" s="1454"/>
    </row>
    <row r="74" spans="1:6" ht="15.75" thickBot="1">
      <c r="A74" s="1838"/>
      <c r="B74" s="1832"/>
      <c r="C74" s="1835"/>
      <c r="D74" s="1835"/>
      <c r="E74" s="1453" t="s">
        <v>1280</v>
      </c>
      <c r="F74" s="1453">
        <v>3</v>
      </c>
    </row>
    <row r="75" spans="1:6" ht="15.75" thickBot="1">
      <c r="A75" s="1841"/>
      <c r="B75" s="1833"/>
      <c r="C75" s="1836"/>
      <c r="D75" s="1836"/>
      <c r="E75" s="1453" t="s">
        <v>1285</v>
      </c>
      <c r="F75" s="1454"/>
    </row>
    <row r="76" spans="1:6" ht="15.75" thickBot="1">
      <c r="A76" s="1837" t="s">
        <v>1444</v>
      </c>
      <c r="B76" s="1831" t="s">
        <v>1287</v>
      </c>
      <c r="C76" s="1834" t="s">
        <v>1289</v>
      </c>
      <c r="D76" s="1834" t="s">
        <v>954</v>
      </c>
      <c r="E76" s="1453" t="s">
        <v>237</v>
      </c>
      <c r="F76" s="1453">
        <v>3</v>
      </c>
    </row>
    <row r="77" spans="1:6" ht="15.75" thickBot="1">
      <c r="A77" s="1838"/>
      <c r="B77" s="1832"/>
      <c r="C77" s="1835"/>
      <c r="D77" s="1835"/>
      <c r="E77" s="1453" t="s">
        <v>1284</v>
      </c>
      <c r="F77" s="1454"/>
    </row>
    <row r="78" spans="1:6" ht="15.75" thickBot="1">
      <c r="A78" s="1841"/>
      <c r="B78" s="1833"/>
      <c r="C78" s="1836"/>
      <c r="D78" s="1836"/>
      <c r="E78" s="1453" t="s">
        <v>1280</v>
      </c>
      <c r="F78" s="1453">
        <v>5</v>
      </c>
    </row>
    <row r="79" spans="1:6" ht="15.75" thickBot="1">
      <c r="A79" s="1842" t="s">
        <v>1445</v>
      </c>
      <c r="B79" s="1831" t="s">
        <v>1282</v>
      </c>
      <c r="C79" s="1834" t="s">
        <v>1283</v>
      </c>
      <c r="D79" s="1834" t="s">
        <v>954</v>
      </c>
      <c r="E79" s="1453" t="s">
        <v>237</v>
      </c>
      <c r="F79" s="1453">
        <v>3</v>
      </c>
    </row>
    <row r="80" spans="1:6" ht="15.75" thickBot="1">
      <c r="A80" s="1843"/>
      <c r="B80" s="1833"/>
      <c r="C80" s="1836"/>
      <c r="D80" s="1836"/>
      <c r="E80" s="1453" t="s">
        <v>1280</v>
      </c>
      <c r="F80" s="1453">
        <v>5</v>
      </c>
    </row>
    <row r="81" spans="1:6" ht="15.75" thickBot="1">
      <c r="A81" s="1842" t="s">
        <v>1446</v>
      </c>
      <c r="B81" s="1831" t="s">
        <v>1447</v>
      </c>
      <c r="C81" s="1834" t="s">
        <v>1292</v>
      </c>
      <c r="D81" s="1834" t="s">
        <v>954</v>
      </c>
      <c r="E81" s="1453" t="s">
        <v>1284</v>
      </c>
      <c r="F81" s="1454"/>
    </row>
    <row r="82" spans="1:6" ht="15.75" thickBot="1">
      <c r="A82" s="1843"/>
      <c r="B82" s="1833"/>
      <c r="C82" s="1836"/>
      <c r="D82" s="1836"/>
      <c r="E82" s="1453" t="s">
        <v>1280</v>
      </c>
      <c r="F82" s="1453">
        <v>5</v>
      </c>
    </row>
    <row r="83" spans="1:6" ht="15.75" thickBot="1">
      <c r="A83" s="1834" t="s">
        <v>1394</v>
      </c>
      <c r="B83" s="1831" t="s">
        <v>1282</v>
      </c>
      <c r="C83" s="1834" t="s">
        <v>1395</v>
      </c>
      <c r="D83" s="1834" t="s">
        <v>954</v>
      </c>
      <c r="E83" s="1453" t="s">
        <v>1284</v>
      </c>
      <c r="F83" s="1454"/>
    </row>
    <row r="84" spans="1:6" ht="15.75" thickBot="1">
      <c r="A84" s="1836"/>
      <c r="B84" s="1833"/>
      <c r="C84" s="1836"/>
      <c r="D84" s="1836"/>
      <c r="E84" s="1453" t="s">
        <v>1280</v>
      </c>
      <c r="F84" s="1453">
        <v>5</v>
      </c>
    </row>
    <row r="85" spans="1:6" ht="15.75" thickBot="1">
      <c r="A85" s="1831" t="s">
        <v>1398</v>
      </c>
      <c r="B85" s="1831" t="s">
        <v>1287</v>
      </c>
      <c r="C85" s="1834" t="s">
        <v>1307</v>
      </c>
      <c r="D85" s="1834" t="s">
        <v>954</v>
      </c>
      <c r="E85" s="1453" t="s">
        <v>1284</v>
      </c>
      <c r="F85" s="1454"/>
    </row>
    <row r="86" spans="1:6" ht="15.75" thickBot="1">
      <c r="A86" s="1832"/>
      <c r="B86" s="1832"/>
      <c r="C86" s="1835"/>
      <c r="D86" s="1835"/>
      <c r="E86" s="1453" t="s">
        <v>1280</v>
      </c>
      <c r="F86" s="1453">
        <v>5</v>
      </c>
    </row>
    <row r="87" spans="1:6" ht="15.75" thickBot="1">
      <c r="A87" s="1833"/>
      <c r="B87" s="1833"/>
      <c r="C87" s="1836"/>
      <c r="D87" s="1836"/>
      <c r="E87" s="1453" t="s">
        <v>237</v>
      </c>
      <c r="F87" s="1453">
        <v>3</v>
      </c>
    </row>
  </sheetData>
  <mergeCells count="99">
    <mergeCell ref="A85:A87"/>
    <mergeCell ref="B85:B87"/>
    <mergeCell ref="C85:C87"/>
    <mergeCell ref="D85:D87"/>
    <mergeCell ref="A81:A82"/>
    <mergeCell ref="B81:B82"/>
    <mergeCell ref="C81:C82"/>
    <mergeCell ref="D81:D82"/>
    <mergeCell ref="A83:A84"/>
    <mergeCell ref="B83:B84"/>
    <mergeCell ref="C83:C84"/>
    <mergeCell ref="D83:D84"/>
    <mergeCell ref="A76:A78"/>
    <mergeCell ref="B76:B78"/>
    <mergeCell ref="C76:C78"/>
    <mergeCell ref="D76:D78"/>
    <mergeCell ref="A79:A80"/>
    <mergeCell ref="B79:B80"/>
    <mergeCell ref="C79:C80"/>
    <mergeCell ref="D79:D80"/>
    <mergeCell ref="A70:A71"/>
    <mergeCell ref="B70:B71"/>
    <mergeCell ref="C70:C71"/>
    <mergeCell ref="D70:D71"/>
    <mergeCell ref="A73:A75"/>
    <mergeCell ref="B73:B75"/>
    <mergeCell ref="C73:C75"/>
    <mergeCell ref="D73:D75"/>
    <mergeCell ref="A64:A66"/>
    <mergeCell ref="B64:B66"/>
    <mergeCell ref="C64:C66"/>
    <mergeCell ref="D64:D66"/>
    <mergeCell ref="A67:A69"/>
    <mergeCell ref="B67:B69"/>
    <mergeCell ref="C67:C69"/>
    <mergeCell ref="D67:D69"/>
    <mergeCell ref="A58:F58"/>
    <mergeCell ref="A60:A62"/>
    <mergeCell ref="B60:B62"/>
    <mergeCell ref="C60:C62"/>
    <mergeCell ref="D60:D62"/>
    <mergeCell ref="I13:M13"/>
    <mergeCell ref="N13:R13"/>
    <mergeCell ref="S13:W13"/>
    <mergeCell ref="A10:B10"/>
    <mergeCell ref="A23:B25"/>
    <mergeCell ref="C10:H10"/>
    <mergeCell ref="F23:H25"/>
    <mergeCell ref="A14:B14"/>
    <mergeCell ref="A15:B17"/>
    <mergeCell ref="A18:B20"/>
    <mergeCell ref="A21:B22"/>
    <mergeCell ref="E12:H13"/>
    <mergeCell ref="F14:H14"/>
    <mergeCell ref="F15:H17"/>
    <mergeCell ref="F18:H20"/>
    <mergeCell ref="F21:H22"/>
    <mergeCell ref="J7:J8"/>
    <mergeCell ref="B2:D2"/>
    <mergeCell ref="B3:D3"/>
    <mergeCell ref="B4:D4"/>
    <mergeCell ref="B8:D8"/>
    <mergeCell ref="B6:E6"/>
    <mergeCell ref="A26:C26"/>
    <mergeCell ref="F26:H26"/>
    <mergeCell ref="A27:B29"/>
    <mergeCell ref="F27:H29"/>
    <mergeCell ref="A30:B32"/>
    <mergeCell ref="F30:H32"/>
    <mergeCell ref="A33:B33"/>
    <mergeCell ref="F33:H33"/>
    <mergeCell ref="A34:B34"/>
    <mergeCell ref="F34:H34"/>
    <mergeCell ref="A35:B36"/>
    <mergeCell ref="F35:H36"/>
    <mergeCell ref="A37:B39"/>
    <mergeCell ref="F37:H37"/>
    <mergeCell ref="F38:H39"/>
    <mergeCell ref="A40:B42"/>
    <mergeCell ref="F40:H41"/>
    <mergeCell ref="F42:H42"/>
    <mergeCell ref="A43:C43"/>
    <mergeCell ref="F43:H43"/>
    <mergeCell ref="A44:C44"/>
    <mergeCell ref="F44:H44"/>
    <mergeCell ref="A45:B48"/>
    <mergeCell ref="F45:H45"/>
    <mergeCell ref="F46:H46"/>
    <mergeCell ref="F47:H47"/>
    <mergeCell ref="F48:H48"/>
    <mergeCell ref="A54:B54"/>
    <mergeCell ref="F54:H54"/>
    <mergeCell ref="A49:B50"/>
    <mergeCell ref="F49:H49"/>
    <mergeCell ref="F50:H50"/>
    <mergeCell ref="A51:B53"/>
    <mergeCell ref="F51:H51"/>
    <mergeCell ref="F52:H52"/>
    <mergeCell ref="F53:H53"/>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3" location="SOMMAIRE!A1" display="Retour sommaire"/>
    <hyperlink ref="J5" location="SYNTHESE!A1" display="Retour synthèse"/>
  </hyperlinks>
  <pageMargins left="0.7" right="0.7" top="0.75" bottom="0.75" header="0.3" footer="0.3"/>
  <legacy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44" sqref="F44:H44"/>
    </sheetView>
  </sheetViews>
  <sheetFormatPr baseColWidth="10"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W143"/>
  <sheetViews>
    <sheetView workbookViewId="0"/>
  </sheetViews>
  <sheetFormatPr baseColWidth="10" defaultRowHeight="15"/>
  <cols>
    <col min="1" max="1" width="20.42578125" style="8" bestFit="1" customWidth="1"/>
    <col min="2" max="2" width="15.7109375" style="8" customWidth="1"/>
    <col min="3" max="3" width="48.42578125" style="8" bestFit="1" customWidth="1"/>
    <col min="4" max="4" width="6.85546875" style="8" bestFit="1" customWidth="1"/>
    <col min="5" max="5" width="7.5703125" style="8" customWidth="1"/>
    <col min="6" max="6" width="16.28515625" style="8" bestFit="1" customWidth="1"/>
    <col min="7" max="7" width="18.28515625" style="8" customWidth="1"/>
    <col min="8" max="8" width="23.140625" bestFit="1" customWidth="1"/>
    <col min="10" max="10" width="18.42578125" bestFit="1" customWidth="1"/>
  </cols>
  <sheetData>
    <row r="1" spans="1:23" ht="15.75" thickBot="1">
      <c r="A1"/>
      <c r="B1"/>
      <c r="C1"/>
      <c r="D1"/>
      <c r="E1"/>
      <c r="F1"/>
      <c r="G1"/>
    </row>
    <row r="2" spans="1:23" ht="15" customHeight="1" thickBot="1">
      <c r="A2" s="328" t="s">
        <v>0</v>
      </c>
      <c r="B2" s="1807" t="s">
        <v>687</v>
      </c>
      <c r="C2" s="1776"/>
      <c r="D2" s="1777"/>
      <c r="E2" s="329"/>
      <c r="F2" s="329"/>
      <c r="G2" s="330" t="s">
        <v>462</v>
      </c>
      <c r="H2" s="499" t="s">
        <v>53</v>
      </c>
    </row>
    <row r="3" spans="1:23" ht="15.75" customHeight="1" thickBot="1">
      <c r="A3" s="331" t="s">
        <v>344</v>
      </c>
      <c r="B3" s="1808" t="s">
        <v>688</v>
      </c>
      <c r="C3" s="1776"/>
      <c r="D3" s="1777"/>
      <c r="E3" s="329"/>
      <c r="F3" s="329"/>
      <c r="G3" s="332" t="s">
        <v>10</v>
      </c>
      <c r="H3" s="408" t="s">
        <v>16</v>
      </c>
      <c r="J3" s="13" t="s">
        <v>73</v>
      </c>
    </row>
    <row r="4" spans="1:23" ht="15.75" thickBot="1">
      <c r="A4" s="332" t="s">
        <v>3</v>
      </c>
      <c r="B4" s="1809" t="s">
        <v>163</v>
      </c>
      <c r="C4" s="1776"/>
      <c r="D4" s="1777"/>
      <c r="E4" s="333"/>
      <c r="F4" s="329"/>
      <c r="G4" s="334" t="s">
        <v>26</v>
      </c>
      <c r="H4" s="392">
        <v>9</v>
      </c>
    </row>
    <row r="5" spans="1:23" ht="15.75" customHeight="1" thickBot="1">
      <c r="A5" s="329"/>
      <c r="B5" s="329"/>
      <c r="C5" s="329"/>
      <c r="D5" s="329"/>
      <c r="E5" s="329"/>
      <c r="F5" s="329"/>
      <c r="G5" s="329"/>
      <c r="H5" s="329"/>
      <c r="J5" s="1846" t="s">
        <v>381</v>
      </c>
      <c r="K5" s="1846"/>
    </row>
    <row r="6" spans="1:23" ht="151.5" customHeight="1" thickBot="1">
      <c r="A6" s="328" t="s">
        <v>465</v>
      </c>
      <c r="B6" s="1844" t="s">
        <v>1566</v>
      </c>
      <c r="C6" s="1776"/>
      <c r="D6" s="1777"/>
      <c r="E6" s="329"/>
      <c r="F6" s="329"/>
      <c r="G6" s="335" t="s">
        <v>466</v>
      </c>
      <c r="H6" s="178" t="s">
        <v>689</v>
      </c>
    </row>
    <row r="7" spans="1:23" ht="15.75" thickBot="1">
      <c r="A7"/>
      <c r="B7" s="329"/>
      <c r="C7" s="329"/>
      <c r="D7" s="329"/>
      <c r="E7" s="329"/>
      <c r="F7" s="329"/>
      <c r="G7" s="337"/>
      <c r="H7" s="329"/>
    </row>
    <row r="8" spans="1:23" ht="30.75" thickBot="1">
      <c r="A8" s="338" t="s">
        <v>7</v>
      </c>
      <c r="B8" s="1809" t="s">
        <v>690</v>
      </c>
      <c r="C8" s="1776"/>
      <c r="D8" s="1777"/>
      <c r="E8" s="333"/>
      <c r="F8" s="339"/>
      <c r="G8" s="338" t="s">
        <v>469</v>
      </c>
      <c r="H8" s="583" t="s">
        <v>470</v>
      </c>
    </row>
    <row r="9" spans="1:23">
      <c r="A9"/>
      <c r="B9" s="329"/>
      <c r="C9" s="329"/>
      <c r="D9" s="329"/>
      <c r="E9" s="329"/>
      <c r="F9" s="329"/>
      <c r="G9" s="337"/>
      <c r="H9" s="329"/>
    </row>
    <row r="10" spans="1:23" ht="64.5" customHeight="1">
      <c r="A10" s="1813" t="s">
        <v>471</v>
      </c>
      <c r="B10" s="1772"/>
      <c r="C10" s="1806" t="s">
        <v>691</v>
      </c>
      <c r="D10" s="1806"/>
      <c r="E10" s="1806"/>
      <c r="F10" s="1806"/>
      <c r="G10" s="1806"/>
      <c r="H10" s="1806"/>
      <c r="J10" s="1325"/>
    </row>
    <row r="11" spans="1:23">
      <c r="A11" s="343"/>
      <c r="B11" s="333"/>
      <c r="C11" s="333"/>
      <c r="D11" s="333"/>
      <c r="E11" s="333"/>
      <c r="F11" s="339"/>
      <c r="G11" s="342"/>
      <c r="H11" s="342"/>
      <c r="J11" s="107"/>
    </row>
    <row r="12" spans="1:23">
      <c r="A12" s="343"/>
      <c r="B12" s="333"/>
      <c r="C12" s="333"/>
      <c r="D12" s="333"/>
      <c r="E12" s="1814" t="s">
        <v>473</v>
      </c>
      <c r="F12" s="1772"/>
      <c r="G12" s="1772"/>
      <c r="H12" s="1772"/>
    </row>
    <row r="13" spans="1:23" ht="15" customHeight="1">
      <c r="A13" s="329"/>
      <c r="B13" s="329"/>
      <c r="C13" s="329"/>
      <c r="D13" s="329"/>
      <c r="E13" s="1780"/>
      <c r="F13" s="1780"/>
      <c r="G13" s="1780"/>
      <c r="H13" s="1780"/>
      <c r="I13" s="1817">
        <v>2025</v>
      </c>
      <c r="J13" s="1762"/>
      <c r="K13" s="1762"/>
      <c r="L13" s="1762"/>
      <c r="M13" s="1764"/>
      <c r="N13" s="1817">
        <v>2026</v>
      </c>
      <c r="O13" s="1762"/>
      <c r="P13" s="1762"/>
      <c r="Q13" s="1762"/>
      <c r="R13" s="1764"/>
      <c r="S13" s="1817">
        <v>2027</v>
      </c>
      <c r="T13" s="1762"/>
      <c r="U13" s="1762"/>
      <c r="V13" s="1762"/>
      <c r="W13" s="1764"/>
    </row>
    <row r="14" spans="1:23" ht="45.75" thickBot="1">
      <c r="A14" s="1816" t="s">
        <v>5</v>
      </c>
      <c r="B14" s="1792"/>
      <c r="C14" s="344" t="s">
        <v>1</v>
      </c>
      <c r="D14" s="344" t="s">
        <v>260</v>
      </c>
      <c r="E14" s="345" t="s">
        <v>474</v>
      </c>
      <c r="F14" s="1815" t="s">
        <v>6</v>
      </c>
      <c r="G14" s="1762"/>
      <c r="H14" s="1764"/>
      <c r="I14" s="643" t="s">
        <v>474</v>
      </c>
      <c r="J14" s="644" t="s">
        <v>944</v>
      </c>
      <c r="K14" s="645" t="s">
        <v>945</v>
      </c>
      <c r="L14" s="644" t="s">
        <v>946</v>
      </c>
      <c r="M14" s="646" t="s">
        <v>947</v>
      </c>
      <c r="N14" s="643" t="s">
        <v>474</v>
      </c>
      <c r="O14" s="644" t="s">
        <v>944</v>
      </c>
      <c r="P14" s="645" t="s">
        <v>945</v>
      </c>
      <c r="Q14" s="644" t="s">
        <v>946</v>
      </c>
      <c r="R14" s="646" t="s">
        <v>947</v>
      </c>
      <c r="S14" s="643" t="s">
        <v>474</v>
      </c>
      <c r="T14" s="644" t="s">
        <v>944</v>
      </c>
      <c r="U14" s="645" t="s">
        <v>945</v>
      </c>
      <c r="V14" s="644" t="s">
        <v>946</v>
      </c>
      <c r="W14" s="646" t="s">
        <v>947</v>
      </c>
    </row>
    <row r="15" spans="1:23" s="21" customFormat="1" ht="15" customHeight="1">
      <c r="A15" s="1804" t="s">
        <v>17</v>
      </c>
      <c r="B15" s="1771"/>
      <c r="C15" s="346" t="s">
        <v>59</v>
      </c>
      <c r="D15" s="347" t="s">
        <v>251</v>
      </c>
      <c r="E15" s="500"/>
      <c r="F15" s="1791" t="s">
        <v>475</v>
      </c>
      <c r="G15" s="1771"/>
      <c r="H15" s="1792"/>
      <c r="I15" s="650"/>
      <c r="J15" s="648"/>
      <c r="K15" s="648"/>
      <c r="L15" s="648"/>
      <c r="M15" s="649"/>
      <c r="N15" s="650"/>
      <c r="O15" s="648"/>
      <c r="P15" s="648"/>
      <c r="Q15" s="648"/>
      <c r="R15" s="753"/>
      <c r="S15" s="754"/>
      <c r="T15" s="755"/>
      <c r="U15" s="755"/>
      <c r="V15" s="755"/>
      <c r="W15" s="756"/>
    </row>
    <row r="16" spans="1:23" ht="30" customHeight="1">
      <c r="A16" s="1772"/>
      <c r="B16" s="1772"/>
      <c r="C16" s="349" t="s">
        <v>18</v>
      </c>
      <c r="D16" s="350" t="s">
        <v>168</v>
      </c>
      <c r="E16" s="501"/>
      <c r="F16" s="1845"/>
      <c r="G16" s="1845"/>
      <c r="H16" s="1799"/>
      <c r="I16" s="653"/>
      <c r="J16" s="632"/>
      <c r="K16" s="632"/>
      <c r="L16" s="632"/>
      <c r="M16" s="632"/>
      <c r="N16" s="653"/>
      <c r="O16" s="632"/>
      <c r="P16" s="632"/>
      <c r="Q16" s="632"/>
      <c r="R16" s="703"/>
      <c r="S16" s="757"/>
      <c r="T16" s="758"/>
      <c r="U16" s="758"/>
      <c r="V16" s="758"/>
      <c r="W16" s="759"/>
    </row>
    <row r="17" spans="1:23" ht="30" customHeight="1" thickBot="1">
      <c r="A17" s="1780"/>
      <c r="B17" s="1780"/>
      <c r="C17" s="352" t="s">
        <v>19</v>
      </c>
      <c r="D17" s="353" t="s">
        <v>233</v>
      </c>
      <c r="E17" s="493"/>
      <c r="F17" s="1780"/>
      <c r="G17" s="1780"/>
      <c r="H17" s="1793"/>
      <c r="I17" s="656"/>
      <c r="J17" s="632"/>
      <c r="K17" s="632"/>
      <c r="L17" s="632"/>
      <c r="M17" s="632"/>
      <c r="N17" s="656"/>
      <c r="O17" s="632"/>
      <c r="P17" s="632"/>
      <c r="Q17" s="632"/>
      <c r="R17" s="703"/>
      <c r="S17" s="757"/>
      <c r="T17" s="758"/>
      <c r="U17" s="758"/>
      <c r="V17" s="758"/>
      <c r="W17" s="759"/>
    </row>
    <row r="18" spans="1:23" ht="30" customHeight="1">
      <c r="A18" s="1804" t="s">
        <v>20</v>
      </c>
      <c r="B18" s="1771"/>
      <c r="C18" s="346" t="s">
        <v>54</v>
      </c>
      <c r="D18" s="353" t="s">
        <v>261</v>
      </c>
      <c r="E18" s="493"/>
      <c r="F18" s="1828" t="s">
        <v>692</v>
      </c>
      <c r="G18" s="1771"/>
      <c r="H18" s="1792"/>
      <c r="I18" s="656"/>
      <c r="J18" s="632"/>
      <c r="K18" s="632"/>
      <c r="L18" s="632"/>
      <c r="M18" s="632"/>
      <c r="N18" s="656"/>
      <c r="O18" s="632"/>
      <c r="P18" s="632"/>
      <c r="Q18" s="632"/>
      <c r="R18" s="703"/>
      <c r="S18" s="757"/>
      <c r="T18" s="758"/>
      <c r="U18" s="758"/>
      <c r="V18" s="758"/>
      <c r="W18" s="759"/>
    </row>
    <row r="19" spans="1:23" ht="30" customHeight="1">
      <c r="A19" s="1772"/>
      <c r="B19" s="1772"/>
      <c r="C19" s="355" t="s">
        <v>21</v>
      </c>
      <c r="D19" s="353" t="s">
        <v>234</v>
      </c>
      <c r="E19" s="493"/>
      <c r="F19" s="1845"/>
      <c r="G19" s="1845"/>
      <c r="H19" s="1799"/>
      <c r="I19" s="656"/>
      <c r="J19" s="632"/>
      <c r="K19" s="632"/>
      <c r="L19" s="632"/>
      <c r="M19" s="632"/>
      <c r="N19" s="656"/>
      <c r="O19" s="632"/>
      <c r="P19" s="632"/>
      <c r="Q19" s="632"/>
      <c r="R19" s="703"/>
      <c r="S19" s="757"/>
      <c r="T19" s="758"/>
      <c r="U19" s="758"/>
      <c r="V19" s="758"/>
      <c r="W19" s="759"/>
    </row>
    <row r="20" spans="1:23" ht="15.75" thickBot="1">
      <c r="A20" s="1772"/>
      <c r="B20" s="1772"/>
      <c r="C20" s="352" t="s">
        <v>22</v>
      </c>
      <c r="D20" s="353" t="s">
        <v>235</v>
      </c>
      <c r="E20" s="418" t="s">
        <v>554</v>
      </c>
      <c r="F20" s="1780"/>
      <c r="G20" s="1780"/>
      <c r="H20" s="1793"/>
      <c r="I20" s="326" t="s">
        <v>554</v>
      </c>
      <c r="J20" s="632">
        <v>3</v>
      </c>
      <c r="K20" s="632">
        <v>3</v>
      </c>
      <c r="L20" s="632">
        <v>240</v>
      </c>
      <c r="M20" s="760">
        <v>367200</v>
      </c>
      <c r="N20" s="326" t="s">
        <v>554</v>
      </c>
      <c r="O20" s="632">
        <v>3</v>
      </c>
      <c r="P20" s="632">
        <v>3</v>
      </c>
      <c r="Q20" s="632">
        <v>240</v>
      </c>
      <c r="R20" s="761">
        <v>367200</v>
      </c>
      <c r="S20" s="762" t="s">
        <v>554</v>
      </c>
      <c r="T20" s="758">
        <v>3</v>
      </c>
      <c r="U20" s="758">
        <v>3</v>
      </c>
      <c r="V20" s="758">
        <v>240</v>
      </c>
      <c r="W20" s="763">
        <v>367200</v>
      </c>
    </row>
    <row r="21" spans="1:23" ht="40.5" customHeight="1">
      <c r="A21" s="1804" t="s">
        <v>23</v>
      </c>
      <c r="B21" s="1771"/>
      <c r="C21" s="356" t="s">
        <v>69</v>
      </c>
      <c r="D21" s="353" t="s">
        <v>267</v>
      </c>
      <c r="E21" s="493"/>
      <c r="F21" s="1828" t="s">
        <v>477</v>
      </c>
      <c r="G21" s="1771"/>
      <c r="H21" s="1792"/>
      <c r="I21" s="656"/>
      <c r="J21" s="632"/>
      <c r="K21" s="632"/>
      <c r="L21" s="632"/>
      <c r="M21" s="632"/>
      <c r="N21" s="656"/>
      <c r="O21" s="632"/>
      <c r="P21" s="632"/>
      <c r="Q21" s="632"/>
      <c r="R21" s="703"/>
      <c r="S21" s="757"/>
      <c r="T21" s="758"/>
      <c r="U21" s="758"/>
      <c r="V21" s="758"/>
      <c r="W21" s="759"/>
    </row>
    <row r="22" spans="1:23" ht="40.5" customHeight="1" thickBot="1">
      <c r="A22" s="1780"/>
      <c r="B22" s="1780"/>
      <c r="C22" s="357" t="s">
        <v>24</v>
      </c>
      <c r="D22" s="358" t="s">
        <v>236</v>
      </c>
      <c r="E22" s="493"/>
      <c r="F22" s="1780"/>
      <c r="G22" s="1780"/>
      <c r="H22" s="1793"/>
      <c r="I22" s="656"/>
      <c r="J22" s="632"/>
      <c r="K22" s="632"/>
      <c r="L22" s="632"/>
      <c r="M22" s="632"/>
      <c r="N22" s="656"/>
      <c r="O22" s="632"/>
      <c r="P22" s="632"/>
      <c r="Q22" s="632"/>
      <c r="R22" s="703"/>
      <c r="S22" s="757"/>
      <c r="T22" s="758"/>
      <c r="U22" s="758"/>
      <c r="V22" s="758"/>
      <c r="W22" s="759"/>
    </row>
    <row r="23" spans="1:23" ht="35.25" customHeight="1">
      <c r="A23" s="1801" t="s">
        <v>478</v>
      </c>
      <c r="B23" s="1792"/>
      <c r="C23" s="359" t="s">
        <v>360</v>
      </c>
      <c r="D23" s="358" t="s">
        <v>265</v>
      </c>
      <c r="E23" s="493"/>
      <c r="F23" s="1791" t="s">
        <v>477</v>
      </c>
      <c r="G23" s="1771"/>
      <c r="H23" s="1792"/>
      <c r="I23" s="656"/>
      <c r="J23" s="632"/>
      <c r="K23" s="632"/>
      <c r="L23" s="632"/>
      <c r="M23" s="632"/>
      <c r="N23" s="656"/>
      <c r="O23" s="632"/>
      <c r="P23" s="632"/>
      <c r="Q23" s="632"/>
      <c r="R23" s="703"/>
      <c r="S23" s="757"/>
      <c r="T23" s="758"/>
      <c r="U23" s="758"/>
      <c r="V23" s="758"/>
      <c r="W23" s="759"/>
    </row>
    <row r="24" spans="1:23" ht="42.75" customHeight="1">
      <c r="A24" s="1779"/>
      <c r="B24" s="1799"/>
      <c r="C24" s="360" t="s">
        <v>361</v>
      </c>
      <c r="D24" s="358" t="s">
        <v>362</v>
      </c>
      <c r="E24" s="493"/>
      <c r="F24" s="1845"/>
      <c r="G24" s="1845"/>
      <c r="H24" s="1799"/>
      <c r="I24" s="656"/>
      <c r="J24" s="632"/>
      <c r="K24" s="632"/>
      <c r="L24" s="632"/>
      <c r="M24" s="632"/>
      <c r="N24" s="656"/>
      <c r="O24" s="632"/>
      <c r="P24" s="632"/>
      <c r="Q24" s="632"/>
      <c r="R24" s="703"/>
      <c r="S24" s="757"/>
      <c r="T24" s="758"/>
      <c r="U24" s="758"/>
      <c r="V24" s="758"/>
      <c r="W24" s="759"/>
    </row>
    <row r="25" spans="1:23" ht="60.75" customHeight="1" thickBot="1">
      <c r="A25" s="1779"/>
      <c r="B25" s="1799"/>
      <c r="C25" s="361" t="s">
        <v>479</v>
      </c>
      <c r="D25" s="358" t="s">
        <v>480</v>
      </c>
      <c r="E25" s="493"/>
      <c r="F25" s="1780"/>
      <c r="G25" s="1780"/>
      <c r="H25" s="1793"/>
      <c r="I25" s="656"/>
      <c r="J25" s="632"/>
      <c r="K25" s="632"/>
      <c r="L25" s="632"/>
      <c r="M25" s="632"/>
      <c r="N25" s="656"/>
      <c r="O25" s="632"/>
      <c r="P25" s="632"/>
      <c r="Q25" s="632"/>
      <c r="R25" s="703"/>
      <c r="S25" s="757"/>
      <c r="T25" s="758"/>
      <c r="U25" s="758"/>
      <c r="V25" s="758"/>
      <c r="W25" s="759"/>
    </row>
    <row r="26" spans="1:23" ht="30" customHeight="1" thickBot="1">
      <c r="A26" s="1802" t="s">
        <v>25</v>
      </c>
      <c r="B26" s="1776"/>
      <c r="C26" s="1777"/>
      <c r="D26" s="362" t="s">
        <v>270</v>
      </c>
      <c r="E26" s="493"/>
      <c r="F26" s="1763" t="s">
        <v>481</v>
      </c>
      <c r="G26" s="1762"/>
      <c r="H26" s="1764"/>
      <c r="I26" s="656"/>
      <c r="J26" s="632"/>
      <c r="K26" s="632"/>
      <c r="L26" s="632"/>
      <c r="M26" s="632"/>
      <c r="N26" s="656"/>
      <c r="O26" s="632"/>
      <c r="P26" s="632"/>
      <c r="Q26" s="632"/>
      <c r="R26" s="703"/>
      <c r="S26" s="757"/>
      <c r="T26" s="758"/>
      <c r="U26" s="758"/>
      <c r="V26" s="758"/>
      <c r="W26" s="759"/>
    </row>
    <row r="27" spans="1:23" ht="15.75">
      <c r="A27" s="1803" t="s">
        <v>153</v>
      </c>
      <c r="B27" s="1788"/>
      <c r="C27" s="363" t="s">
        <v>152</v>
      </c>
      <c r="D27" s="364" t="s">
        <v>268</v>
      </c>
      <c r="E27" s="493"/>
      <c r="F27" s="1791" t="s">
        <v>475</v>
      </c>
      <c r="G27" s="1771"/>
      <c r="H27" s="1792"/>
      <c r="I27" s="656"/>
      <c r="J27" s="632"/>
      <c r="K27" s="632"/>
      <c r="L27" s="632"/>
      <c r="M27" s="632"/>
      <c r="N27" s="656"/>
      <c r="O27" s="632"/>
      <c r="P27" s="632"/>
      <c r="Q27" s="632"/>
      <c r="R27" s="703"/>
      <c r="S27" s="757"/>
      <c r="T27" s="758"/>
      <c r="U27" s="758"/>
      <c r="V27" s="758"/>
      <c r="W27" s="759"/>
    </row>
    <row r="28" spans="1:23" ht="15.75">
      <c r="A28" s="1779"/>
      <c r="B28" s="1788"/>
      <c r="C28" s="365" t="s">
        <v>154</v>
      </c>
      <c r="D28" s="364" t="s">
        <v>392</v>
      </c>
      <c r="E28" s="493"/>
      <c r="F28" s="1845"/>
      <c r="G28" s="1845"/>
      <c r="H28" s="1799"/>
      <c r="I28" s="656"/>
      <c r="J28" s="632"/>
      <c r="K28" s="632"/>
      <c r="L28" s="632"/>
      <c r="M28" s="632"/>
      <c r="N28" s="656"/>
      <c r="O28" s="632"/>
      <c r="P28" s="632"/>
      <c r="Q28" s="632"/>
      <c r="R28" s="703"/>
      <c r="S28" s="757"/>
      <c r="T28" s="758"/>
      <c r="U28" s="758"/>
      <c r="V28" s="758"/>
      <c r="W28" s="759"/>
    </row>
    <row r="29" spans="1:23" ht="16.5" thickBot="1">
      <c r="A29" s="1767"/>
      <c r="B29" s="1768"/>
      <c r="C29" s="366" t="s">
        <v>400</v>
      </c>
      <c r="D29" s="364" t="s">
        <v>393</v>
      </c>
      <c r="E29" s="493"/>
      <c r="F29" s="1780"/>
      <c r="G29" s="1780"/>
      <c r="H29" s="1793"/>
      <c r="I29" s="656"/>
      <c r="J29" s="632"/>
      <c r="K29" s="632"/>
      <c r="L29" s="632"/>
      <c r="M29" s="632"/>
      <c r="N29" s="656"/>
      <c r="O29" s="632"/>
      <c r="P29" s="632"/>
      <c r="Q29" s="632"/>
      <c r="R29" s="703"/>
      <c r="S29" s="757"/>
      <c r="T29" s="758"/>
      <c r="U29" s="758"/>
      <c r="V29" s="758"/>
      <c r="W29" s="759"/>
    </row>
    <row r="30" spans="1:23" ht="15.75">
      <c r="A30" s="1797" t="s">
        <v>153</v>
      </c>
      <c r="B30" s="1766"/>
      <c r="C30" s="367" t="s">
        <v>155</v>
      </c>
      <c r="D30" s="364" t="s">
        <v>266</v>
      </c>
      <c r="E30" s="493"/>
      <c r="F30" s="1791" t="s">
        <v>475</v>
      </c>
      <c r="G30" s="1771"/>
      <c r="H30" s="1792"/>
      <c r="I30" s="656"/>
      <c r="J30" s="632"/>
      <c r="K30" s="632"/>
      <c r="L30" s="632"/>
      <c r="M30" s="632"/>
      <c r="N30" s="656"/>
      <c r="O30" s="632"/>
      <c r="P30" s="632"/>
      <c r="Q30" s="632"/>
      <c r="R30" s="703"/>
      <c r="S30" s="757"/>
      <c r="T30" s="758"/>
      <c r="U30" s="758"/>
      <c r="V30" s="758"/>
      <c r="W30" s="759"/>
    </row>
    <row r="31" spans="1:23" ht="15.75">
      <c r="A31" s="1779"/>
      <c r="B31" s="1788"/>
      <c r="C31" s="365" t="s">
        <v>156</v>
      </c>
      <c r="D31" s="364" t="s">
        <v>394</v>
      </c>
      <c r="E31" s="493"/>
      <c r="F31" s="1845"/>
      <c r="G31" s="1845"/>
      <c r="H31" s="1799"/>
      <c r="I31" s="656"/>
      <c r="J31" s="632"/>
      <c r="K31" s="632"/>
      <c r="L31" s="632"/>
      <c r="M31" s="632"/>
      <c r="N31" s="656"/>
      <c r="O31" s="632"/>
      <c r="P31" s="632"/>
      <c r="Q31" s="632"/>
      <c r="R31" s="703"/>
      <c r="S31" s="757"/>
      <c r="T31" s="758"/>
      <c r="U31" s="758"/>
      <c r="V31" s="758"/>
      <c r="W31" s="759"/>
    </row>
    <row r="32" spans="1:23" ht="16.5" thickBot="1">
      <c r="A32" s="1767"/>
      <c r="B32" s="1768"/>
      <c r="C32" s="366" t="s">
        <v>399</v>
      </c>
      <c r="D32" s="364" t="s">
        <v>395</v>
      </c>
      <c r="E32" s="493"/>
      <c r="F32" s="1780"/>
      <c r="G32" s="1780"/>
      <c r="H32" s="1793"/>
      <c r="I32" s="656"/>
      <c r="J32" s="632"/>
      <c r="K32" s="632"/>
      <c r="L32" s="632"/>
      <c r="M32" s="632"/>
      <c r="N32" s="656"/>
      <c r="O32" s="632"/>
      <c r="P32" s="632"/>
      <c r="Q32" s="632"/>
      <c r="R32" s="703"/>
      <c r="S32" s="757"/>
      <c r="T32" s="758"/>
      <c r="U32" s="758"/>
      <c r="V32" s="758"/>
      <c r="W32" s="759"/>
    </row>
    <row r="33" spans="1:23" ht="16.5" thickBot="1">
      <c r="A33" s="1797" t="s">
        <v>482</v>
      </c>
      <c r="B33" s="1766"/>
      <c r="C33" s="367" t="s">
        <v>365</v>
      </c>
      <c r="D33" s="364" t="s">
        <v>252</v>
      </c>
      <c r="E33" s="493"/>
      <c r="F33" s="1791" t="s">
        <v>483</v>
      </c>
      <c r="G33" s="1771"/>
      <c r="H33" s="1792"/>
      <c r="I33" s="656"/>
      <c r="J33" s="632"/>
      <c r="K33" s="632"/>
      <c r="L33" s="632"/>
      <c r="M33" s="632"/>
      <c r="N33" s="656"/>
      <c r="O33" s="632"/>
      <c r="P33" s="632"/>
      <c r="Q33" s="632"/>
      <c r="R33" s="703"/>
      <c r="S33" s="757"/>
      <c r="T33" s="758"/>
      <c r="U33" s="758"/>
      <c r="V33" s="758"/>
      <c r="W33" s="759"/>
    </row>
    <row r="34" spans="1:23" ht="16.5" thickBot="1">
      <c r="A34" s="1797" t="s">
        <v>484</v>
      </c>
      <c r="B34" s="1766"/>
      <c r="C34" s="367" t="s">
        <v>485</v>
      </c>
      <c r="D34" s="364" t="s">
        <v>264</v>
      </c>
      <c r="E34" s="493"/>
      <c r="F34" s="1800"/>
      <c r="G34" s="1771"/>
      <c r="H34" s="1792"/>
      <c r="I34" s="656"/>
      <c r="J34" s="632"/>
      <c r="K34" s="632"/>
      <c r="L34" s="632"/>
      <c r="M34" s="632"/>
      <c r="N34" s="656"/>
      <c r="O34" s="632"/>
      <c r="P34" s="632"/>
      <c r="Q34" s="632"/>
      <c r="R34" s="703"/>
      <c r="S34" s="757"/>
      <c r="T34" s="758"/>
      <c r="U34" s="758"/>
      <c r="V34" s="758"/>
      <c r="W34" s="759"/>
    </row>
    <row r="35" spans="1:23" ht="15.75">
      <c r="A35" s="1795" t="s">
        <v>486</v>
      </c>
      <c r="B35" s="1766"/>
      <c r="C35" s="368" t="s">
        <v>43</v>
      </c>
      <c r="D35" s="369" t="s">
        <v>256</v>
      </c>
      <c r="E35" s="493"/>
      <c r="F35" s="1791" t="s">
        <v>487</v>
      </c>
      <c r="G35" s="1771"/>
      <c r="H35" s="1792"/>
      <c r="I35" s="656"/>
      <c r="J35" s="632"/>
      <c r="K35" s="632"/>
      <c r="L35" s="632"/>
      <c r="M35" s="632"/>
      <c r="N35" s="656"/>
      <c r="O35" s="632"/>
      <c r="P35" s="632"/>
      <c r="Q35" s="632"/>
      <c r="R35" s="703"/>
      <c r="S35" s="757"/>
      <c r="T35" s="758"/>
      <c r="U35" s="758"/>
      <c r="V35" s="758"/>
      <c r="W35" s="759"/>
    </row>
    <row r="36" spans="1:23" ht="16.5" thickBot="1">
      <c r="A36" s="1767"/>
      <c r="B36" s="1768"/>
      <c r="C36" s="370" t="s">
        <v>60</v>
      </c>
      <c r="D36" s="369" t="s">
        <v>257</v>
      </c>
      <c r="E36" s="493"/>
      <c r="F36" s="1780"/>
      <c r="G36" s="1780"/>
      <c r="H36" s="1793"/>
      <c r="I36" s="656"/>
      <c r="J36" s="632"/>
      <c r="K36" s="632"/>
      <c r="L36" s="632"/>
      <c r="M36" s="632"/>
      <c r="N36" s="656"/>
      <c r="O36" s="632"/>
      <c r="P36" s="632"/>
      <c r="Q36" s="632"/>
      <c r="R36" s="703"/>
      <c r="S36" s="757"/>
      <c r="T36" s="758"/>
      <c r="U36" s="758"/>
      <c r="V36" s="758"/>
      <c r="W36" s="759"/>
    </row>
    <row r="37" spans="1:23" ht="30">
      <c r="A37" s="1796" t="s">
        <v>33</v>
      </c>
      <c r="B37" s="1771"/>
      <c r="C37" s="371" t="s">
        <v>30</v>
      </c>
      <c r="D37" s="372" t="s">
        <v>170</v>
      </c>
      <c r="E37" s="418" t="s">
        <v>554</v>
      </c>
      <c r="F37" s="1820" t="s">
        <v>693</v>
      </c>
      <c r="G37" s="1771"/>
      <c r="H37" s="1792"/>
      <c r="I37" s="326" t="s">
        <v>554</v>
      </c>
      <c r="J37" s="632">
        <v>2</v>
      </c>
      <c r="K37" s="632">
        <v>1</v>
      </c>
      <c r="L37" s="632">
        <v>150</v>
      </c>
      <c r="M37" s="760">
        <v>90750</v>
      </c>
      <c r="N37" s="326" t="s">
        <v>554</v>
      </c>
      <c r="O37" s="632">
        <v>2</v>
      </c>
      <c r="P37" s="632">
        <v>1</v>
      </c>
      <c r="Q37" s="632">
        <v>150</v>
      </c>
      <c r="R37" s="761">
        <v>90750</v>
      </c>
      <c r="S37" s="762" t="s">
        <v>554</v>
      </c>
      <c r="T37" s="758">
        <v>2</v>
      </c>
      <c r="U37" s="758">
        <v>1</v>
      </c>
      <c r="V37" s="758">
        <v>150</v>
      </c>
      <c r="W37" s="763">
        <v>90750</v>
      </c>
    </row>
    <row r="38" spans="1:23" ht="30">
      <c r="A38" s="1779"/>
      <c r="B38" s="1772"/>
      <c r="C38" s="373" t="s">
        <v>31</v>
      </c>
      <c r="D38" s="372" t="s">
        <v>169</v>
      </c>
      <c r="E38" s="418" t="s">
        <v>554</v>
      </c>
      <c r="F38" s="1820" t="s">
        <v>694</v>
      </c>
      <c r="G38" s="1771"/>
      <c r="H38" s="1792"/>
      <c r="I38" s="326" t="s">
        <v>554</v>
      </c>
      <c r="J38" s="632">
        <v>2</v>
      </c>
      <c r="K38" s="632">
        <v>0</v>
      </c>
      <c r="L38" s="632">
        <v>200</v>
      </c>
      <c r="M38" s="760">
        <v>177000</v>
      </c>
      <c r="N38" s="326" t="s">
        <v>554</v>
      </c>
      <c r="O38" s="632">
        <v>1</v>
      </c>
      <c r="P38" s="632">
        <v>0</v>
      </c>
      <c r="Q38" s="632">
        <v>80</v>
      </c>
      <c r="R38" s="761">
        <v>70800</v>
      </c>
      <c r="S38" s="762" t="s">
        <v>554</v>
      </c>
      <c r="T38" s="758">
        <v>2</v>
      </c>
      <c r="U38" s="758">
        <v>0</v>
      </c>
      <c r="V38" s="758">
        <v>200</v>
      </c>
      <c r="W38" s="763">
        <v>177000</v>
      </c>
    </row>
    <row r="39" spans="1:23" ht="30.75" thickBot="1">
      <c r="A39" s="1779"/>
      <c r="B39" s="1772"/>
      <c r="C39" s="374" t="s">
        <v>32</v>
      </c>
      <c r="D39" s="372" t="s">
        <v>250</v>
      </c>
      <c r="E39" s="493"/>
      <c r="F39" s="1780"/>
      <c r="G39" s="1780"/>
      <c r="H39" s="1793"/>
      <c r="I39" s="656"/>
      <c r="J39" s="632"/>
      <c r="K39" s="632"/>
      <c r="L39" s="632"/>
      <c r="M39" s="632"/>
      <c r="N39" s="656"/>
      <c r="O39" s="632"/>
      <c r="P39" s="632"/>
      <c r="Q39" s="632"/>
      <c r="R39" s="703"/>
      <c r="S39" s="757"/>
      <c r="T39" s="758"/>
      <c r="U39" s="758"/>
      <c r="V39" s="758"/>
      <c r="W39" s="759"/>
    </row>
    <row r="40" spans="1:23" ht="15.75">
      <c r="A40" s="1786" t="s">
        <v>491</v>
      </c>
      <c r="B40" s="1787"/>
      <c r="C40" s="375" t="s">
        <v>144</v>
      </c>
      <c r="D40" s="376" t="s">
        <v>253</v>
      </c>
      <c r="E40" s="493" t="s">
        <v>554</v>
      </c>
      <c r="F40" s="1828" t="s">
        <v>695</v>
      </c>
      <c r="G40" s="1771"/>
      <c r="H40" s="1792"/>
      <c r="I40" s="326" t="s">
        <v>554</v>
      </c>
      <c r="J40" s="632">
        <v>3</v>
      </c>
      <c r="K40" s="632">
        <v>0</v>
      </c>
      <c r="L40" s="632">
        <v>15</v>
      </c>
      <c r="M40" s="760">
        <v>11250</v>
      </c>
      <c r="N40" s="326" t="s">
        <v>554</v>
      </c>
      <c r="O40" s="632">
        <v>3</v>
      </c>
      <c r="P40" s="632">
        <v>0</v>
      </c>
      <c r="Q40" s="632">
        <v>15</v>
      </c>
      <c r="R40" s="761">
        <v>11250</v>
      </c>
      <c r="S40" s="762" t="s">
        <v>554</v>
      </c>
      <c r="T40" s="758">
        <v>3</v>
      </c>
      <c r="U40" s="758">
        <v>0</v>
      </c>
      <c r="V40" s="758">
        <v>15</v>
      </c>
      <c r="W40" s="763">
        <v>11250</v>
      </c>
    </row>
    <row r="41" spans="1:23" ht="16.5" thickBot="1">
      <c r="A41" s="1772"/>
      <c r="B41" s="1788"/>
      <c r="C41" s="377" t="s">
        <v>145</v>
      </c>
      <c r="D41" s="376" t="s">
        <v>254</v>
      </c>
      <c r="E41" s="493" t="s">
        <v>554</v>
      </c>
      <c r="F41" s="1780"/>
      <c r="G41" s="1780"/>
      <c r="H41" s="1793"/>
      <c r="I41" s="326" t="s">
        <v>554</v>
      </c>
      <c r="J41" s="632">
        <v>2</v>
      </c>
      <c r="K41" s="632">
        <v>0</v>
      </c>
      <c r="L41" s="632">
        <v>10</v>
      </c>
      <c r="M41" s="760">
        <v>10050</v>
      </c>
      <c r="N41" s="326" t="s">
        <v>554</v>
      </c>
      <c r="O41" s="632">
        <v>2</v>
      </c>
      <c r="P41" s="632">
        <v>0</v>
      </c>
      <c r="Q41" s="632">
        <v>10</v>
      </c>
      <c r="R41" s="761">
        <v>10050</v>
      </c>
      <c r="S41" s="762" t="s">
        <v>554</v>
      </c>
      <c r="T41" s="758">
        <v>2</v>
      </c>
      <c r="U41" s="758">
        <v>0</v>
      </c>
      <c r="V41" s="758">
        <v>10</v>
      </c>
      <c r="W41" s="763">
        <v>10050</v>
      </c>
    </row>
    <row r="42" spans="1:23" ht="48" thickBot="1">
      <c r="A42" s="1789"/>
      <c r="B42" s="1790"/>
      <c r="C42" s="378" t="s">
        <v>128</v>
      </c>
      <c r="D42" s="376" t="s">
        <v>262</v>
      </c>
      <c r="E42" s="493" t="s">
        <v>554</v>
      </c>
      <c r="F42" s="1794"/>
      <c r="G42" s="1762"/>
      <c r="H42" s="1764"/>
      <c r="I42" s="326" t="s">
        <v>554</v>
      </c>
      <c r="J42" s="632">
        <v>2</v>
      </c>
      <c r="K42" s="632">
        <v>0</v>
      </c>
      <c r="L42" s="632">
        <v>6</v>
      </c>
      <c r="M42" s="760">
        <v>2160</v>
      </c>
      <c r="N42" s="326" t="s">
        <v>554</v>
      </c>
      <c r="O42" s="632">
        <v>2</v>
      </c>
      <c r="P42" s="632">
        <v>0</v>
      </c>
      <c r="Q42" s="632">
        <v>6</v>
      </c>
      <c r="R42" s="761">
        <v>2160</v>
      </c>
      <c r="S42" s="762" t="s">
        <v>554</v>
      </c>
      <c r="T42" s="758">
        <v>2</v>
      </c>
      <c r="U42" s="758">
        <v>0</v>
      </c>
      <c r="V42" s="758">
        <v>6</v>
      </c>
      <c r="W42" s="763">
        <v>2160</v>
      </c>
    </row>
    <row r="43" spans="1:23" ht="15.75" thickBot="1">
      <c r="A43" s="1775" t="s">
        <v>493</v>
      </c>
      <c r="B43" s="1776"/>
      <c r="C43" s="1777"/>
      <c r="D43" s="379" t="s">
        <v>237</v>
      </c>
      <c r="E43" s="418" t="s">
        <v>554</v>
      </c>
      <c r="F43" s="1818" t="s">
        <v>696</v>
      </c>
      <c r="G43" s="1762"/>
      <c r="H43" s="1764"/>
      <c r="I43" s="326" t="s">
        <v>554</v>
      </c>
      <c r="J43" s="632">
        <v>3</v>
      </c>
      <c r="K43" s="632">
        <v>0</v>
      </c>
      <c r="L43" s="632">
        <v>10</v>
      </c>
      <c r="M43" s="760">
        <v>30250</v>
      </c>
      <c r="N43" s="326" t="s">
        <v>554</v>
      </c>
      <c r="O43" s="632">
        <v>3</v>
      </c>
      <c r="P43" s="632">
        <v>0</v>
      </c>
      <c r="Q43" s="632">
        <v>10</v>
      </c>
      <c r="R43" s="761">
        <v>30250</v>
      </c>
      <c r="S43" s="762" t="s">
        <v>554</v>
      </c>
      <c r="T43" s="758">
        <v>3</v>
      </c>
      <c r="U43" s="758">
        <v>0</v>
      </c>
      <c r="V43" s="758">
        <v>10</v>
      </c>
      <c r="W43" s="763">
        <v>30250</v>
      </c>
    </row>
    <row r="44" spans="1:23" ht="15.75" thickBot="1">
      <c r="A44" s="1775" t="s">
        <v>133</v>
      </c>
      <c r="B44" s="1776"/>
      <c r="C44" s="1777"/>
      <c r="D44" s="379" t="s">
        <v>238</v>
      </c>
      <c r="E44" s="493"/>
      <c r="F44" s="1763" t="s">
        <v>495</v>
      </c>
      <c r="G44" s="1762"/>
      <c r="H44" s="1764"/>
      <c r="I44" s="656"/>
      <c r="J44" s="632"/>
      <c r="K44" s="632"/>
      <c r="L44" s="632"/>
      <c r="M44" s="632"/>
      <c r="N44" s="656"/>
      <c r="O44" s="632"/>
      <c r="P44" s="632"/>
      <c r="Q44" s="632"/>
      <c r="R44" s="703"/>
      <c r="S44" s="757"/>
      <c r="T44" s="758"/>
      <c r="U44" s="758"/>
      <c r="V44" s="758"/>
      <c r="W44" s="759"/>
    </row>
    <row r="45" spans="1:23">
      <c r="A45" s="1778" t="s">
        <v>41</v>
      </c>
      <c r="B45" s="1772"/>
      <c r="C45" s="380" t="s">
        <v>50</v>
      </c>
      <c r="D45" s="381" t="s">
        <v>246</v>
      </c>
      <c r="E45" s="493"/>
      <c r="F45" s="1781" t="s">
        <v>560</v>
      </c>
      <c r="G45" s="1762"/>
      <c r="H45" s="1764"/>
      <c r="I45" s="656"/>
      <c r="J45" s="632"/>
      <c r="K45" s="632"/>
      <c r="L45" s="632"/>
      <c r="M45" s="632"/>
      <c r="N45" s="656"/>
      <c r="O45" s="632"/>
      <c r="P45" s="632"/>
      <c r="Q45" s="632"/>
      <c r="R45" s="703"/>
      <c r="S45" s="757"/>
      <c r="T45" s="758"/>
      <c r="U45" s="758"/>
      <c r="V45" s="758"/>
      <c r="W45" s="759"/>
    </row>
    <row r="46" spans="1:23" ht="45" customHeight="1">
      <c r="A46" s="1779"/>
      <c r="B46" s="1772"/>
      <c r="C46" s="382" t="s">
        <v>51</v>
      </c>
      <c r="D46" s="381" t="s">
        <v>247</v>
      </c>
      <c r="E46" s="493" t="s">
        <v>554</v>
      </c>
      <c r="F46" s="1785" t="s">
        <v>697</v>
      </c>
      <c r="G46" s="1762"/>
      <c r="H46" s="1764"/>
      <c r="I46" s="326" t="s">
        <v>554</v>
      </c>
      <c r="J46" s="632">
        <v>2</v>
      </c>
      <c r="K46" s="632">
        <v>0</v>
      </c>
      <c r="L46" s="632">
        <v>10</v>
      </c>
      <c r="M46" s="760">
        <v>7250</v>
      </c>
      <c r="N46" s="326" t="s">
        <v>554</v>
      </c>
      <c r="O46" s="632">
        <v>4</v>
      </c>
      <c r="P46" s="632">
        <v>0</v>
      </c>
      <c r="Q46" s="632">
        <v>20</v>
      </c>
      <c r="R46" s="761">
        <v>14500</v>
      </c>
      <c r="S46" s="762" t="s">
        <v>554</v>
      </c>
      <c r="T46" s="758">
        <v>4</v>
      </c>
      <c r="U46" s="758">
        <v>0</v>
      </c>
      <c r="V46" s="758">
        <v>20</v>
      </c>
      <c r="W46" s="763">
        <v>14500</v>
      </c>
    </row>
    <row r="47" spans="1:23">
      <c r="A47" s="1779"/>
      <c r="B47" s="1772"/>
      <c r="C47" s="382" t="s">
        <v>39</v>
      </c>
      <c r="D47" s="381" t="s">
        <v>248</v>
      </c>
      <c r="E47" s="418" t="s">
        <v>554</v>
      </c>
      <c r="F47" s="1785" t="s">
        <v>698</v>
      </c>
      <c r="G47" s="1762"/>
      <c r="H47" s="1764"/>
      <c r="I47" s="326" t="s">
        <v>554</v>
      </c>
      <c r="J47" s="632">
        <v>2</v>
      </c>
      <c r="K47" s="632">
        <v>0</v>
      </c>
      <c r="L47" s="632">
        <v>10</v>
      </c>
      <c r="M47" s="760">
        <v>10000</v>
      </c>
      <c r="N47" s="326" t="s">
        <v>554</v>
      </c>
      <c r="O47" s="632">
        <v>2</v>
      </c>
      <c r="P47" s="632">
        <v>0</v>
      </c>
      <c r="Q47" s="632">
        <v>10</v>
      </c>
      <c r="R47" s="761">
        <v>10000</v>
      </c>
      <c r="S47" s="762" t="s">
        <v>554</v>
      </c>
      <c r="T47" s="758">
        <v>2</v>
      </c>
      <c r="U47" s="758">
        <v>0</v>
      </c>
      <c r="V47" s="758">
        <v>10</v>
      </c>
      <c r="W47" s="763">
        <v>10000</v>
      </c>
    </row>
    <row r="48" spans="1:23" ht="15.75" thickBot="1">
      <c r="A48" s="1767"/>
      <c r="B48" s="1780"/>
      <c r="C48" s="383" t="s">
        <v>40</v>
      </c>
      <c r="D48" s="381" t="s">
        <v>249</v>
      </c>
      <c r="E48" s="493"/>
      <c r="F48" s="1781" t="s">
        <v>498</v>
      </c>
      <c r="G48" s="1762"/>
      <c r="H48" s="1764"/>
      <c r="I48" s="656"/>
      <c r="J48" s="632"/>
      <c r="K48" s="632"/>
      <c r="L48" s="632"/>
      <c r="M48" s="632"/>
      <c r="N48" s="656"/>
      <c r="O48" s="632"/>
      <c r="P48" s="632"/>
      <c r="Q48" s="632"/>
      <c r="R48" s="703"/>
      <c r="S48" s="757"/>
      <c r="T48" s="758"/>
      <c r="U48" s="758"/>
      <c r="V48" s="758"/>
      <c r="W48" s="759"/>
    </row>
    <row r="49" spans="1:23" ht="15.75">
      <c r="A49" s="1765" t="s">
        <v>130</v>
      </c>
      <c r="B49" s="1766"/>
      <c r="C49" s="375" t="s">
        <v>131</v>
      </c>
      <c r="D49" s="376" t="s">
        <v>255</v>
      </c>
      <c r="E49" s="493"/>
      <c r="F49" s="1769"/>
      <c r="G49" s="1762"/>
      <c r="H49" s="1764"/>
      <c r="I49" s="656"/>
      <c r="J49" s="632"/>
      <c r="K49" s="632"/>
      <c r="L49" s="632"/>
      <c r="M49" s="632"/>
      <c r="N49" s="656"/>
      <c r="O49" s="632"/>
      <c r="P49" s="632"/>
      <c r="Q49" s="632"/>
      <c r="R49" s="703"/>
      <c r="S49" s="757"/>
      <c r="T49" s="758"/>
      <c r="U49" s="758"/>
      <c r="V49" s="758"/>
      <c r="W49" s="759"/>
    </row>
    <row r="50" spans="1:23" ht="48" thickBot="1">
      <c r="A50" s="1767"/>
      <c r="B50" s="1768"/>
      <c r="C50" s="384" t="s">
        <v>132</v>
      </c>
      <c r="D50" s="376" t="s">
        <v>263</v>
      </c>
      <c r="E50" s="493"/>
      <c r="F50" s="1769"/>
      <c r="G50" s="1762"/>
      <c r="H50" s="1764"/>
      <c r="I50" s="656"/>
      <c r="J50" s="632"/>
      <c r="K50" s="632"/>
      <c r="L50" s="632"/>
      <c r="M50" s="632"/>
      <c r="N50" s="656"/>
      <c r="O50" s="632"/>
      <c r="P50" s="632"/>
      <c r="Q50" s="632"/>
      <c r="R50" s="703"/>
      <c r="S50" s="757"/>
      <c r="T50" s="758"/>
      <c r="U50" s="758"/>
      <c r="V50" s="758"/>
      <c r="W50" s="759"/>
    </row>
    <row r="51" spans="1:23">
      <c r="A51" s="1770" t="s">
        <v>42</v>
      </c>
      <c r="B51" s="1771"/>
      <c r="C51" s="385" t="s">
        <v>38</v>
      </c>
      <c r="D51" s="386" t="s">
        <v>239</v>
      </c>
      <c r="E51" s="493"/>
      <c r="F51" s="1763" t="s">
        <v>499</v>
      </c>
      <c r="G51" s="1762"/>
      <c r="H51" s="1764"/>
      <c r="I51" s="656"/>
      <c r="J51" s="632"/>
      <c r="K51" s="632"/>
      <c r="L51" s="632"/>
      <c r="M51" s="632"/>
      <c r="N51" s="656"/>
      <c r="O51" s="632"/>
      <c r="P51" s="632"/>
      <c r="Q51" s="632"/>
      <c r="R51" s="703"/>
      <c r="S51" s="757"/>
      <c r="T51" s="758"/>
      <c r="U51" s="758"/>
      <c r="V51" s="758"/>
      <c r="W51" s="759"/>
    </row>
    <row r="52" spans="1:23">
      <c r="A52" s="1772"/>
      <c r="B52" s="1772"/>
      <c r="C52" s="387" t="s">
        <v>55</v>
      </c>
      <c r="D52" s="386" t="s">
        <v>240</v>
      </c>
      <c r="E52" s="493"/>
      <c r="F52" s="1773"/>
      <c r="G52" s="1762"/>
      <c r="H52" s="1764"/>
      <c r="I52" s="656"/>
      <c r="J52" s="632"/>
      <c r="K52" s="632"/>
      <c r="L52" s="632"/>
      <c r="M52" s="632"/>
      <c r="N52" s="656"/>
      <c r="O52" s="632"/>
      <c r="P52" s="632"/>
      <c r="Q52" s="632"/>
      <c r="R52" s="703"/>
      <c r="S52" s="757"/>
      <c r="T52" s="758"/>
      <c r="U52" s="758"/>
      <c r="V52" s="758"/>
      <c r="W52" s="759"/>
    </row>
    <row r="53" spans="1:23" ht="16.5" thickBot="1">
      <c r="A53" s="1772"/>
      <c r="B53" s="1772"/>
      <c r="C53" s="377" t="s">
        <v>48</v>
      </c>
      <c r="D53" s="388" t="s">
        <v>241</v>
      </c>
      <c r="E53" s="493"/>
      <c r="F53" s="1774"/>
      <c r="G53" s="1762"/>
      <c r="H53" s="1764"/>
      <c r="I53" s="656"/>
      <c r="J53" s="632"/>
      <c r="K53" s="632"/>
      <c r="L53" s="632"/>
      <c r="M53" s="632"/>
      <c r="N53" s="656"/>
      <c r="O53" s="632"/>
      <c r="P53" s="632"/>
      <c r="Q53" s="632"/>
      <c r="R53" s="703"/>
      <c r="S53" s="757"/>
      <c r="T53" s="758"/>
      <c r="U53" s="758"/>
      <c r="V53" s="758"/>
      <c r="W53" s="759"/>
    </row>
    <row r="54" spans="1:23" ht="16.5" thickBot="1">
      <c r="A54" s="1761" t="s">
        <v>500</v>
      </c>
      <c r="B54" s="1762"/>
      <c r="C54" s="389" t="s">
        <v>134</v>
      </c>
      <c r="D54" s="390" t="s">
        <v>269</v>
      </c>
      <c r="E54" s="502"/>
      <c r="F54" s="1763" t="s">
        <v>501</v>
      </c>
      <c r="G54" s="1762"/>
      <c r="H54" s="1764"/>
      <c r="I54" s="659"/>
      <c r="J54" s="658"/>
      <c r="K54" s="658"/>
      <c r="L54" s="658"/>
      <c r="M54" s="658"/>
      <c r="N54" s="659"/>
      <c r="O54" s="658"/>
      <c r="P54" s="658"/>
      <c r="Q54" s="658"/>
      <c r="R54" s="764"/>
      <c r="S54" s="765"/>
      <c r="T54" s="766"/>
      <c r="U54" s="766"/>
      <c r="V54" s="766"/>
      <c r="W54" s="767"/>
    </row>
    <row r="57" spans="1:23">
      <c r="M57">
        <f>SUM(M16:M54)</f>
        <v>705910</v>
      </c>
    </row>
    <row r="58" spans="1:23" ht="60">
      <c r="A58" s="661" t="s">
        <v>948</v>
      </c>
      <c r="B58" s="661" t="s">
        <v>949</v>
      </c>
      <c r="C58" s="661" t="s">
        <v>950</v>
      </c>
      <c r="D58" s="661" t="s">
        <v>951</v>
      </c>
      <c r="E58" s="661" t="s">
        <v>952</v>
      </c>
    </row>
    <row r="59" spans="1:23">
      <c r="A59" s="631" t="s">
        <v>953</v>
      </c>
      <c r="B59" s="624" t="s">
        <v>887</v>
      </c>
      <c r="C59" s="632">
        <v>1</v>
      </c>
      <c r="D59" s="632">
        <v>3</v>
      </c>
      <c r="E59" s="635" t="s">
        <v>979</v>
      </c>
    </row>
    <row r="60" spans="1:23">
      <c r="A60" s="631" t="s">
        <v>956</v>
      </c>
      <c r="B60" s="624" t="s">
        <v>887</v>
      </c>
      <c r="C60" s="632">
        <v>8</v>
      </c>
      <c r="D60" s="632">
        <v>2.5</v>
      </c>
      <c r="E60" s="635" t="s">
        <v>1073</v>
      </c>
    </row>
    <row r="61" spans="1:23">
      <c r="A61" s="631" t="s">
        <v>957</v>
      </c>
      <c r="B61" s="624" t="s">
        <v>887</v>
      </c>
      <c r="C61" s="632">
        <v>1</v>
      </c>
      <c r="D61" s="632">
        <v>10</v>
      </c>
      <c r="E61" s="635" t="s">
        <v>1074</v>
      </c>
    </row>
    <row r="62" spans="1:23">
      <c r="A62" s="631" t="s">
        <v>959</v>
      </c>
      <c r="B62" s="624" t="s">
        <v>887</v>
      </c>
      <c r="C62" s="632">
        <v>26</v>
      </c>
      <c r="D62" s="632">
        <v>3</v>
      </c>
      <c r="E62" s="635" t="s">
        <v>1075</v>
      </c>
    </row>
    <row r="63" spans="1:23">
      <c r="A63" s="631" t="s">
        <v>961</v>
      </c>
      <c r="B63" s="624" t="s">
        <v>887</v>
      </c>
      <c r="C63" s="632">
        <v>23</v>
      </c>
      <c r="D63" s="632">
        <v>15</v>
      </c>
      <c r="E63" s="635" t="s">
        <v>1075</v>
      </c>
    </row>
    <row r="64" spans="1:23">
      <c r="A64" s="631" t="s">
        <v>963</v>
      </c>
      <c r="B64" s="624" t="s">
        <v>887</v>
      </c>
      <c r="C64" s="632">
        <v>13</v>
      </c>
      <c r="D64" s="632">
        <v>6.5</v>
      </c>
      <c r="E64" s="635" t="s">
        <v>1075</v>
      </c>
    </row>
    <row r="65" spans="1:6">
      <c r="A65" s="631" t="s">
        <v>965</v>
      </c>
      <c r="B65" s="624" t="s">
        <v>887</v>
      </c>
      <c r="C65" s="632">
        <v>23</v>
      </c>
      <c r="D65" s="632">
        <v>3.5</v>
      </c>
      <c r="E65" s="635" t="s">
        <v>1075</v>
      </c>
    </row>
    <row r="66" spans="1:6">
      <c r="A66" s="631" t="s">
        <v>967</v>
      </c>
      <c r="B66" s="624" t="s">
        <v>991</v>
      </c>
      <c r="C66" s="632"/>
      <c r="D66" s="632"/>
      <c r="E66" s="633"/>
    </row>
    <row r="67" spans="1:6">
      <c r="A67" s="631" t="s">
        <v>969</v>
      </c>
      <c r="B67" s="624" t="s">
        <v>887</v>
      </c>
      <c r="C67" s="632">
        <v>1</v>
      </c>
      <c r="D67" s="632">
        <v>2</v>
      </c>
      <c r="E67" s="635" t="s">
        <v>1076</v>
      </c>
    </row>
    <row r="68" spans="1:6">
      <c r="A68" s="631" t="s">
        <v>971</v>
      </c>
      <c r="B68" s="624" t="s">
        <v>887</v>
      </c>
      <c r="C68" s="632">
        <v>23</v>
      </c>
      <c r="D68" s="632">
        <v>3</v>
      </c>
      <c r="E68" s="662">
        <v>45809</v>
      </c>
    </row>
    <row r="69" spans="1:6">
      <c r="A69" s="631" t="s">
        <v>986</v>
      </c>
      <c r="B69" s="632"/>
      <c r="C69" s="632"/>
      <c r="D69" s="632"/>
      <c r="E69" s="633"/>
    </row>
    <row r="70" spans="1:6">
      <c r="A70" s="631"/>
      <c r="B70" s="632"/>
      <c r="C70" s="632"/>
      <c r="D70" s="632"/>
      <c r="E70" s="633"/>
    </row>
    <row r="72" spans="1:6">
      <c r="D72" s="8">
        <f>SUM(D59:D68)</f>
        <v>48.5</v>
      </c>
    </row>
    <row r="75" spans="1:6">
      <c r="A75" s="1829" t="s">
        <v>1270</v>
      </c>
      <c r="B75" s="1830"/>
      <c r="C75" s="1830"/>
      <c r="D75" s="1830"/>
      <c r="E75" s="1830"/>
      <c r="F75" s="1830"/>
    </row>
    <row r="76" spans="1:6" ht="90">
      <c r="A76" s="1375" t="s">
        <v>1271</v>
      </c>
      <c r="B76" s="1372" t="s">
        <v>1272</v>
      </c>
      <c r="C76" s="1372" t="s">
        <v>1273</v>
      </c>
      <c r="D76" s="1372" t="s">
        <v>1274</v>
      </c>
      <c r="E76" s="1372" t="s">
        <v>1275</v>
      </c>
      <c r="F76" s="1372" t="s">
        <v>1276</v>
      </c>
    </row>
    <row r="77" spans="1:6" ht="60">
      <c r="A77" s="1376" t="s">
        <v>1431</v>
      </c>
      <c r="B77" s="1374" t="s">
        <v>1405</v>
      </c>
      <c r="C77" s="1373" t="e">
        <v>#NAME?</v>
      </c>
      <c r="D77" s="1373" t="s">
        <v>16</v>
      </c>
      <c r="E77" s="1374" t="s">
        <v>1432</v>
      </c>
      <c r="F77" s="1373">
        <v>10</v>
      </c>
    </row>
    <row r="78" spans="1:6" ht="105">
      <c r="A78" s="1376" t="s">
        <v>1401</v>
      </c>
      <c r="B78" s="1374" t="s">
        <v>1402</v>
      </c>
      <c r="C78" s="1373" t="s">
        <v>1357</v>
      </c>
      <c r="D78" s="1373" t="s">
        <v>52</v>
      </c>
      <c r="E78" s="1374" t="s">
        <v>1433</v>
      </c>
      <c r="F78" s="1373">
        <v>10</v>
      </c>
    </row>
    <row r="79" spans="1:6" ht="45">
      <c r="A79" s="1376" t="s">
        <v>1404</v>
      </c>
      <c r="B79" s="1374" t="s">
        <v>1405</v>
      </c>
      <c r="C79" s="1373" t="s">
        <v>1357</v>
      </c>
      <c r="D79" s="1373" t="s">
        <v>52</v>
      </c>
      <c r="E79" s="1374" t="s">
        <v>1433</v>
      </c>
      <c r="F79" s="1373">
        <v>20</v>
      </c>
    </row>
    <row r="80" spans="1:6" ht="60">
      <c r="A80" s="1376" t="s">
        <v>1406</v>
      </c>
      <c r="B80" s="1374" t="s">
        <v>1402</v>
      </c>
      <c r="C80" s="1373" t="s">
        <v>1357</v>
      </c>
      <c r="D80" s="1373" t="s">
        <v>52</v>
      </c>
      <c r="E80" s="1374" t="s">
        <v>1432</v>
      </c>
      <c r="F80" s="1373">
        <v>20</v>
      </c>
    </row>
    <row r="81" spans="1:6" ht="75">
      <c r="A81" s="1376" t="s">
        <v>1408</v>
      </c>
      <c r="B81" s="1374" t="s">
        <v>1402</v>
      </c>
      <c r="C81" s="1373" t="s">
        <v>1357</v>
      </c>
      <c r="D81" s="1373" t="s">
        <v>52</v>
      </c>
      <c r="E81" s="1374" t="s">
        <v>1434</v>
      </c>
      <c r="F81" s="1373">
        <v>15</v>
      </c>
    </row>
    <row r="82" spans="1:6" ht="60">
      <c r="A82" s="1376" t="s">
        <v>1410</v>
      </c>
      <c r="B82" s="1374" t="s">
        <v>1405</v>
      </c>
      <c r="C82" s="1373" t="s">
        <v>1357</v>
      </c>
      <c r="D82" s="1373" t="s">
        <v>16</v>
      </c>
      <c r="E82" s="1374" t="s">
        <v>1432</v>
      </c>
      <c r="F82" s="1373">
        <v>15</v>
      </c>
    </row>
    <row r="83" spans="1:6" ht="120">
      <c r="A83" s="1377" t="s">
        <v>1412</v>
      </c>
      <c r="B83" s="1378" t="s">
        <v>1413</v>
      </c>
      <c r="C83" s="1378" t="s">
        <v>1283</v>
      </c>
      <c r="D83" s="1378" t="s">
        <v>887</v>
      </c>
      <c r="E83" s="1378" t="s">
        <v>1299</v>
      </c>
      <c r="F83" s="1378">
        <v>8</v>
      </c>
    </row>
    <row r="84" spans="1:6" ht="105">
      <c r="A84" s="1377" t="s">
        <v>1414</v>
      </c>
      <c r="B84" s="1378" t="s">
        <v>1415</v>
      </c>
      <c r="C84" s="1378" t="s">
        <v>1283</v>
      </c>
      <c r="D84" s="1378" t="s">
        <v>954</v>
      </c>
      <c r="E84" s="1378" t="s">
        <v>1416</v>
      </c>
      <c r="F84" s="1378">
        <v>8</v>
      </c>
    </row>
    <row r="85" spans="1:6" ht="72.75">
      <c r="A85" s="1377" t="s">
        <v>1414</v>
      </c>
      <c r="B85" s="1379" t="s">
        <v>1417</v>
      </c>
      <c r="C85" s="1378" t="s">
        <v>1418</v>
      </c>
      <c r="D85" s="1378" t="s">
        <v>954</v>
      </c>
      <c r="E85" s="1378" t="s">
        <v>1435</v>
      </c>
      <c r="F85" s="1378">
        <v>8</v>
      </c>
    </row>
    <row r="86" spans="1:6" ht="90">
      <c r="A86" s="1377" t="s">
        <v>1420</v>
      </c>
      <c r="B86" s="1378" t="s">
        <v>1421</v>
      </c>
      <c r="C86" s="1378" t="s">
        <v>1307</v>
      </c>
      <c r="D86" s="1378" t="s">
        <v>887</v>
      </c>
      <c r="E86" s="1378" t="s">
        <v>1436</v>
      </c>
      <c r="F86" s="1378">
        <v>8</v>
      </c>
    </row>
    <row r="87" spans="1:6" ht="135">
      <c r="A87" s="1377" t="s">
        <v>1423</v>
      </c>
      <c r="B87" s="1378" t="s">
        <v>1424</v>
      </c>
      <c r="C87" s="1378" t="s">
        <v>1283</v>
      </c>
      <c r="D87" s="1378" t="s">
        <v>887</v>
      </c>
      <c r="E87" s="1378" t="s">
        <v>1437</v>
      </c>
      <c r="F87" s="1378">
        <v>8</v>
      </c>
    </row>
    <row r="88" spans="1:6" ht="129">
      <c r="A88" s="1377" t="s">
        <v>1425</v>
      </c>
      <c r="B88" s="1380" t="s">
        <v>1426</v>
      </c>
      <c r="C88" s="1378" t="s">
        <v>1427</v>
      </c>
      <c r="D88" s="1378" t="s">
        <v>887</v>
      </c>
      <c r="E88" s="1378" t="s">
        <v>1437</v>
      </c>
      <c r="F88" s="1378">
        <v>8</v>
      </c>
    </row>
    <row r="89" spans="1:6" ht="75.75" thickBot="1">
      <c r="A89" s="1377" t="s">
        <v>1428</v>
      </c>
      <c r="B89" s="1378" t="s">
        <v>1429</v>
      </c>
      <c r="C89" s="1378" t="s">
        <v>1427</v>
      </c>
      <c r="D89" s="1378" t="s">
        <v>887</v>
      </c>
      <c r="E89" s="1378" t="s">
        <v>1430</v>
      </c>
      <c r="F89" s="1381">
        <v>8</v>
      </c>
    </row>
    <row r="90" spans="1:6" ht="15.75" thickBot="1">
      <c r="A90" s="1852" t="s">
        <v>1381</v>
      </c>
      <c r="B90" s="1853" t="s">
        <v>1278</v>
      </c>
      <c r="C90" s="1854" t="s">
        <v>1307</v>
      </c>
      <c r="D90" s="1854" t="s">
        <v>954</v>
      </c>
      <c r="E90" s="1382" t="s">
        <v>1382</v>
      </c>
      <c r="F90" s="1385"/>
    </row>
    <row r="91" spans="1:6" ht="15.75" thickBot="1">
      <c r="A91" s="1833"/>
      <c r="B91" s="1833"/>
      <c r="C91" s="1836"/>
      <c r="D91" s="1836"/>
      <c r="E91" s="1382" t="s">
        <v>1285</v>
      </c>
      <c r="F91" s="1386"/>
    </row>
    <row r="92" spans="1:6" ht="15.75" thickBot="1">
      <c r="A92" s="1831" t="s">
        <v>1277</v>
      </c>
      <c r="B92" s="1831" t="s">
        <v>1278</v>
      </c>
      <c r="C92" s="1834" t="s">
        <v>1279</v>
      </c>
      <c r="D92" s="1834" t="s">
        <v>954</v>
      </c>
      <c r="E92" s="1382" t="s">
        <v>1284</v>
      </c>
      <c r="F92" s="1386"/>
    </row>
    <row r="93" spans="1:6" ht="15.75" thickBot="1">
      <c r="A93" s="1833"/>
      <c r="B93" s="1833"/>
      <c r="C93" s="1836"/>
      <c r="D93" s="1836"/>
      <c r="E93" s="1382" t="s">
        <v>1280</v>
      </c>
      <c r="F93" s="1386"/>
    </row>
    <row r="94" spans="1:6" ht="15.75" thickBot="1">
      <c r="A94" s="1831" t="s">
        <v>1438</v>
      </c>
      <c r="B94" s="1831" t="s">
        <v>1278</v>
      </c>
      <c r="C94" s="1834" t="s">
        <v>1384</v>
      </c>
      <c r="D94" s="1834" t="s">
        <v>954</v>
      </c>
      <c r="E94" s="1382" t="s">
        <v>1285</v>
      </c>
      <c r="F94" s="1386"/>
    </row>
    <row r="95" spans="1:6" ht="15.75" thickBot="1">
      <c r="A95" s="1832"/>
      <c r="B95" s="1832"/>
      <c r="C95" s="1835"/>
      <c r="D95" s="1835"/>
      <c r="E95" s="1383" t="s">
        <v>1284</v>
      </c>
      <c r="F95" s="1386"/>
    </row>
    <row r="96" spans="1:6" ht="15.75" thickBot="1">
      <c r="A96" s="1832"/>
      <c r="B96" s="1832"/>
      <c r="C96" s="1835"/>
      <c r="D96" s="1835"/>
      <c r="E96" s="1384" t="s">
        <v>1385</v>
      </c>
      <c r="F96" s="1386"/>
    </row>
    <row r="97" spans="1:6" ht="15.75" thickBot="1">
      <c r="A97" s="1833"/>
      <c r="B97" s="1833"/>
      <c r="C97" s="1836"/>
      <c r="D97" s="1836"/>
      <c r="E97" s="1382" t="s">
        <v>1382</v>
      </c>
      <c r="F97" s="1386"/>
    </row>
    <row r="98" spans="1:6" ht="15.75" thickBot="1">
      <c r="A98" s="1837" t="s">
        <v>1439</v>
      </c>
      <c r="B98" s="1831" t="s">
        <v>1282</v>
      </c>
      <c r="C98" s="1834" t="s">
        <v>1283</v>
      </c>
      <c r="D98" s="1834" t="s">
        <v>954</v>
      </c>
      <c r="E98" s="1382" t="s">
        <v>237</v>
      </c>
      <c r="F98" s="1386"/>
    </row>
    <row r="99" spans="1:6" ht="15.75" thickBot="1">
      <c r="A99" s="1838"/>
      <c r="B99" s="1832"/>
      <c r="C99" s="1835"/>
      <c r="D99" s="1835"/>
      <c r="E99" s="1382" t="s">
        <v>1284</v>
      </c>
      <c r="F99" s="1386"/>
    </row>
    <row r="100" spans="1:6" ht="15.75" thickBot="1">
      <c r="A100" s="1838"/>
      <c r="B100" s="1832"/>
      <c r="C100" s="1835"/>
      <c r="D100" s="1835"/>
      <c r="E100" s="1382" t="s">
        <v>1387</v>
      </c>
      <c r="F100" s="1386"/>
    </row>
    <row r="101" spans="1:6" ht="15.75" thickBot="1">
      <c r="A101" s="1839"/>
      <c r="B101" s="1833"/>
      <c r="C101" s="1836"/>
      <c r="D101" s="1836"/>
      <c r="E101" s="1382" t="s">
        <v>1388</v>
      </c>
      <c r="F101" s="1386"/>
    </row>
    <row r="102" spans="1:6" ht="15.75" thickBot="1">
      <c r="A102" s="1840" t="s">
        <v>1440</v>
      </c>
      <c r="B102" s="1831" t="s">
        <v>1287</v>
      </c>
      <c r="C102" s="1834" t="s">
        <v>1307</v>
      </c>
      <c r="D102" s="1834" t="s">
        <v>954</v>
      </c>
      <c r="E102" s="1382" t="s">
        <v>237</v>
      </c>
      <c r="F102" s="1386"/>
    </row>
    <row r="103" spans="1:6" ht="15.75" thickBot="1">
      <c r="A103" s="1838"/>
      <c r="B103" s="1832"/>
      <c r="C103" s="1835"/>
      <c r="D103" s="1835"/>
      <c r="E103" s="1382" t="s">
        <v>1284</v>
      </c>
      <c r="F103" s="1386"/>
    </row>
    <row r="104" spans="1:6" ht="15.75" thickBot="1">
      <c r="A104" s="1838"/>
      <c r="B104" s="1832"/>
      <c r="C104" s="1835"/>
      <c r="D104" s="1835"/>
      <c r="E104" s="1382" t="s">
        <v>1280</v>
      </c>
      <c r="F104" s="1386"/>
    </row>
    <row r="105" spans="1:6" ht="15.75" thickBot="1">
      <c r="A105" s="1841"/>
      <c r="B105" s="1833"/>
      <c r="C105" s="1836"/>
      <c r="D105" s="1836"/>
      <c r="E105" s="1382" t="s">
        <v>1390</v>
      </c>
      <c r="F105" s="1386"/>
    </row>
    <row r="106" spans="1:6" ht="15.75" thickBot="1">
      <c r="A106" s="1837" t="s">
        <v>1441</v>
      </c>
      <c r="B106" s="1831" t="s">
        <v>1282</v>
      </c>
      <c r="C106" s="1834" t="s">
        <v>1283</v>
      </c>
      <c r="D106" s="1834" t="s">
        <v>954</v>
      </c>
      <c r="E106" s="1382" t="s">
        <v>1284</v>
      </c>
      <c r="F106" s="1386"/>
    </row>
    <row r="107" spans="1:6" ht="15.75" thickBot="1">
      <c r="A107" s="1838"/>
      <c r="B107" s="1832"/>
      <c r="C107" s="1835"/>
      <c r="D107" s="1835"/>
      <c r="E107" s="1382" t="s">
        <v>1285</v>
      </c>
      <c r="F107" s="1386"/>
    </row>
    <row r="108" spans="1:6" ht="15.75" thickBot="1">
      <c r="A108" s="1841"/>
      <c r="B108" s="1833"/>
      <c r="C108" s="1836"/>
      <c r="D108" s="1836"/>
      <c r="E108" s="1382" t="s">
        <v>1280</v>
      </c>
      <c r="F108" s="1386"/>
    </row>
    <row r="109" spans="1:6" ht="15.75" thickBot="1">
      <c r="A109" s="1837" t="s">
        <v>1442</v>
      </c>
      <c r="B109" s="1831" t="s">
        <v>1287</v>
      </c>
      <c r="C109" s="1834" t="s">
        <v>1283</v>
      </c>
      <c r="D109" s="1834" t="s">
        <v>954</v>
      </c>
      <c r="E109" s="1382" t="s">
        <v>1285</v>
      </c>
      <c r="F109" s="1386"/>
    </row>
    <row r="110" spans="1:6" ht="15.75" thickBot="1">
      <c r="A110" s="1839"/>
      <c r="B110" s="1848"/>
      <c r="C110" s="1849"/>
      <c r="D110" s="1849"/>
      <c r="E110" s="1382" t="s">
        <v>1284</v>
      </c>
      <c r="F110" s="1386"/>
    </row>
    <row r="111" spans="1:6" ht="15.75" thickBot="1">
      <c r="A111" s="1840" t="s">
        <v>1443</v>
      </c>
      <c r="B111" s="1850" t="s">
        <v>1287</v>
      </c>
      <c r="C111" s="1851" t="s">
        <v>1283</v>
      </c>
      <c r="D111" s="1851" t="s">
        <v>954</v>
      </c>
      <c r="E111" s="1382" t="s">
        <v>1390</v>
      </c>
      <c r="F111" s="1386"/>
    </row>
    <row r="112" spans="1:6" ht="15.75" thickBot="1">
      <c r="A112" s="1838"/>
      <c r="B112" s="1832"/>
      <c r="C112" s="1835"/>
      <c r="D112" s="1835"/>
      <c r="E112" s="1382" t="s">
        <v>237</v>
      </c>
      <c r="F112" s="1386"/>
    </row>
    <row r="113" spans="1:6" ht="15.75" thickBot="1">
      <c r="A113" s="1838"/>
      <c r="B113" s="1832"/>
      <c r="C113" s="1835"/>
      <c r="D113" s="1835"/>
      <c r="E113" s="1382" t="s">
        <v>1285</v>
      </c>
      <c r="F113" s="1386"/>
    </row>
    <row r="114" spans="1:6" ht="15.75" thickBot="1">
      <c r="A114" s="1841"/>
      <c r="B114" s="1833"/>
      <c r="C114" s="1836"/>
      <c r="D114" s="1836"/>
      <c r="E114" s="1382" t="s">
        <v>1280</v>
      </c>
      <c r="F114" s="1386"/>
    </row>
    <row r="115" spans="1:6" ht="15.75" thickBot="1">
      <c r="A115" s="1837" t="s">
        <v>1444</v>
      </c>
      <c r="B115" s="1831" t="s">
        <v>1287</v>
      </c>
      <c r="C115" s="1834" t="s">
        <v>1289</v>
      </c>
      <c r="D115" s="1834" t="s">
        <v>954</v>
      </c>
      <c r="E115" s="1382" t="s">
        <v>237</v>
      </c>
      <c r="F115" s="1386"/>
    </row>
    <row r="116" spans="1:6" ht="15.75" thickBot="1">
      <c r="A116" s="1838"/>
      <c r="B116" s="1832"/>
      <c r="C116" s="1835"/>
      <c r="D116" s="1835"/>
      <c r="E116" s="1382" t="s">
        <v>1284</v>
      </c>
      <c r="F116" s="1386"/>
    </row>
    <row r="117" spans="1:6" ht="15.75" thickBot="1">
      <c r="A117" s="1838"/>
      <c r="B117" s="1832"/>
      <c r="C117" s="1835"/>
      <c r="D117" s="1835"/>
      <c r="E117" s="1382" t="s">
        <v>1280</v>
      </c>
      <c r="F117" s="1386"/>
    </row>
    <row r="118" spans="1:6" ht="15.75" thickBot="1">
      <c r="A118" s="1841"/>
      <c r="B118" s="1833"/>
      <c r="C118" s="1836"/>
      <c r="D118" s="1836"/>
      <c r="E118" s="1382" t="s">
        <v>1390</v>
      </c>
      <c r="F118" s="1386"/>
    </row>
    <row r="119" spans="1:6" ht="15.75" thickBot="1">
      <c r="A119" s="1842" t="s">
        <v>1445</v>
      </c>
      <c r="B119" s="1831" t="s">
        <v>1282</v>
      </c>
      <c r="C119" s="1834" t="s">
        <v>1283</v>
      </c>
      <c r="D119" s="1834" t="s">
        <v>954</v>
      </c>
      <c r="E119" s="1382" t="s">
        <v>237</v>
      </c>
      <c r="F119" s="1386"/>
    </row>
    <row r="120" spans="1:6" ht="15.75" thickBot="1">
      <c r="A120" s="1847"/>
      <c r="B120" s="1832"/>
      <c r="C120" s="1835"/>
      <c r="D120" s="1835"/>
      <c r="E120" s="1382" t="s">
        <v>1280</v>
      </c>
      <c r="F120" s="1386"/>
    </row>
    <row r="121" spans="1:6" ht="15.75" thickBot="1">
      <c r="A121" s="1843"/>
      <c r="B121" s="1833"/>
      <c r="C121" s="1836"/>
      <c r="D121" s="1836"/>
      <c r="E121" s="1382" t="s">
        <v>1390</v>
      </c>
      <c r="F121" s="1386"/>
    </row>
    <row r="122" spans="1:6" ht="15.75" thickBot="1">
      <c r="A122" s="1842" t="s">
        <v>1446</v>
      </c>
      <c r="B122" s="1831" t="s">
        <v>1447</v>
      </c>
      <c r="C122" s="1834" t="s">
        <v>1292</v>
      </c>
      <c r="D122" s="1834" t="s">
        <v>954</v>
      </c>
      <c r="E122" s="1382" t="s">
        <v>1284</v>
      </c>
      <c r="F122" s="1386"/>
    </row>
    <row r="123" spans="1:6" ht="15.75" thickBot="1">
      <c r="A123" s="1847"/>
      <c r="B123" s="1832"/>
      <c r="C123" s="1835"/>
      <c r="D123" s="1835"/>
      <c r="E123" s="1382" t="s">
        <v>1285</v>
      </c>
      <c r="F123" s="1386"/>
    </row>
    <row r="124" spans="1:6" ht="15.75" thickBot="1">
      <c r="A124" s="1843"/>
      <c r="B124" s="1833"/>
      <c r="C124" s="1836"/>
      <c r="D124" s="1836"/>
      <c r="E124" s="1382" t="s">
        <v>1280</v>
      </c>
      <c r="F124" s="1386"/>
    </row>
    <row r="125" spans="1:6" ht="15.75" thickBot="1">
      <c r="A125" s="1834" t="s">
        <v>1394</v>
      </c>
      <c r="B125" s="1831" t="s">
        <v>1282</v>
      </c>
      <c r="C125" s="1834" t="s">
        <v>1395</v>
      </c>
      <c r="D125" s="1834" t="s">
        <v>954</v>
      </c>
      <c r="E125" s="1382" t="s">
        <v>1285</v>
      </c>
      <c r="F125" s="1386"/>
    </row>
    <row r="126" spans="1:6" ht="15.75" thickBot="1">
      <c r="A126" s="1835"/>
      <c r="B126" s="1832"/>
      <c r="C126" s="1835"/>
      <c r="D126" s="1835"/>
      <c r="E126" s="1382" t="s">
        <v>1284</v>
      </c>
      <c r="F126" s="1386"/>
    </row>
    <row r="127" spans="1:6" ht="15.75" thickBot="1">
      <c r="A127" s="1835"/>
      <c r="B127" s="1832"/>
      <c r="C127" s="1835"/>
      <c r="D127" s="1835"/>
      <c r="E127" s="1382" t="s">
        <v>1382</v>
      </c>
      <c r="F127" s="1386"/>
    </row>
    <row r="128" spans="1:6" ht="15.75" thickBot="1">
      <c r="A128" s="1836"/>
      <c r="B128" s="1833"/>
      <c r="C128" s="1836"/>
      <c r="D128" s="1836"/>
      <c r="E128" s="1382" t="s">
        <v>1280</v>
      </c>
      <c r="F128" s="1386"/>
    </row>
    <row r="129" spans="1:6" ht="15.75" thickBot="1">
      <c r="A129" s="1837" t="s">
        <v>1448</v>
      </c>
      <c r="B129" s="1831" t="s">
        <v>1282</v>
      </c>
      <c r="C129" s="1834" t="s">
        <v>1395</v>
      </c>
      <c r="D129" s="1834" t="s">
        <v>954</v>
      </c>
      <c r="E129" s="1382" t="s">
        <v>1285</v>
      </c>
      <c r="F129" s="1386"/>
    </row>
    <row r="130" spans="1:6" ht="15.75" thickBot="1">
      <c r="A130" s="1838"/>
      <c r="B130" s="1832"/>
      <c r="C130" s="1835"/>
      <c r="D130" s="1835"/>
      <c r="E130" s="1382" t="s">
        <v>1284</v>
      </c>
      <c r="F130" s="1386"/>
    </row>
    <row r="131" spans="1:6" ht="15.75" thickBot="1">
      <c r="A131" s="1838"/>
      <c r="B131" s="1832"/>
      <c r="C131" s="1835"/>
      <c r="D131" s="1835"/>
      <c r="E131" s="1382" t="s">
        <v>1382</v>
      </c>
      <c r="F131" s="1386"/>
    </row>
    <row r="132" spans="1:6" ht="15.75" thickBot="1">
      <c r="A132" s="1841"/>
      <c r="B132" s="1833"/>
      <c r="C132" s="1836"/>
      <c r="D132" s="1836"/>
      <c r="E132" s="1382" t="s">
        <v>1280</v>
      </c>
      <c r="F132" s="1386"/>
    </row>
    <row r="133" spans="1:6" ht="15.75" thickBot="1">
      <c r="A133" s="1837" t="s">
        <v>1449</v>
      </c>
      <c r="B133" s="1831" t="s">
        <v>1282</v>
      </c>
      <c r="C133" s="1834" t="s">
        <v>1307</v>
      </c>
      <c r="D133" s="1834" t="s">
        <v>954</v>
      </c>
      <c r="E133" s="1382" t="s">
        <v>1285</v>
      </c>
      <c r="F133" s="1386"/>
    </row>
    <row r="134" spans="1:6" ht="15.75" thickBot="1">
      <c r="A134" s="1838"/>
      <c r="B134" s="1832"/>
      <c r="C134" s="1835"/>
      <c r="D134" s="1835"/>
      <c r="E134" s="1382" t="s">
        <v>1284</v>
      </c>
      <c r="F134" s="1386"/>
    </row>
    <row r="135" spans="1:6" ht="15.75" thickBot="1">
      <c r="A135" s="1838"/>
      <c r="B135" s="1832"/>
      <c r="C135" s="1835"/>
      <c r="D135" s="1835"/>
      <c r="E135" s="1382" t="s">
        <v>1382</v>
      </c>
      <c r="F135" s="1386"/>
    </row>
    <row r="136" spans="1:6" ht="15.75" thickBot="1">
      <c r="A136" s="1841"/>
      <c r="B136" s="1833"/>
      <c r="C136" s="1836"/>
      <c r="D136" s="1836"/>
      <c r="E136" s="1382" t="s">
        <v>1280</v>
      </c>
      <c r="F136" s="1386"/>
    </row>
    <row r="137" spans="1:6" ht="15.75" thickBot="1">
      <c r="A137" s="1831" t="s">
        <v>1398</v>
      </c>
      <c r="B137" s="1831" t="s">
        <v>1287</v>
      </c>
      <c r="C137" s="1834" t="s">
        <v>1307</v>
      </c>
      <c r="D137" s="1834" t="s">
        <v>954</v>
      </c>
      <c r="E137" s="1382" t="s">
        <v>1285</v>
      </c>
      <c r="F137" s="1386"/>
    </row>
    <row r="138" spans="1:6" ht="15.75" thickBot="1">
      <c r="A138" s="1832"/>
      <c r="B138" s="1832"/>
      <c r="C138" s="1835"/>
      <c r="D138" s="1835"/>
      <c r="E138" s="1382" t="s">
        <v>1284</v>
      </c>
      <c r="F138" s="1386"/>
    </row>
    <row r="139" spans="1:6" ht="15.75" thickBot="1">
      <c r="A139" s="1832"/>
      <c r="B139" s="1832"/>
      <c r="C139" s="1835"/>
      <c r="D139" s="1835"/>
      <c r="E139" s="1382" t="s">
        <v>1385</v>
      </c>
      <c r="F139" s="1386"/>
    </row>
    <row r="140" spans="1:6" ht="15.75" thickBot="1">
      <c r="A140" s="1832"/>
      <c r="B140" s="1832"/>
      <c r="C140" s="1835"/>
      <c r="D140" s="1835"/>
      <c r="E140" s="1382" t="s">
        <v>1382</v>
      </c>
      <c r="F140" s="1386"/>
    </row>
    <row r="141" spans="1:6" ht="15.75" thickBot="1">
      <c r="A141" s="1832"/>
      <c r="B141" s="1832"/>
      <c r="C141" s="1835"/>
      <c r="D141" s="1835"/>
      <c r="E141" s="1382" t="s">
        <v>1280</v>
      </c>
      <c r="F141" s="1386"/>
    </row>
    <row r="142" spans="1:6" ht="15.75" thickBot="1">
      <c r="A142" s="1832"/>
      <c r="B142" s="1832"/>
      <c r="C142" s="1835"/>
      <c r="D142" s="1835"/>
      <c r="E142" s="1382" t="s">
        <v>1387</v>
      </c>
      <c r="F142" s="1386"/>
    </row>
    <row r="143" spans="1:6" ht="15.75" thickBot="1">
      <c r="A143" s="1833"/>
      <c r="B143" s="1833"/>
      <c r="C143" s="1836"/>
      <c r="D143" s="1836"/>
      <c r="E143" s="1382" t="s">
        <v>237</v>
      </c>
      <c r="F143" s="1387"/>
    </row>
  </sheetData>
  <mergeCells count="119">
    <mergeCell ref="A75:F75"/>
    <mergeCell ref="A90:A91"/>
    <mergeCell ref="B90:B91"/>
    <mergeCell ref="C90:C91"/>
    <mergeCell ref="D90:D91"/>
    <mergeCell ref="A92:A93"/>
    <mergeCell ref="B92:B93"/>
    <mergeCell ref="C92:C93"/>
    <mergeCell ref="D92:D93"/>
    <mergeCell ref="A94:A97"/>
    <mergeCell ref="B94:B97"/>
    <mergeCell ref="C94:C97"/>
    <mergeCell ref="D94:D97"/>
    <mergeCell ref="A98:A101"/>
    <mergeCell ref="B98:B101"/>
    <mergeCell ref="C98:C101"/>
    <mergeCell ref="D98:D101"/>
    <mergeCell ref="A102:A105"/>
    <mergeCell ref="B102:B105"/>
    <mergeCell ref="C102:C105"/>
    <mergeCell ref="D102:D105"/>
    <mergeCell ref="A106:A108"/>
    <mergeCell ref="B106:B108"/>
    <mergeCell ref="C106:C108"/>
    <mergeCell ref="D106:D108"/>
    <mergeCell ref="A109:A110"/>
    <mergeCell ref="B109:B110"/>
    <mergeCell ref="C109:C110"/>
    <mergeCell ref="D109:D110"/>
    <mergeCell ref="A111:A114"/>
    <mergeCell ref="B111:B114"/>
    <mergeCell ref="C111:C114"/>
    <mergeCell ref="D111:D114"/>
    <mergeCell ref="A115:A118"/>
    <mergeCell ref="B115:B118"/>
    <mergeCell ref="C115:C118"/>
    <mergeCell ref="D115:D118"/>
    <mergeCell ref="A119:A121"/>
    <mergeCell ref="B119:B121"/>
    <mergeCell ref="C119:C121"/>
    <mergeCell ref="D119:D121"/>
    <mergeCell ref="A122:A124"/>
    <mergeCell ref="B122:B124"/>
    <mergeCell ref="C122:C124"/>
    <mergeCell ref="D122:D124"/>
    <mergeCell ref="A125:A128"/>
    <mergeCell ref="B125:B128"/>
    <mergeCell ref="C125:C128"/>
    <mergeCell ref="D125:D128"/>
    <mergeCell ref="A129:A132"/>
    <mergeCell ref="B129:B132"/>
    <mergeCell ref="C129:C132"/>
    <mergeCell ref="D129:D132"/>
    <mergeCell ref="A133:A136"/>
    <mergeCell ref="B133:B136"/>
    <mergeCell ref="C133:C136"/>
    <mergeCell ref="D133:D136"/>
    <mergeCell ref="A137:A143"/>
    <mergeCell ref="B137:B143"/>
    <mergeCell ref="C137:C143"/>
    <mergeCell ref="D137:D143"/>
    <mergeCell ref="N13:R13"/>
    <mergeCell ref="S13:W13"/>
    <mergeCell ref="J5:K5"/>
    <mergeCell ref="F18:H20"/>
    <mergeCell ref="A21:B22"/>
    <mergeCell ref="F21:H22"/>
    <mergeCell ref="B8:D8"/>
    <mergeCell ref="I13:M13"/>
    <mergeCell ref="A23:B25"/>
    <mergeCell ref="C10:H10"/>
    <mergeCell ref="A14:B14"/>
    <mergeCell ref="A15:B17"/>
    <mergeCell ref="A18:B20"/>
    <mergeCell ref="E12:H13"/>
    <mergeCell ref="F14:H14"/>
    <mergeCell ref="F15:H17"/>
    <mergeCell ref="F23:H25"/>
    <mergeCell ref="A30:B32"/>
    <mergeCell ref="F30:H32"/>
    <mergeCell ref="A33:B33"/>
    <mergeCell ref="B2:D2"/>
    <mergeCell ref="B3:D3"/>
    <mergeCell ref="B4:D4"/>
    <mergeCell ref="B6:D6"/>
    <mergeCell ref="A10:B10"/>
    <mergeCell ref="A26:C26"/>
    <mergeCell ref="F26:H26"/>
    <mergeCell ref="A27:B29"/>
    <mergeCell ref="F27:H29"/>
    <mergeCell ref="F33:H33"/>
    <mergeCell ref="A34:B34"/>
    <mergeCell ref="F34:H34"/>
    <mergeCell ref="A35:B36"/>
    <mergeCell ref="F35:H36"/>
    <mergeCell ref="A37:B39"/>
    <mergeCell ref="F37:H37"/>
    <mergeCell ref="F38:H39"/>
    <mergeCell ref="A40:B42"/>
    <mergeCell ref="F40:H41"/>
    <mergeCell ref="F42:H42"/>
    <mergeCell ref="A43:C43"/>
    <mergeCell ref="F43:H43"/>
    <mergeCell ref="A44:C44"/>
    <mergeCell ref="F44:H44"/>
    <mergeCell ref="A45:B48"/>
    <mergeCell ref="F45:H45"/>
    <mergeCell ref="F46:H46"/>
    <mergeCell ref="F47:H47"/>
    <mergeCell ref="F48:H48"/>
    <mergeCell ref="A54:B54"/>
    <mergeCell ref="F54:H54"/>
    <mergeCell ref="A49:B50"/>
    <mergeCell ref="F49:H49"/>
    <mergeCell ref="F50:H50"/>
    <mergeCell ref="A51:B53"/>
    <mergeCell ref="F51:H51"/>
    <mergeCell ref="F52:H52"/>
    <mergeCell ref="F53:H53"/>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3" location="SOMMAIRE!A1" display="Retour sommaire"/>
  </hyperlink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7E4FF"/>
  </sheetPr>
  <dimension ref="A1:W141"/>
  <sheetViews>
    <sheetView topLeftCell="A42" workbookViewId="0">
      <selection activeCell="A44" sqref="A44:C44"/>
    </sheetView>
  </sheetViews>
  <sheetFormatPr baseColWidth="10" defaultRowHeight="15"/>
  <sheetData>
    <row r="1" spans="1:23" ht="15.75" thickBot="1">
      <c r="A1" s="1055"/>
      <c r="B1" s="1055"/>
      <c r="C1" s="1055"/>
      <c r="D1" s="1055"/>
      <c r="E1" s="1055"/>
      <c r="F1" s="1055"/>
      <c r="G1" s="1055"/>
      <c r="H1" s="1055"/>
      <c r="I1" s="1055"/>
      <c r="J1" s="1055"/>
      <c r="K1" s="1055"/>
      <c r="L1" s="1055"/>
      <c r="M1" s="1055"/>
      <c r="N1" s="1055"/>
      <c r="O1" s="1055"/>
      <c r="P1" s="1055"/>
      <c r="Q1" s="1055"/>
      <c r="R1" s="1055"/>
      <c r="S1" s="1055"/>
      <c r="T1" s="1055"/>
      <c r="U1" s="1055"/>
      <c r="V1" s="1055"/>
      <c r="W1" s="1055"/>
    </row>
    <row r="2" spans="1:23" ht="15.75" thickBot="1">
      <c r="A2" s="328" t="s">
        <v>0</v>
      </c>
      <c r="B2" s="1807" t="s">
        <v>687</v>
      </c>
      <c r="C2" s="1776"/>
      <c r="D2" s="1777"/>
      <c r="E2" s="329"/>
      <c r="F2" s="329"/>
      <c r="G2" s="330" t="s">
        <v>462</v>
      </c>
      <c r="H2" s="499" t="s">
        <v>53</v>
      </c>
      <c r="I2" s="1055"/>
      <c r="J2" s="1055"/>
      <c r="K2" s="1055"/>
      <c r="L2" s="1055"/>
      <c r="M2" s="1055"/>
      <c r="N2" s="1055"/>
      <c r="O2" s="1055"/>
      <c r="P2" s="1055"/>
      <c r="Q2" s="1055"/>
      <c r="R2" s="1055"/>
      <c r="S2" s="1055"/>
      <c r="T2" s="1055"/>
      <c r="U2" s="1055"/>
      <c r="V2" s="1055"/>
      <c r="W2" s="1055"/>
    </row>
    <row r="3" spans="1:23" ht="15.75" thickBot="1">
      <c r="A3" s="331" t="s">
        <v>344</v>
      </c>
      <c r="B3" s="1808" t="s">
        <v>688</v>
      </c>
      <c r="C3" s="1776"/>
      <c r="D3" s="1777"/>
      <c r="E3" s="329"/>
      <c r="F3" s="329"/>
      <c r="G3" s="332" t="s">
        <v>10</v>
      </c>
      <c r="H3" s="408" t="s">
        <v>16</v>
      </c>
      <c r="I3" s="1055"/>
      <c r="J3" s="13" t="s">
        <v>73</v>
      </c>
      <c r="K3" s="1055"/>
      <c r="L3" s="1055"/>
      <c r="M3" s="1055"/>
      <c r="N3" s="1055"/>
      <c r="O3" s="1055"/>
      <c r="P3" s="1055"/>
      <c r="Q3" s="1055"/>
      <c r="R3" s="1055"/>
      <c r="S3" s="1055"/>
      <c r="T3" s="1055"/>
      <c r="U3" s="1055"/>
      <c r="V3" s="1055"/>
      <c r="W3" s="1055"/>
    </row>
    <row r="4" spans="1:23" ht="15.75" thickBot="1">
      <c r="A4" s="332" t="s">
        <v>3</v>
      </c>
      <c r="B4" s="1809" t="s">
        <v>163</v>
      </c>
      <c r="C4" s="1776"/>
      <c r="D4" s="1777"/>
      <c r="E4" s="333"/>
      <c r="F4" s="329"/>
      <c r="G4" s="334" t="s">
        <v>26</v>
      </c>
      <c r="H4" s="392">
        <v>9</v>
      </c>
      <c r="I4" s="1055"/>
      <c r="J4" s="1055"/>
      <c r="K4" s="1055"/>
      <c r="L4" s="1055"/>
      <c r="M4" s="1055"/>
      <c r="N4" s="1055"/>
      <c r="O4" s="1055"/>
      <c r="P4" s="1055"/>
      <c r="Q4" s="1055"/>
      <c r="R4" s="1055"/>
      <c r="S4" s="1055"/>
      <c r="T4" s="1055"/>
      <c r="U4" s="1055"/>
      <c r="V4" s="1055"/>
      <c r="W4" s="1055"/>
    </row>
    <row r="5" spans="1:23" ht="15.75" thickBot="1">
      <c r="A5" s="329"/>
      <c r="B5" s="329"/>
      <c r="C5" s="329"/>
      <c r="D5" s="329"/>
      <c r="E5" s="329"/>
      <c r="F5" s="329"/>
      <c r="G5" s="329"/>
      <c r="H5" s="329"/>
      <c r="I5" s="1055"/>
      <c r="J5" s="1846" t="s">
        <v>381</v>
      </c>
      <c r="K5" s="1846"/>
      <c r="L5" s="1055"/>
      <c r="M5" s="1055"/>
      <c r="N5" s="1055"/>
      <c r="O5" s="1055"/>
      <c r="P5" s="1055"/>
      <c r="Q5" s="1055"/>
      <c r="R5" s="1055"/>
      <c r="S5" s="1055"/>
      <c r="T5" s="1055"/>
      <c r="U5" s="1055"/>
      <c r="V5" s="1055"/>
      <c r="W5" s="1055"/>
    </row>
    <row r="6" spans="1:23" ht="105.75" thickBot="1">
      <c r="A6" s="328" t="s">
        <v>465</v>
      </c>
      <c r="B6" s="1844" t="s">
        <v>1565</v>
      </c>
      <c r="C6" s="1776"/>
      <c r="D6" s="1777"/>
      <c r="E6" s="329"/>
      <c r="F6" s="329"/>
      <c r="G6" s="335" t="s">
        <v>466</v>
      </c>
      <c r="H6" s="178" t="s">
        <v>689</v>
      </c>
      <c r="I6" s="1055"/>
      <c r="J6" s="1055"/>
      <c r="K6" s="1055"/>
      <c r="L6" s="1055"/>
      <c r="M6" s="1055"/>
      <c r="N6" s="1055"/>
      <c r="O6" s="1055"/>
      <c r="P6" s="1055"/>
      <c r="Q6" s="1055"/>
      <c r="R6" s="1055"/>
      <c r="S6" s="1055"/>
      <c r="T6" s="1055"/>
      <c r="U6" s="1055"/>
      <c r="V6" s="1055"/>
      <c r="W6" s="1055"/>
    </row>
    <row r="7" spans="1:23" ht="15.75" thickBot="1">
      <c r="A7" s="1055"/>
      <c r="B7" s="329"/>
      <c r="C7" s="329"/>
      <c r="D7" s="329"/>
      <c r="E7" s="329"/>
      <c r="F7" s="329"/>
      <c r="G7" s="337"/>
      <c r="H7" s="329"/>
      <c r="I7" s="1055"/>
      <c r="J7" s="1055"/>
      <c r="K7" s="1055"/>
      <c r="L7" s="1055"/>
      <c r="M7" s="1055"/>
      <c r="N7" s="1055"/>
      <c r="O7" s="1055"/>
      <c r="P7" s="1055"/>
      <c r="Q7" s="1055"/>
      <c r="R7" s="1055"/>
      <c r="S7" s="1055"/>
      <c r="T7" s="1055"/>
      <c r="U7" s="1055"/>
      <c r="V7" s="1055"/>
      <c r="W7" s="1055"/>
    </row>
    <row r="8" spans="1:23" ht="60.75" thickBot="1">
      <c r="A8" s="338" t="s">
        <v>7</v>
      </c>
      <c r="B8" s="1809" t="s">
        <v>690</v>
      </c>
      <c r="C8" s="1776"/>
      <c r="D8" s="1777"/>
      <c r="E8" s="333"/>
      <c r="F8" s="339"/>
      <c r="G8" s="338" t="s">
        <v>469</v>
      </c>
      <c r="H8" s="583" t="s">
        <v>537</v>
      </c>
      <c r="I8" s="1055"/>
      <c r="J8" s="1055"/>
      <c r="K8" s="1055"/>
      <c r="L8" s="1055"/>
      <c r="M8" s="1055"/>
      <c r="N8" s="1055"/>
      <c r="O8" s="1055"/>
      <c r="P8" s="1055"/>
      <c r="Q8" s="1055"/>
      <c r="R8" s="1055"/>
      <c r="S8" s="1055"/>
      <c r="T8" s="1055"/>
      <c r="U8" s="1055"/>
      <c r="V8" s="1055"/>
      <c r="W8" s="1055"/>
    </row>
    <row r="9" spans="1:23">
      <c r="A9" s="1055"/>
      <c r="B9" s="329"/>
      <c r="C9" s="329"/>
      <c r="D9" s="329"/>
      <c r="E9" s="329"/>
      <c r="F9" s="329"/>
      <c r="G9" s="337"/>
      <c r="H9" s="329"/>
      <c r="I9" s="1055"/>
      <c r="J9" s="1055"/>
      <c r="K9" s="1055"/>
      <c r="L9" s="1055"/>
      <c r="M9" s="1055"/>
      <c r="N9" s="1055"/>
      <c r="O9" s="1055"/>
      <c r="P9" s="1055"/>
      <c r="Q9" s="1055"/>
      <c r="R9" s="1055"/>
      <c r="S9" s="1055"/>
      <c r="T9" s="1055"/>
      <c r="U9" s="1055"/>
      <c r="V9" s="1055"/>
      <c r="W9" s="1055"/>
    </row>
    <row r="10" spans="1:23">
      <c r="A10" s="1813" t="s">
        <v>471</v>
      </c>
      <c r="B10" s="1772"/>
      <c r="C10" s="1806" t="s">
        <v>691</v>
      </c>
      <c r="D10" s="1806"/>
      <c r="E10" s="1806"/>
      <c r="F10" s="1806"/>
      <c r="G10" s="1806"/>
      <c r="H10" s="1806"/>
      <c r="I10" s="1055"/>
      <c r="J10" s="1325"/>
      <c r="K10" s="1055"/>
      <c r="L10" s="1055"/>
      <c r="M10" s="1055"/>
      <c r="N10" s="1055"/>
      <c r="O10" s="1055"/>
      <c r="P10" s="1055"/>
      <c r="Q10" s="1055"/>
      <c r="R10" s="1055"/>
      <c r="S10" s="1055"/>
      <c r="T10" s="1055"/>
      <c r="U10" s="1055"/>
      <c r="V10" s="1055"/>
      <c r="W10" s="1055"/>
    </row>
    <row r="11" spans="1:23">
      <c r="A11" s="343"/>
      <c r="B11" s="333"/>
      <c r="C11" s="333"/>
      <c r="D11" s="333"/>
      <c r="E11" s="333"/>
      <c r="F11" s="339"/>
      <c r="G11" s="342"/>
      <c r="H11" s="342"/>
      <c r="I11" s="1055"/>
      <c r="J11" s="107"/>
      <c r="K11" s="1055"/>
      <c r="L11" s="1055"/>
      <c r="M11" s="1055"/>
      <c r="N11" s="1055"/>
      <c r="O11" s="1055"/>
      <c r="P11" s="1055"/>
      <c r="Q11" s="1055"/>
      <c r="R11" s="1055"/>
      <c r="S11" s="1055"/>
      <c r="T11" s="1055"/>
      <c r="U11" s="1055"/>
      <c r="V11" s="1055"/>
      <c r="W11" s="1055"/>
    </row>
    <row r="12" spans="1:23">
      <c r="A12" s="343"/>
      <c r="B12" s="333"/>
      <c r="C12" s="333"/>
      <c r="D12" s="333"/>
      <c r="E12" s="1814" t="s">
        <v>473</v>
      </c>
      <c r="F12" s="1772"/>
      <c r="G12" s="1772"/>
      <c r="H12" s="1772"/>
      <c r="I12" s="1055"/>
      <c r="J12" s="1055"/>
      <c r="K12" s="1055"/>
      <c r="L12" s="1055"/>
      <c r="M12" s="1055"/>
      <c r="N12" s="1055"/>
      <c r="O12" s="1055"/>
      <c r="P12" s="1055"/>
      <c r="Q12" s="1055"/>
      <c r="R12" s="1055"/>
      <c r="S12" s="1055"/>
      <c r="T12" s="1055"/>
      <c r="U12" s="1055"/>
      <c r="V12" s="1055"/>
      <c r="W12" s="1055"/>
    </row>
    <row r="13" spans="1:23">
      <c r="A13" s="329"/>
      <c r="B13" s="329"/>
      <c r="C13" s="329"/>
      <c r="D13" s="329"/>
      <c r="E13" s="1780"/>
      <c r="F13" s="1780"/>
      <c r="G13" s="1780"/>
      <c r="H13" s="1780"/>
      <c r="I13" s="1817">
        <v>2025</v>
      </c>
      <c r="J13" s="1762"/>
      <c r="K13" s="1762"/>
      <c r="L13" s="1762"/>
      <c r="M13" s="1764"/>
      <c r="N13" s="1817">
        <v>2026</v>
      </c>
      <c r="O13" s="1762"/>
      <c r="P13" s="1762"/>
      <c r="Q13" s="1762"/>
      <c r="R13" s="1764"/>
      <c r="S13" s="1817">
        <v>2027</v>
      </c>
      <c r="T13" s="1762"/>
      <c r="U13" s="1762"/>
      <c r="V13" s="1762"/>
      <c r="W13" s="1764"/>
    </row>
    <row r="14" spans="1:23" ht="45.75" thickBot="1">
      <c r="A14" s="1816" t="s">
        <v>5</v>
      </c>
      <c r="B14" s="1792"/>
      <c r="C14" s="344" t="s">
        <v>1</v>
      </c>
      <c r="D14" s="344" t="s">
        <v>260</v>
      </c>
      <c r="E14" s="1056" t="s">
        <v>474</v>
      </c>
      <c r="F14" s="1815" t="s">
        <v>6</v>
      </c>
      <c r="G14" s="1762"/>
      <c r="H14" s="1764"/>
      <c r="I14" s="643" t="s">
        <v>474</v>
      </c>
      <c r="J14" s="644" t="s">
        <v>944</v>
      </c>
      <c r="K14" s="645" t="s">
        <v>945</v>
      </c>
      <c r="L14" s="644" t="s">
        <v>946</v>
      </c>
      <c r="M14" s="646" t="s">
        <v>947</v>
      </c>
      <c r="N14" s="643" t="s">
        <v>474</v>
      </c>
      <c r="O14" s="644" t="s">
        <v>944</v>
      </c>
      <c r="P14" s="645" t="s">
        <v>945</v>
      </c>
      <c r="Q14" s="644" t="s">
        <v>946</v>
      </c>
      <c r="R14" s="646" t="s">
        <v>947</v>
      </c>
      <c r="S14" s="643" t="s">
        <v>474</v>
      </c>
      <c r="T14" s="644" t="s">
        <v>944</v>
      </c>
      <c r="U14" s="645" t="s">
        <v>945</v>
      </c>
      <c r="V14" s="644" t="s">
        <v>946</v>
      </c>
      <c r="W14" s="646" t="s">
        <v>947</v>
      </c>
    </row>
    <row r="15" spans="1:23">
      <c r="A15" s="1804" t="s">
        <v>17</v>
      </c>
      <c r="B15" s="1771"/>
      <c r="C15" s="346" t="s">
        <v>59</v>
      </c>
      <c r="D15" s="347" t="s">
        <v>251</v>
      </c>
      <c r="E15" s="500"/>
      <c r="F15" s="1791" t="s">
        <v>475</v>
      </c>
      <c r="G15" s="1771"/>
      <c r="H15" s="1792"/>
      <c r="I15" s="650"/>
      <c r="J15" s="648"/>
      <c r="K15" s="648"/>
      <c r="L15" s="648"/>
      <c r="M15" s="649"/>
      <c r="N15" s="650"/>
      <c r="O15" s="648"/>
      <c r="P15" s="648"/>
      <c r="Q15" s="648"/>
      <c r="R15" s="753"/>
      <c r="S15" s="754"/>
      <c r="T15" s="755"/>
      <c r="U15" s="755"/>
      <c r="V15" s="755"/>
      <c r="W15" s="756"/>
    </row>
    <row r="16" spans="1:23">
      <c r="A16" s="1772"/>
      <c r="B16" s="1772"/>
      <c r="C16" s="349" t="s">
        <v>18</v>
      </c>
      <c r="D16" s="350" t="s">
        <v>168</v>
      </c>
      <c r="E16" s="501"/>
      <c r="F16" s="1845"/>
      <c r="G16" s="1845"/>
      <c r="H16" s="1799"/>
      <c r="I16" s="653"/>
      <c r="J16" s="632"/>
      <c r="K16" s="632"/>
      <c r="L16" s="632"/>
      <c r="M16" s="632"/>
      <c r="N16" s="653"/>
      <c r="O16" s="632"/>
      <c r="P16" s="632"/>
      <c r="Q16" s="632"/>
      <c r="R16" s="703"/>
      <c r="S16" s="757"/>
      <c r="T16" s="758"/>
      <c r="U16" s="758"/>
      <c r="V16" s="758"/>
      <c r="W16" s="759"/>
    </row>
    <row r="17" spans="1:23" ht="15.75" thickBot="1">
      <c r="A17" s="1780"/>
      <c r="B17" s="1780"/>
      <c r="C17" s="352" t="s">
        <v>19</v>
      </c>
      <c r="D17" s="353" t="s">
        <v>233</v>
      </c>
      <c r="E17" s="493"/>
      <c r="F17" s="1780"/>
      <c r="G17" s="1780"/>
      <c r="H17" s="1793"/>
      <c r="I17" s="656"/>
      <c r="J17" s="632"/>
      <c r="K17" s="632"/>
      <c r="L17" s="632"/>
      <c r="M17" s="632"/>
      <c r="N17" s="656"/>
      <c r="O17" s="632"/>
      <c r="P17" s="632"/>
      <c r="Q17" s="632"/>
      <c r="R17" s="703"/>
      <c r="S17" s="757"/>
      <c r="T17" s="758"/>
      <c r="U17" s="758"/>
      <c r="V17" s="758"/>
      <c r="W17" s="759"/>
    </row>
    <row r="18" spans="1:23">
      <c r="A18" s="1804" t="s">
        <v>20</v>
      </c>
      <c r="B18" s="1771"/>
      <c r="C18" s="346" t="s">
        <v>54</v>
      </c>
      <c r="D18" s="353" t="s">
        <v>261</v>
      </c>
      <c r="E18" s="493"/>
      <c r="F18" s="1828" t="s">
        <v>692</v>
      </c>
      <c r="G18" s="1771"/>
      <c r="H18" s="1792"/>
      <c r="I18" s="656"/>
      <c r="J18" s="632"/>
      <c r="K18" s="632"/>
      <c r="L18" s="632"/>
      <c r="M18" s="632"/>
      <c r="N18" s="656"/>
      <c r="O18" s="632"/>
      <c r="P18" s="632"/>
      <c r="Q18" s="632"/>
      <c r="R18" s="703"/>
      <c r="S18" s="757"/>
      <c r="T18" s="758"/>
      <c r="U18" s="758"/>
      <c r="V18" s="758"/>
      <c r="W18" s="759"/>
    </row>
    <row r="19" spans="1:23">
      <c r="A19" s="1772"/>
      <c r="B19" s="1772"/>
      <c r="C19" s="355" t="s">
        <v>21</v>
      </c>
      <c r="D19" s="353" t="s">
        <v>234</v>
      </c>
      <c r="E19" s="493"/>
      <c r="F19" s="1845"/>
      <c r="G19" s="1845"/>
      <c r="H19" s="1799"/>
      <c r="I19" s="656"/>
      <c r="J19" s="632"/>
      <c r="K19" s="632"/>
      <c r="L19" s="632"/>
      <c r="M19" s="632"/>
      <c r="N19" s="656"/>
      <c r="O19" s="632"/>
      <c r="P19" s="632"/>
      <c r="Q19" s="632"/>
      <c r="R19" s="703"/>
      <c r="S19" s="757"/>
      <c r="T19" s="758"/>
      <c r="U19" s="758"/>
      <c r="V19" s="758"/>
      <c r="W19" s="759"/>
    </row>
    <row r="20" spans="1:23" ht="15.75" thickBot="1">
      <c r="A20" s="1772"/>
      <c r="B20" s="1772"/>
      <c r="C20" s="352" t="s">
        <v>22</v>
      </c>
      <c r="D20" s="353" t="s">
        <v>235</v>
      </c>
      <c r="E20" s="418" t="s">
        <v>554</v>
      </c>
      <c r="F20" s="1780"/>
      <c r="G20" s="1780"/>
      <c r="H20" s="1793"/>
      <c r="I20" s="326" t="s">
        <v>554</v>
      </c>
      <c r="J20" s="632">
        <v>3</v>
      </c>
      <c r="K20" s="632">
        <v>3</v>
      </c>
      <c r="L20" s="632">
        <v>240</v>
      </c>
      <c r="M20" s="760">
        <v>367200</v>
      </c>
      <c r="N20" s="326" t="s">
        <v>554</v>
      </c>
      <c r="O20" s="632">
        <v>3</v>
      </c>
      <c r="P20" s="632">
        <v>3</v>
      </c>
      <c r="Q20" s="632">
        <v>240</v>
      </c>
      <c r="R20" s="761">
        <v>367200</v>
      </c>
      <c r="S20" s="762" t="s">
        <v>554</v>
      </c>
      <c r="T20" s="758">
        <v>3</v>
      </c>
      <c r="U20" s="758">
        <v>3</v>
      </c>
      <c r="V20" s="758">
        <v>240</v>
      </c>
      <c r="W20" s="763">
        <v>367200</v>
      </c>
    </row>
    <row r="21" spans="1:23" ht="60">
      <c r="A21" s="1804" t="s">
        <v>23</v>
      </c>
      <c r="B21" s="1771"/>
      <c r="C21" s="356" t="s">
        <v>69</v>
      </c>
      <c r="D21" s="353" t="s">
        <v>267</v>
      </c>
      <c r="E21" s="493"/>
      <c r="F21" s="1828" t="s">
        <v>477</v>
      </c>
      <c r="G21" s="1771"/>
      <c r="H21" s="1792"/>
      <c r="I21" s="656"/>
      <c r="J21" s="632"/>
      <c r="K21" s="632"/>
      <c r="L21" s="632"/>
      <c r="M21" s="632"/>
      <c r="N21" s="656"/>
      <c r="O21" s="632"/>
      <c r="P21" s="632"/>
      <c r="Q21" s="632"/>
      <c r="R21" s="703"/>
      <c r="S21" s="757"/>
      <c r="T21" s="758"/>
      <c r="U21" s="758"/>
      <c r="V21" s="758"/>
      <c r="W21" s="759"/>
    </row>
    <row r="22" spans="1:23" ht="60.75" thickBot="1">
      <c r="A22" s="1780"/>
      <c r="B22" s="1780"/>
      <c r="C22" s="357" t="s">
        <v>24</v>
      </c>
      <c r="D22" s="358" t="s">
        <v>236</v>
      </c>
      <c r="E22" s="493"/>
      <c r="F22" s="1780"/>
      <c r="G22" s="1780"/>
      <c r="H22" s="1793"/>
      <c r="I22" s="656"/>
      <c r="J22" s="632"/>
      <c r="K22" s="632"/>
      <c r="L22" s="632"/>
      <c r="M22" s="632"/>
      <c r="N22" s="656"/>
      <c r="O22" s="632"/>
      <c r="P22" s="632"/>
      <c r="Q22" s="632"/>
      <c r="R22" s="703"/>
      <c r="S22" s="757"/>
      <c r="T22" s="758"/>
      <c r="U22" s="758"/>
      <c r="V22" s="758"/>
      <c r="W22" s="759"/>
    </row>
    <row r="23" spans="1:23" ht="15.75">
      <c r="A23" s="1801" t="s">
        <v>478</v>
      </c>
      <c r="B23" s="1792"/>
      <c r="C23" s="359" t="s">
        <v>360</v>
      </c>
      <c r="D23" s="358" t="s">
        <v>265</v>
      </c>
      <c r="E23" s="493"/>
      <c r="F23" s="1791" t="s">
        <v>477</v>
      </c>
      <c r="G23" s="1771"/>
      <c r="H23" s="1792"/>
      <c r="I23" s="656"/>
      <c r="J23" s="632"/>
      <c r="K23" s="632"/>
      <c r="L23" s="632"/>
      <c r="M23" s="632"/>
      <c r="N23" s="656"/>
      <c r="O23" s="632"/>
      <c r="P23" s="632"/>
      <c r="Q23" s="632"/>
      <c r="R23" s="703"/>
      <c r="S23" s="757"/>
      <c r="T23" s="758"/>
      <c r="U23" s="758"/>
      <c r="V23" s="758"/>
      <c r="W23" s="759"/>
    </row>
    <row r="24" spans="1:23" ht="15.75">
      <c r="A24" s="1779"/>
      <c r="B24" s="1799"/>
      <c r="C24" s="360" t="s">
        <v>361</v>
      </c>
      <c r="D24" s="358" t="s">
        <v>362</v>
      </c>
      <c r="E24" s="493"/>
      <c r="F24" s="1845"/>
      <c r="G24" s="1845"/>
      <c r="H24" s="1799"/>
      <c r="I24" s="656"/>
      <c r="J24" s="632"/>
      <c r="K24" s="632"/>
      <c r="L24" s="632"/>
      <c r="M24" s="632"/>
      <c r="N24" s="656"/>
      <c r="O24" s="632"/>
      <c r="P24" s="632"/>
      <c r="Q24" s="632"/>
      <c r="R24" s="703"/>
      <c r="S24" s="757"/>
      <c r="T24" s="758"/>
      <c r="U24" s="758"/>
      <c r="V24" s="758"/>
      <c r="W24" s="759"/>
    </row>
    <row r="25" spans="1:23" ht="16.5" thickBot="1">
      <c r="A25" s="1779"/>
      <c r="B25" s="1799"/>
      <c r="C25" s="361" t="s">
        <v>479</v>
      </c>
      <c r="D25" s="358" t="s">
        <v>480</v>
      </c>
      <c r="E25" s="493"/>
      <c r="F25" s="1780"/>
      <c r="G25" s="1780"/>
      <c r="H25" s="1793"/>
      <c r="I25" s="656"/>
      <c r="J25" s="632"/>
      <c r="K25" s="632"/>
      <c r="L25" s="632"/>
      <c r="M25" s="632"/>
      <c r="N25" s="656"/>
      <c r="O25" s="632"/>
      <c r="P25" s="632"/>
      <c r="Q25" s="632"/>
      <c r="R25" s="703"/>
      <c r="S25" s="757"/>
      <c r="T25" s="758"/>
      <c r="U25" s="758"/>
      <c r="V25" s="758"/>
      <c r="W25" s="759"/>
    </row>
    <row r="26" spans="1:23" ht="15.75" thickBot="1">
      <c r="A26" s="1802" t="s">
        <v>25</v>
      </c>
      <c r="B26" s="1776"/>
      <c r="C26" s="1777"/>
      <c r="D26" s="362" t="s">
        <v>270</v>
      </c>
      <c r="E26" s="493"/>
      <c r="F26" s="1763" t="s">
        <v>481</v>
      </c>
      <c r="G26" s="1762"/>
      <c r="H26" s="1764"/>
      <c r="I26" s="656"/>
      <c r="J26" s="632"/>
      <c r="K26" s="632"/>
      <c r="L26" s="632"/>
      <c r="M26" s="632"/>
      <c r="N26" s="656"/>
      <c r="O26" s="632"/>
      <c r="P26" s="632"/>
      <c r="Q26" s="632"/>
      <c r="R26" s="703"/>
      <c r="S26" s="757"/>
      <c r="T26" s="758"/>
      <c r="U26" s="758"/>
      <c r="V26" s="758"/>
      <c r="W26" s="759"/>
    </row>
    <row r="27" spans="1:23" ht="15.75">
      <c r="A27" s="1803" t="s">
        <v>153</v>
      </c>
      <c r="B27" s="1788"/>
      <c r="C27" s="363" t="s">
        <v>152</v>
      </c>
      <c r="D27" s="364" t="s">
        <v>268</v>
      </c>
      <c r="E27" s="493"/>
      <c r="F27" s="1791" t="s">
        <v>475</v>
      </c>
      <c r="G27" s="1771"/>
      <c r="H27" s="1792"/>
      <c r="I27" s="656"/>
      <c r="J27" s="632"/>
      <c r="K27" s="632"/>
      <c r="L27" s="632"/>
      <c r="M27" s="632"/>
      <c r="N27" s="656"/>
      <c r="O27" s="632"/>
      <c r="P27" s="632"/>
      <c r="Q27" s="632"/>
      <c r="R27" s="703"/>
      <c r="S27" s="757"/>
      <c r="T27" s="758"/>
      <c r="U27" s="758"/>
      <c r="V27" s="758"/>
      <c r="W27" s="759"/>
    </row>
    <row r="28" spans="1:23" ht="15.75">
      <c r="A28" s="1779"/>
      <c r="B28" s="1788"/>
      <c r="C28" s="365" t="s">
        <v>154</v>
      </c>
      <c r="D28" s="364" t="s">
        <v>392</v>
      </c>
      <c r="E28" s="493"/>
      <c r="F28" s="1845"/>
      <c r="G28" s="1845"/>
      <c r="H28" s="1799"/>
      <c r="I28" s="656"/>
      <c r="J28" s="632"/>
      <c r="K28" s="632"/>
      <c r="L28" s="632"/>
      <c r="M28" s="632"/>
      <c r="N28" s="656"/>
      <c r="O28" s="632"/>
      <c r="P28" s="632"/>
      <c r="Q28" s="632"/>
      <c r="R28" s="703"/>
      <c r="S28" s="757"/>
      <c r="T28" s="758"/>
      <c r="U28" s="758"/>
      <c r="V28" s="758"/>
      <c r="W28" s="759"/>
    </row>
    <row r="29" spans="1:23" ht="16.5" thickBot="1">
      <c r="A29" s="1767"/>
      <c r="B29" s="1768"/>
      <c r="C29" s="366" t="s">
        <v>400</v>
      </c>
      <c r="D29" s="364" t="s">
        <v>393</v>
      </c>
      <c r="E29" s="493"/>
      <c r="F29" s="1780"/>
      <c r="G29" s="1780"/>
      <c r="H29" s="1793"/>
      <c r="I29" s="656"/>
      <c r="J29" s="632"/>
      <c r="K29" s="632"/>
      <c r="L29" s="632"/>
      <c r="M29" s="632"/>
      <c r="N29" s="656"/>
      <c r="O29" s="632"/>
      <c r="P29" s="632"/>
      <c r="Q29" s="632"/>
      <c r="R29" s="703"/>
      <c r="S29" s="757"/>
      <c r="T29" s="758"/>
      <c r="U29" s="758"/>
      <c r="V29" s="758"/>
      <c r="W29" s="759"/>
    </row>
    <row r="30" spans="1:23" ht="15.75">
      <c r="A30" s="1797" t="s">
        <v>153</v>
      </c>
      <c r="B30" s="1766"/>
      <c r="C30" s="367" t="s">
        <v>155</v>
      </c>
      <c r="D30" s="364" t="s">
        <v>266</v>
      </c>
      <c r="E30" s="493"/>
      <c r="F30" s="1791" t="s">
        <v>475</v>
      </c>
      <c r="G30" s="1771"/>
      <c r="H30" s="1792"/>
      <c r="I30" s="656"/>
      <c r="J30" s="632"/>
      <c r="K30" s="632"/>
      <c r="L30" s="632"/>
      <c r="M30" s="632"/>
      <c r="N30" s="656"/>
      <c r="O30" s="632"/>
      <c r="P30" s="632"/>
      <c r="Q30" s="632"/>
      <c r="R30" s="703"/>
      <c r="S30" s="757"/>
      <c r="T30" s="758"/>
      <c r="U30" s="758"/>
      <c r="V30" s="758"/>
      <c r="W30" s="759"/>
    </row>
    <row r="31" spans="1:23" ht="15.75">
      <c r="A31" s="1779"/>
      <c r="B31" s="1788"/>
      <c r="C31" s="365" t="s">
        <v>156</v>
      </c>
      <c r="D31" s="364" t="s">
        <v>394</v>
      </c>
      <c r="E31" s="493"/>
      <c r="F31" s="1845"/>
      <c r="G31" s="1845"/>
      <c r="H31" s="1799"/>
      <c r="I31" s="656"/>
      <c r="J31" s="632"/>
      <c r="K31" s="632"/>
      <c r="L31" s="632"/>
      <c r="M31" s="632"/>
      <c r="N31" s="656"/>
      <c r="O31" s="632"/>
      <c r="P31" s="632"/>
      <c r="Q31" s="632"/>
      <c r="R31" s="703"/>
      <c r="S31" s="757"/>
      <c r="T31" s="758"/>
      <c r="U31" s="758"/>
      <c r="V31" s="758"/>
      <c r="W31" s="759"/>
    </row>
    <row r="32" spans="1:23" ht="16.5" thickBot="1">
      <c r="A32" s="1767"/>
      <c r="B32" s="1768"/>
      <c r="C32" s="366" t="s">
        <v>399</v>
      </c>
      <c r="D32" s="364" t="s">
        <v>395</v>
      </c>
      <c r="E32" s="493"/>
      <c r="F32" s="1780"/>
      <c r="G32" s="1780"/>
      <c r="H32" s="1793"/>
      <c r="I32" s="656"/>
      <c r="J32" s="632"/>
      <c r="K32" s="632"/>
      <c r="L32" s="632"/>
      <c r="M32" s="632"/>
      <c r="N32" s="656"/>
      <c r="O32" s="632"/>
      <c r="P32" s="632"/>
      <c r="Q32" s="632"/>
      <c r="R32" s="703"/>
      <c r="S32" s="757"/>
      <c r="T32" s="758"/>
      <c r="U32" s="758"/>
      <c r="V32" s="758"/>
      <c r="W32" s="759"/>
    </row>
    <row r="33" spans="1:23" ht="16.5" thickBot="1">
      <c r="A33" s="1797" t="s">
        <v>482</v>
      </c>
      <c r="B33" s="1766"/>
      <c r="C33" s="367" t="s">
        <v>365</v>
      </c>
      <c r="D33" s="364" t="s">
        <v>252</v>
      </c>
      <c r="E33" s="493"/>
      <c r="F33" s="1791" t="s">
        <v>483</v>
      </c>
      <c r="G33" s="1771"/>
      <c r="H33" s="1792"/>
      <c r="I33" s="656"/>
      <c r="J33" s="632"/>
      <c r="K33" s="632"/>
      <c r="L33" s="632"/>
      <c r="M33" s="632"/>
      <c r="N33" s="656"/>
      <c r="O33" s="632"/>
      <c r="P33" s="632"/>
      <c r="Q33" s="632"/>
      <c r="R33" s="703"/>
      <c r="S33" s="757"/>
      <c r="T33" s="758"/>
      <c r="U33" s="758"/>
      <c r="V33" s="758"/>
      <c r="W33" s="759"/>
    </row>
    <row r="34" spans="1:23" ht="16.5" thickBot="1">
      <c r="A34" s="1797" t="s">
        <v>484</v>
      </c>
      <c r="B34" s="1766"/>
      <c r="C34" s="367" t="s">
        <v>485</v>
      </c>
      <c r="D34" s="364" t="s">
        <v>264</v>
      </c>
      <c r="E34" s="493"/>
      <c r="F34" s="1800"/>
      <c r="G34" s="1771"/>
      <c r="H34" s="1792"/>
      <c r="I34" s="656"/>
      <c r="J34" s="632"/>
      <c r="K34" s="632"/>
      <c r="L34" s="632"/>
      <c r="M34" s="632"/>
      <c r="N34" s="656"/>
      <c r="O34" s="632"/>
      <c r="P34" s="632"/>
      <c r="Q34" s="632"/>
      <c r="R34" s="703"/>
      <c r="S34" s="757"/>
      <c r="T34" s="758"/>
      <c r="U34" s="758"/>
      <c r="V34" s="758"/>
      <c r="W34" s="759"/>
    </row>
    <row r="35" spans="1:23" ht="15.75">
      <c r="A35" s="1795" t="s">
        <v>486</v>
      </c>
      <c r="B35" s="1766"/>
      <c r="C35" s="368" t="s">
        <v>43</v>
      </c>
      <c r="D35" s="369" t="s">
        <v>256</v>
      </c>
      <c r="E35" s="493"/>
      <c r="F35" s="1791" t="s">
        <v>487</v>
      </c>
      <c r="G35" s="1771"/>
      <c r="H35" s="1792"/>
      <c r="I35" s="656"/>
      <c r="J35" s="632"/>
      <c r="K35" s="632"/>
      <c r="L35" s="632"/>
      <c r="M35" s="632"/>
      <c r="N35" s="656"/>
      <c r="O35" s="632"/>
      <c r="P35" s="632"/>
      <c r="Q35" s="632"/>
      <c r="R35" s="703"/>
      <c r="S35" s="757"/>
      <c r="T35" s="758"/>
      <c r="U35" s="758"/>
      <c r="V35" s="758"/>
      <c r="W35" s="759"/>
    </row>
    <row r="36" spans="1:23" ht="16.5" thickBot="1">
      <c r="A36" s="1767"/>
      <c r="B36" s="1768"/>
      <c r="C36" s="370" t="s">
        <v>60</v>
      </c>
      <c r="D36" s="369" t="s">
        <v>257</v>
      </c>
      <c r="E36" s="493"/>
      <c r="F36" s="1780"/>
      <c r="G36" s="1780"/>
      <c r="H36" s="1793"/>
      <c r="I36" s="656"/>
      <c r="J36" s="632"/>
      <c r="K36" s="632"/>
      <c r="L36" s="632"/>
      <c r="M36" s="632"/>
      <c r="N36" s="656"/>
      <c r="O36" s="632"/>
      <c r="P36" s="632"/>
      <c r="Q36" s="632"/>
      <c r="R36" s="703"/>
      <c r="S36" s="757"/>
      <c r="T36" s="758"/>
      <c r="U36" s="758"/>
      <c r="V36" s="758"/>
      <c r="W36" s="759"/>
    </row>
    <row r="37" spans="1:23" ht="135">
      <c r="A37" s="1796" t="s">
        <v>33</v>
      </c>
      <c r="B37" s="1771"/>
      <c r="C37" s="371" t="s">
        <v>30</v>
      </c>
      <c r="D37" s="372" t="s">
        <v>170</v>
      </c>
      <c r="E37" s="418" t="s">
        <v>554</v>
      </c>
      <c r="F37" s="1820" t="s">
        <v>693</v>
      </c>
      <c r="G37" s="1771"/>
      <c r="H37" s="1792"/>
      <c r="I37" s="326" t="s">
        <v>554</v>
      </c>
      <c r="J37" s="632">
        <v>2</v>
      </c>
      <c r="K37" s="632">
        <v>1</v>
      </c>
      <c r="L37" s="632">
        <v>150</v>
      </c>
      <c r="M37" s="760">
        <v>90750</v>
      </c>
      <c r="N37" s="326" t="s">
        <v>554</v>
      </c>
      <c r="O37" s="632">
        <v>2</v>
      </c>
      <c r="P37" s="632">
        <v>1</v>
      </c>
      <c r="Q37" s="632">
        <v>150</v>
      </c>
      <c r="R37" s="761">
        <v>90750</v>
      </c>
      <c r="S37" s="762" t="s">
        <v>554</v>
      </c>
      <c r="T37" s="758">
        <v>2</v>
      </c>
      <c r="U37" s="758">
        <v>1</v>
      </c>
      <c r="V37" s="758">
        <v>150</v>
      </c>
      <c r="W37" s="763">
        <v>90750</v>
      </c>
    </row>
    <row r="38" spans="1:23" ht="135">
      <c r="A38" s="1779"/>
      <c r="B38" s="1772"/>
      <c r="C38" s="373" t="s">
        <v>31</v>
      </c>
      <c r="D38" s="372" t="s">
        <v>169</v>
      </c>
      <c r="E38" s="418" t="s">
        <v>554</v>
      </c>
      <c r="F38" s="1820" t="s">
        <v>694</v>
      </c>
      <c r="G38" s="1771"/>
      <c r="H38" s="1792"/>
      <c r="I38" s="326" t="s">
        <v>554</v>
      </c>
      <c r="J38" s="632">
        <v>2</v>
      </c>
      <c r="K38" s="632">
        <v>0</v>
      </c>
      <c r="L38" s="632">
        <v>200</v>
      </c>
      <c r="M38" s="760">
        <v>177000</v>
      </c>
      <c r="N38" s="326" t="s">
        <v>554</v>
      </c>
      <c r="O38" s="632">
        <v>1</v>
      </c>
      <c r="P38" s="632">
        <v>0</v>
      </c>
      <c r="Q38" s="632">
        <v>80</v>
      </c>
      <c r="R38" s="761">
        <v>70800</v>
      </c>
      <c r="S38" s="762" t="s">
        <v>554</v>
      </c>
      <c r="T38" s="758">
        <v>2</v>
      </c>
      <c r="U38" s="758">
        <v>0</v>
      </c>
      <c r="V38" s="758">
        <v>200</v>
      </c>
      <c r="W38" s="763">
        <v>177000</v>
      </c>
    </row>
    <row r="39" spans="1:23" ht="135.75" thickBot="1">
      <c r="A39" s="1779"/>
      <c r="B39" s="1772"/>
      <c r="C39" s="374" t="s">
        <v>32</v>
      </c>
      <c r="D39" s="372" t="s">
        <v>250</v>
      </c>
      <c r="E39" s="493"/>
      <c r="F39" s="1780"/>
      <c r="G39" s="1780"/>
      <c r="H39" s="1793"/>
      <c r="I39" s="656"/>
      <c r="J39" s="632"/>
      <c r="K39" s="632"/>
      <c r="L39" s="632"/>
      <c r="M39" s="632"/>
      <c r="N39" s="656"/>
      <c r="O39" s="632"/>
      <c r="P39" s="632"/>
      <c r="Q39" s="632"/>
      <c r="R39" s="703"/>
      <c r="S39" s="757"/>
      <c r="T39" s="758"/>
      <c r="U39" s="758"/>
      <c r="V39" s="758"/>
      <c r="W39" s="759"/>
    </row>
    <row r="40" spans="1:23" ht="15.75">
      <c r="A40" s="1786" t="s">
        <v>491</v>
      </c>
      <c r="B40" s="1787"/>
      <c r="C40" s="375" t="s">
        <v>144</v>
      </c>
      <c r="D40" s="376" t="s">
        <v>253</v>
      </c>
      <c r="E40" s="493" t="s">
        <v>554</v>
      </c>
      <c r="F40" s="1828" t="s">
        <v>695</v>
      </c>
      <c r="G40" s="1771"/>
      <c r="H40" s="1792"/>
      <c r="I40" s="326" t="s">
        <v>554</v>
      </c>
      <c r="J40" s="632">
        <v>3</v>
      </c>
      <c r="K40" s="632">
        <v>0</v>
      </c>
      <c r="L40" s="632">
        <v>15</v>
      </c>
      <c r="M40" s="760">
        <v>11250</v>
      </c>
      <c r="N40" s="326" t="s">
        <v>554</v>
      </c>
      <c r="O40" s="632">
        <v>3</v>
      </c>
      <c r="P40" s="632">
        <v>0</v>
      </c>
      <c r="Q40" s="632">
        <v>15</v>
      </c>
      <c r="R40" s="761">
        <v>11250</v>
      </c>
      <c r="S40" s="762" t="s">
        <v>554</v>
      </c>
      <c r="T40" s="758">
        <v>3</v>
      </c>
      <c r="U40" s="758">
        <v>0</v>
      </c>
      <c r="V40" s="758">
        <v>15</v>
      </c>
      <c r="W40" s="763">
        <v>11250</v>
      </c>
    </row>
    <row r="41" spans="1:23" ht="16.5" thickBot="1">
      <c r="A41" s="1772"/>
      <c r="B41" s="1788"/>
      <c r="C41" s="377" t="s">
        <v>145</v>
      </c>
      <c r="D41" s="376" t="s">
        <v>254</v>
      </c>
      <c r="E41" s="493" t="s">
        <v>554</v>
      </c>
      <c r="F41" s="1780"/>
      <c r="G41" s="1780"/>
      <c r="H41" s="1793"/>
      <c r="I41" s="326" t="s">
        <v>554</v>
      </c>
      <c r="J41" s="632">
        <v>2</v>
      </c>
      <c r="K41" s="632">
        <v>0</v>
      </c>
      <c r="L41" s="632">
        <v>10</v>
      </c>
      <c r="M41" s="760">
        <v>10050</v>
      </c>
      <c r="N41" s="326" t="s">
        <v>554</v>
      </c>
      <c r="O41" s="632">
        <v>2</v>
      </c>
      <c r="P41" s="632">
        <v>0</v>
      </c>
      <c r="Q41" s="632">
        <v>10</v>
      </c>
      <c r="R41" s="761">
        <v>10050</v>
      </c>
      <c r="S41" s="762" t="s">
        <v>554</v>
      </c>
      <c r="T41" s="758">
        <v>2</v>
      </c>
      <c r="U41" s="758">
        <v>0</v>
      </c>
      <c r="V41" s="758">
        <v>10</v>
      </c>
      <c r="W41" s="763">
        <v>10050</v>
      </c>
    </row>
    <row r="42" spans="1:23" ht="205.5" thickBot="1">
      <c r="A42" s="1789"/>
      <c r="B42" s="1790"/>
      <c r="C42" s="378" t="s">
        <v>128</v>
      </c>
      <c r="D42" s="376" t="s">
        <v>262</v>
      </c>
      <c r="E42" s="493" t="s">
        <v>554</v>
      </c>
      <c r="F42" s="1794"/>
      <c r="G42" s="1762"/>
      <c r="H42" s="1764"/>
      <c r="I42" s="326" t="s">
        <v>554</v>
      </c>
      <c r="J42" s="632">
        <v>2</v>
      </c>
      <c r="K42" s="632">
        <v>0</v>
      </c>
      <c r="L42" s="632">
        <v>6</v>
      </c>
      <c r="M42" s="760">
        <v>2160</v>
      </c>
      <c r="N42" s="326" t="s">
        <v>554</v>
      </c>
      <c r="O42" s="632">
        <v>2</v>
      </c>
      <c r="P42" s="632">
        <v>0</v>
      </c>
      <c r="Q42" s="632">
        <v>6</v>
      </c>
      <c r="R42" s="761">
        <v>2160</v>
      </c>
      <c r="S42" s="762" t="s">
        <v>554</v>
      </c>
      <c r="T42" s="758">
        <v>2</v>
      </c>
      <c r="U42" s="758">
        <v>0</v>
      </c>
      <c r="V42" s="758">
        <v>6</v>
      </c>
      <c r="W42" s="763">
        <v>2160</v>
      </c>
    </row>
    <row r="43" spans="1:23" s="61" customFormat="1" ht="15.75" customHeight="1" thickBot="1">
      <c r="A43" s="1786" t="s">
        <v>493</v>
      </c>
      <c r="B43" s="1787"/>
      <c r="C43" s="1675"/>
      <c r="D43" s="376" t="s">
        <v>237</v>
      </c>
      <c r="E43" s="403"/>
      <c r="F43" s="1855" t="s">
        <v>696</v>
      </c>
      <c r="G43" s="1856"/>
      <c r="H43" s="1857"/>
      <c r="I43" s="1677" t="s">
        <v>554</v>
      </c>
      <c r="J43" s="1678">
        <v>3</v>
      </c>
      <c r="K43" s="1678">
        <v>0</v>
      </c>
      <c r="L43" s="1678">
        <v>10</v>
      </c>
      <c r="M43" s="1679">
        <v>30250</v>
      </c>
      <c r="N43" s="1677" t="s">
        <v>554</v>
      </c>
      <c r="O43" s="1678">
        <v>3</v>
      </c>
      <c r="P43" s="1678">
        <v>0</v>
      </c>
      <c r="Q43" s="1678">
        <v>10</v>
      </c>
      <c r="R43" s="1680">
        <v>30250</v>
      </c>
      <c r="S43" s="1681" t="s">
        <v>554</v>
      </c>
      <c r="T43" s="1682">
        <v>3</v>
      </c>
      <c r="U43" s="1682">
        <v>0</v>
      </c>
      <c r="V43" s="1682">
        <v>10</v>
      </c>
      <c r="W43" s="1683">
        <v>30250</v>
      </c>
    </row>
    <row r="44" spans="1:23" ht="15.75" thickBot="1">
      <c r="A44" s="1775" t="s">
        <v>133</v>
      </c>
      <c r="B44" s="1776"/>
      <c r="C44" s="1777"/>
      <c r="D44" s="379" t="s">
        <v>238</v>
      </c>
      <c r="E44" s="493"/>
      <c r="F44" s="1763" t="s">
        <v>495</v>
      </c>
      <c r="G44" s="1762"/>
      <c r="H44" s="1764"/>
      <c r="I44" s="656"/>
      <c r="J44" s="632"/>
      <c r="K44" s="632"/>
      <c r="L44" s="632"/>
      <c r="M44" s="632"/>
      <c r="N44" s="656"/>
      <c r="O44" s="632"/>
      <c r="P44" s="632"/>
      <c r="Q44" s="632"/>
      <c r="R44" s="703"/>
      <c r="S44" s="757"/>
      <c r="T44" s="758"/>
      <c r="U44" s="758"/>
      <c r="V44" s="758"/>
      <c r="W44" s="759"/>
    </row>
    <row r="45" spans="1:23">
      <c r="A45" s="1778" t="s">
        <v>41</v>
      </c>
      <c r="B45" s="1772"/>
      <c r="C45" s="380" t="s">
        <v>50</v>
      </c>
      <c r="D45" s="381" t="s">
        <v>246</v>
      </c>
      <c r="E45" s="493"/>
      <c r="F45" s="1781" t="s">
        <v>560</v>
      </c>
      <c r="G45" s="1762"/>
      <c r="H45" s="1764"/>
      <c r="I45" s="656"/>
      <c r="J45" s="632"/>
      <c r="K45" s="632"/>
      <c r="L45" s="632"/>
      <c r="M45" s="632"/>
      <c r="N45" s="656"/>
      <c r="O45" s="632"/>
      <c r="P45" s="632"/>
      <c r="Q45" s="632"/>
      <c r="R45" s="703"/>
      <c r="S45" s="757"/>
      <c r="T45" s="758"/>
      <c r="U45" s="758"/>
      <c r="V45" s="758"/>
      <c r="W45" s="759"/>
    </row>
    <row r="46" spans="1:23">
      <c r="A46" s="1779"/>
      <c r="B46" s="1772"/>
      <c r="C46" s="382" t="s">
        <v>51</v>
      </c>
      <c r="D46" s="381" t="s">
        <v>247</v>
      </c>
      <c r="E46" s="493" t="s">
        <v>554</v>
      </c>
      <c r="F46" s="1785" t="s">
        <v>697</v>
      </c>
      <c r="G46" s="1762"/>
      <c r="H46" s="1764"/>
      <c r="I46" s="326" t="s">
        <v>554</v>
      </c>
      <c r="J46" s="632">
        <v>2</v>
      </c>
      <c r="K46" s="632">
        <v>0</v>
      </c>
      <c r="L46" s="632">
        <v>10</v>
      </c>
      <c r="M46" s="760">
        <v>7250</v>
      </c>
      <c r="N46" s="326" t="s">
        <v>554</v>
      </c>
      <c r="O46" s="632">
        <v>4</v>
      </c>
      <c r="P46" s="632">
        <v>0</v>
      </c>
      <c r="Q46" s="632">
        <v>20</v>
      </c>
      <c r="R46" s="761">
        <v>14500</v>
      </c>
      <c r="S46" s="762" t="s">
        <v>554</v>
      </c>
      <c r="T46" s="758">
        <v>4</v>
      </c>
      <c r="U46" s="758">
        <v>0</v>
      </c>
      <c r="V46" s="758">
        <v>20</v>
      </c>
      <c r="W46" s="763">
        <v>14500</v>
      </c>
    </row>
    <row r="47" spans="1:23">
      <c r="A47" s="1779"/>
      <c r="B47" s="1772"/>
      <c r="C47" s="382" t="s">
        <v>39</v>
      </c>
      <c r="D47" s="381" t="s">
        <v>248</v>
      </c>
      <c r="E47" s="418" t="s">
        <v>554</v>
      </c>
      <c r="F47" s="1785" t="s">
        <v>698</v>
      </c>
      <c r="G47" s="1762"/>
      <c r="H47" s="1764"/>
      <c r="I47" s="326" t="s">
        <v>554</v>
      </c>
      <c r="J47" s="632">
        <v>2</v>
      </c>
      <c r="K47" s="632">
        <v>0</v>
      </c>
      <c r="L47" s="632">
        <v>10</v>
      </c>
      <c r="M47" s="760">
        <v>10000</v>
      </c>
      <c r="N47" s="326" t="s">
        <v>554</v>
      </c>
      <c r="O47" s="632">
        <v>2</v>
      </c>
      <c r="P47" s="632">
        <v>0</v>
      </c>
      <c r="Q47" s="632">
        <v>10</v>
      </c>
      <c r="R47" s="761">
        <v>10000</v>
      </c>
      <c r="S47" s="762" t="s">
        <v>554</v>
      </c>
      <c r="T47" s="758">
        <v>2</v>
      </c>
      <c r="U47" s="758">
        <v>0</v>
      </c>
      <c r="V47" s="758">
        <v>10</v>
      </c>
      <c r="W47" s="763">
        <v>10000</v>
      </c>
    </row>
    <row r="48" spans="1:23" ht="15.75" thickBot="1">
      <c r="A48" s="1767"/>
      <c r="B48" s="1780"/>
      <c r="C48" s="383" t="s">
        <v>40</v>
      </c>
      <c r="D48" s="381" t="s">
        <v>249</v>
      </c>
      <c r="E48" s="493"/>
      <c r="F48" s="1781" t="s">
        <v>498</v>
      </c>
      <c r="G48" s="1762"/>
      <c r="H48" s="1764"/>
      <c r="I48" s="656"/>
      <c r="J48" s="632"/>
      <c r="K48" s="632"/>
      <c r="L48" s="632"/>
      <c r="M48" s="632"/>
      <c r="N48" s="656"/>
      <c r="O48" s="632"/>
      <c r="P48" s="632"/>
      <c r="Q48" s="632"/>
      <c r="R48" s="703"/>
      <c r="S48" s="757"/>
      <c r="T48" s="758"/>
      <c r="U48" s="758"/>
      <c r="V48" s="758"/>
      <c r="W48" s="759"/>
    </row>
    <row r="49" spans="1:23" ht="15.75">
      <c r="A49" s="1765" t="s">
        <v>130</v>
      </c>
      <c r="B49" s="1766"/>
      <c r="C49" s="375" t="s">
        <v>131</v>
      </c>
      <c r="D49" s="376" t="s">
        <v>255</v>
      </c>
      <c r="E49" s="493"/>
      <c r="F49" s="1769"/>
      <c r="G49" s="1762"/>
      <c r="H49" s="1764"/>
      <c r="I49" s="656"/>
      <c r="J49" s="632"/>
      <c r="K49" s="632"/>
      <c r="L49" s="632"/>
      <c r="M49" s="632"/>
      <c r="N49" s="656"/>
      <c r="O49" s="632"/>
      <c r="P49" s="632"/>
      <c r="Q49" s="632"/>
      <c r="R49" s="703"/>
      <c r="S49" s="757"/>
      <c r="T49" s="758"/>
      <c r="U49" s="758"/>
      <c r="V49" s="758"/>
      <c r="W49" s="759"/>
    </row>
    <row r="50" spans="1:23" ht="205.5" thickBot="1">
      <c r="A50" s="1767"/>
      <c r="B50" s="1768"/>
      <c r="C50" s="384" t="s">
        <v>132</v>
      </c>
      <c r="D50" s="376" t="s">
        <v>263</v>
      </c>
      <c r="E50" s="493"/>
      <c r="F50" s="1769"/>
      <c r="G50" s="1762"/>
      <c r="H50" s="1764"/>
      <c r="I50" s="656"/>
      <c r="J50" s="632"/>
      <c r="K50" s="632"/>
      <c r="L50" s="632"/>
      <c r="M50" s="632"/>
      <c r="N50" s="656"/>
      <c r="O50" s="632"/>
      <c r="P50" s="632"/>
      <c r="Q50" s="632"/>
      <c r="R50" s="703"/>
      <c r="S50" s="757"/>
      <c r="T50" s="758"/>
      <c r="U50" s="758"/>
      <c r="V50" s="758"/>
      <c r="W50" s="759"/>
    </row>
    <row r="51" spans="1:23" ht="45">
      <c r="A51" s="1770" t="s">
        <v>42</v>
      </c>
      <c r="B51" s="1771"/>
      <c r="C51" s="385" t="s">
        <v>38</v>
      </c>
      <c r="D51" s="386" t="s">
        <v>239</v>
      </c>
      <c r="E51" s="493"/>
      <c r="F51" s="1763" t="s">
        <v>499</v>
      </c>
      <c r="G51" s="1762"/>
      <c r="H51" s="1764"/>
      <c r="I51" s="656"/>
      <c r="J51" s="632"/>
      <c r="K51" s="632"/>
      <c r="L51" s="632"/>
      <c r="M51" s="632"/>
      <c r="N51" s="656"/>
      <c r="O51" s="632"/>
      <c r="P51" s="632"/>
      <c r="Q51" s="632"/>
      <c r="R51" s="703"/>
      <c r="S51" s="757"/>
      <c r="T51" s="758"/>
      <c r="U51" s="758"/>
      <c r="V51" s="758"/>
      <c r="W51" s="759"/>
    </row>
    <row r="52" spans="1:23" ht="45">
      <c r="A52" s="1772"/>
      <c r="B52" s="1772"/>
      <c r="C52" s="387" t="s">
        <v>55</v>
      </c>
      <c r="D52" s="386" t="s">
        <v>240</v>
      </c>
      <c r="E52" s="493"/>
      <c r="F52" s="1773"/>
      <c r="G52" s="1762"/>
      <c r="H52" s="1764"/>
      <c r="I52" s="656"/>
      <c r="J52" s="632"/>
      <c r="K52" s="632"/>
      <c r="L52" s="632"/>
      <c r="M52" s="632"/>
      <c r="N52" s="656"/>
      <c r="O52" s="632"/>
      <c r="P52" s="632"/>
      <c r="Q52" s="632"/>
      <c r="R52" s="703"/>
      <c r="S52" s="757"/>
      <c r="T52" s="758"/>
      <c r="U52" s="758"/>
      <c r="V52" s="758"/>
      <c r="W52" s="759"/>
    </row>
    <row r="53" spans="1:23" ht="16.5" thickBot="1">
      <c r="A53" s="1772"/>
      <c r="B53" s="1772"/>
      <c r="C53" s="377" t="s">
        <v>48</v>
      </c>
      <c r="D53" s="388" t="s">
        <v>241</v>
      </c>
      <c r="E53" s="493"/>
      <c r="F53" s="1774"/>
      <c r="G53" s="1762"/>
      <c r="H53" s="1764"/>
      <c r="I53" s="656"/>
      <c r="J53" s="632"/>
      <c r="K53" s="632"/>
      <c r="L53" s="632"/>
      <c r="M53" s="632"/>
      <c r="N53" s="656"/>
      <c r="O53" s="632"/>
      <c r="P53" s="632"/>
      <c r="Q53" s="632"/>
      <c r="R53" s="703"/>
      <c r="S53" s="757"/>
      <c r="T53" s="758"/>
      <c r="U53" s="758"/>
      <c r="V53" s="758"/>
      <c r="W53" s="759"/>
    </row>
    <row r="54" spans="1:23" ht="79.5" thickBot="1">
      <c r="A54" s="1761" t="s">
        <v>500</v>
      </c>
      <c r="B54" s="1762"/>
      <c r="C54" s="389" t="s">
        <v>134</v>
      </c>
      <c r="D54" s="390" t="s">
        <v>269</v>
      </c>
      <c r="E54" s="502"/>
      <c r="F54" s="1763" t="s">
        <v>501</v>
      </c>
      <c r="G54" s="1762"/>
      <c r="H54" s="1764"/>
      <c r="I54" s="659"/>
      <c r="J54" s="658"/>
      <c r="K54" s="658"/>
      <c r="L54" s="658"/>
      <c r="M54" s="658"/>
      <c r="N54" s="659"/>
      <c r="O54" s="658"/>
      <c r="P54" s="658"/>
      <c r="Q54" s="658"/>
      <c r="R54" s="764"/>
      <c r="S54" s="765"/>
      <c r="T54" s="766"/>
      <c r="U54" s="766"/>
      <c r="V54" s="766"/>
      <c r="W54" s="767"/>
    </row>
    <row r="55" spans="1:23">
      <c r="A55" s="8"/>
      <c r="B55" s="8"/>
      <c r="C55" s="8"/>
      <c r="D55" s="8"/>
      <c r="E55" s="8"/>
      <c r="F55" s="8"/>
      <c r="G55" s="8"/>
      <c r="H55" s="1055"/>
      <c r="I55" s="1055"/>
      <c r="J55" s="1055"/>
      <c r="K55" s="1055"/>
      <c r="L55" s="1055"/>
      <c r="M55" s="1055"/>
      <c r="N55" s="1055"/>
      <c r="O55" s="1055"/>
      <c r="P55" s="1055"/>
      <c r="Q55" s="1055"/>
      <c r="R55" s="1055"/>
      <c r="S55" s="1055"/>
      <c r="T55" s="1055"/>
      <c r="U55" s="1055"/>
      <c r="V55" s="1055"/>
      <c r="W55" s="1055"/>
    </row>
    <row r="56" spans="1:23">
      <c r="A56" s="8"/>
      <c r="B56" s="8"/>
      <c r="C56" s="8"/>
      <c r="D56" s="8"/>
      <c r="E56" s="8"/>
      <c r="F56" s="8"/>
      <c r="G56" s="8"/>
      <c r="H56" s="1055"/>
      <c r="I56" s="1055"/>
      <c r="J56" s="1055"/>
      <c r="K56" s="1055"/>
      <c r="L56" s="1055"/>
      <c r="M56" s="1055"/>
      <c r="N56" s="1055"/>
      <c r="O56" s="1055"/>
      <c r="P56" s="1055"/>
      <c r="Q56" s="1055"/>
      <c r="R56" s="1055"/>
      <c r="S56" s="1055"/>
      <c r="T56" s="1055"/>
      <c r="U56" s="1055"/>
      <c r="V56" s="1055"/>
      <c r="W56" s="1055"/>
    </row>
    <row r="57" spans="1:23">
      <c r="A57" s="8"/>
      <c r="B57" s="8"/>
      <c r="C57" s="8"/>
      <c r="D57" s="8"/>
      <c r="E57" s="8"/>
      <c r="F57" s="8"/>
      <c r="G57" s="8"/>
      <c r="H57" s="1055"/>
      <c r="I57" s="1055"/>
      <c r="J57" s="1055"/>
      <c r="K57" s="1055"/>
      <c r="L57" s="1055"/>
      <c r="M57" s="1055">
        <f>SUM(M16:M54)</f>
        <v>705910</v>
      </c>
      <c r="N57" s="1055"/>
      <c r="O57" s="1055"/>
      <c r="P57" s="1055"/>
      <c r="Q57" s="1055"/>
      <c r="R57" s="1055"/>
      <c r="S57" s="1055"/>
      <c r="T57" s="1055"/>
      <c r="U57" s="1055"/>
      <c r="V57" s="1055"/>
      <c r="W57" s="1055"/>
    </row>
    <row r="58" spans="1:23" ht="60">
      <c r="A58" s="661" t="s">
        <v>948</v>
      </c>
      <c r="B58" s="661" t="s">
        <v>949</v>
      </c>
      <c r="C58" s="661" t="s">
        <v>950</v>
      </c>
      <c r="D58" s="661" t="s">
        <v>951</v>
      </c>
      <c r="E58" s="661" t="s">
        <v>952</v>
      </c>
      <c r="F58" s="8"/>
      <c r="G58" s="8"/>
      <c r="H58" s="1055"/>
      <c r="I58" s="1055"/>
      <c r="J58" s="1055"/>
      <c r="K58" s="1055"/>
      <c r="L58" s="1055"/>
      <c r="M58" s="1055"/>
      <c r="N58" s="1055"/>
      <c r="O58" s="1055"/>
      <c r="P58" s="1055"/>
      <c r="Q58" s="1055"/>
      <c r="R58" s="1055"/>
      <c r="S58" s="1055"/>
      <c r="T58" s="1055"/>
      <c r="U58" s="1055"/>
      <c r="V58" s="1055"/>
      <c r="W58" s="1055"/>
    </row>
    <row r="59" spans="1:23">
      <c r="A59" s="631" t="s">
        <v>953</v>
      </c>
      <c r="B59" s="624" t="s">
        <v>887</v>
      </c>
      <c r="C59" s="632">
        <v>1</v>
      </c>
      <c r="D59" s="632">
        <v>3</v>
      </c>
      <c r="E59" s="635" t="s">
        <v>979</v>
      </c>
      <c r="F59" s="8"/>
      <c r="G59" s="8"/>
      <c r="H59" s="1055"/>
      <c r="I59" s="1055"/>
      <c r="J59" s="1055"/>
      <c r="K59" s="1055"/>
      <c r="L59" s="1055"/>
      <c r="M59" s="1055"/>
      <c r="N59" s="1055"/>
      <c r="O59" s="1055"/>
      <c r="P59" s="1055"/>
      <c r="Q59" s="1055"/>
      <c r="R59" s="1055"/>
      <c r="S59" s="1055"/>
      <c r="T59" s="1055"/>
      <c r="U59" s="1055"/>
      <c r="V59" s="1055"/>
      <c r="W59" s="1055"/>
    </row>
    <row r="60" spans="1:23">
      <c r="A60" s="631" t="s">
        <v>956</v>
      </c>
      <c r="B60" s="624" t="s">
        <v>887</v>
      </c>
      <c r="C60" s="632">
        <v>8</v>
      </c>
      <c r="D60" s="632">
        <v>2.5</v>
      </c>
      <c r="E60" s="635" t="s">
        <v>1073</v>
      </c>
      <c r="F60" s="8"/>
      <c r="G60" s="8"/>
      <c r="H60" s="1055"/>
      <c r="I60" s="1055"/>
      <c r="J60" s="1055"/>
      <c r="K60" s="1055"/>
      <c r="L60" s="1055"/>
      <c r="M60" s="1055"/>
      <c r="N60" s="1055"/>
      <c r="O60" s="1055"/>
      <c r="P60" s="1055"/>
      <c r="Q60" s="1055"/>
      <c r="R60" s="1055"/>
      <c r="S60" s="1055"/>
      <c r="T60" s="1055"/>
      <c r="U60" s="1055"/>
      <c r="V60" s="1055"/>
      <c r="W60" s="1055"/>
    </row>
    <row r="61" spans="1:23">
      <c r="A61" s="631" t="s">
        <v>957</v>
      </c>
      <c r="B61" s="624" t="s">
        <v>887</v>
      </c>
      <c r="C61" s="632">
        <v>1</v>
      </c>
      <c r="D61" s="632">
        <v>10</v>
      </c>
      <c r="E61" s="635" t="s">
        <v>1074</v>
      </c>
      <c r="F61" s="8"/>
      <c r="G61" s="8"/>
      <c r="H61" s="1055"/>
      <c r="I61" s="1055"/>
      <c r="J61" s="1055"/>
      <c r="K61" s="1055"/>
      <c r="L61" s="1055"/>
      <c r="M61" s="1055"/>
      <c r="N61" s="1055"/>
      <c r="O61" s="1055"/>
      <c r="P61" s="1055"/>
      <c r="Q61" s="1055"/>
      <c r="R61" s="1055"/>
      <c r="S61" s="1055"/>
      <c r="T61" s="1055"/>
      <c r="U61" s="1055"/>
      <c r="V61" s="1055"/>
      <c r="W61" s="1055"/>
    </row>
    <row r="62" spans="1:23">
      <c r="A62" s="631" t="s">
        <v>959</v>
      </c>
      <c r="B62" s="624" t="s">
        <v>887</v>
      </c>
      <c r="C62" s="632">
        <v>26</v>
      </c>
      <c r="D62" s="632">
        <v>3</v>
      </c>
      <c r="E62" s="635" t="s">
        <v>1075</v>
      </c>
      <c r="F62" s="8"/>
      <c r="G62" s="8"/>
      <c r="H62" s="1055"/>
      <c r="I62" s="1055"/>
      <c r="J62" s="1055"/>
      <c r="K62" s="1055"/>
      <c r="L62" s="1055"/>
      <c r="M62" s="1055"/>
      <c r="N62" s="1055"/>
      <c r="O62" s="1055"/>
      <c r="P62" s="1055"/>
      <c r="Q62" s="1055"/>
      <c r="R62" s="1055"/>
      <c r="S62" s="1055"/>
      <c r="T62" s="1055"/>
      <c r="U62" s="1055"/>
      <c r="V62" s="1055"/>
      <c r="W62" s="1055"/>
    </row>
    <row r="63" spans="1:23">
      <c r="A63" s="631" t="s">
        <v>961</v>
      </c>
      <c r="B63" s="624" t="s">
        <v>887</v>
      </c>
      <c r="C63" s="632">
        <v>23</v>
      </c>
      <c r="D63" s="632">
        <v>15</v>
      </c>
      <c r="E63" s="635" t="s">
        <v>1075</v>
      </c>
      <c r="F63" s="8"/>
      <c r="G63" s="8"/>
      <c r="H63" s="1055"/>
      <c r="I63" s="1055"/>
      <c r="J63" s="1055"/>
      <c r="K63" s="1055"/>
      <c r="L63" s="1055"/>
      <c r="M63" s="1055"/>
      <c r="N63" s="1055"/>
      <c r="O63" s="1055"/>
      <c r="P63" s="1055"/>
      <c r="Q63" s="1055"/>
      <c r="R63" s="1055"/>
      <c r="S63" s="1055"/>
      <c r="T63" s="1055"/>
      <c r="U63" s="1055"/>
      <c r="V63" s="1055"/>
      <c r="W63" s="1055"/>
    </row>
    <row r="64" spans="1:23">
      <c r="A64" s="631" t="s">
        <v>963</v>
      </c>
      <c r="B64" s="624" t="s">
        <v>887</v>
      </c>
      <c r="C64" s="632">
        <v>13</v>
      </c>
      <c r="D64" s="632">
        <v>6.5</v>
      </c>
      <c r="E64" s="635" t="s">
        <v>1075</v>
      </c>
      <c r="F64" s="8"/>
      <c r="G64" s="8"/>
      <c r="H64" s="1055"/>
      <c r="I64" s="1055"/>
      <c r="J64" s="1055"/>
      <c r="K64" s="1055"/>
      <c r="L64" s="1055"/>
      <c r="M64" s="1055"/>
      <c r="N64" s="1055"/>
      <c r="O64" s="1055"/>
      <c r="P64" s="1055"/>
      <c r="Q64" s="1055"/>
      <c r="R64" s="1055"/>
      <c r="S64" s="1055"/>
      <c r="T64" s="1055"/>
      <c r="U64" s="1055"/>
      <c r="V64" s="1055"/>
      <c r="W64" s="1055"/>
    </row>
    <row r="65" spans="1:23">
      <c r="A65" s="631" t="s">
        <v>965</v>
      </c>
      <c r="B65" s="624" t="s">
        <v>887</v>
      </c>
      <c r="C65" s="632">
        <v>23</v>
      </c>
      <c r="D65" s="632">
        <v>3.5</v>
      </c>
      <c r="E65" s="635" t="s">
        <v>1075</v>
      </c>
      <c r="F65" s="8"/>
      <c r="G65" s="8"/>
      <c r="H65" s="1055"/>
      <c r="I65" s="1055"/>
      <c r="J65" s="1055"/>
      <c r="K65" s="1055"/>
      <c r="L65" s="1055"/>
      <c r="M65" s="1055"/>
      <c r="N65" s="1055"/>
      <c r="O65" s="1055"/>
      <c r="P65" s="1055"/>
      <c r="Q65" s="1055"/>
      <c r="R65" s="1055"/>
      <c r="S65" s="1055"/>
      <c r="T65" s="1055"/>
      <c r="U65" s="1055"/>
      <c r="V65" s="1055"/>
      <c r="W65" s="1055"/>
    </row>
    <row r="66" spans="1:23">
      <c r="A66" s="631" t="s">
        <v>967</v>
      </c>
      <c r="B66" s="624" t="s">
        <v>991</v>
      </c>
      <c r="C66" s="632"/>
      <c r="D66" s="632"/>
      <c r="E66" s="633"/>
      <c r="F66" s="8"/>
      <c r="G66" s="8"/>
      <c r="H66" s="1055"/>
      <c r="I66" s="1055"/>
      <c r="J66" s="1055"/>
      <c r="K66" s="1055"/>
      <c r="L66" s="1055"/>
      <c r="M66" s="1055"/>
      <c r="N66" s="1055"/>
      <c r="O66" s="1055"/>
      <c r="P66" s="1055"/>
      <c r="Q66" s="1055"/>
      <c r="R66" s="1055"/>
      <c r="S66" s="1055"/>
      <c r="T66" s="1055"/>
      <c r="U66" s="1055"/>
      <c r="V66" s="1055"/>
      <c r="W66" s="1055"/>
    </row>
    <row r="67" spans="1:23">
      <c r="A67" s="631" t="s">
        <v>969</v>
      </c>
      <c r="B67" s="624" t="s">
        <v>887</v>
      </c>
      <c r="C67" s="632">
        <v>1</v>
      </c>
      <c r="D67" s="632">
        <v>2</v>
      </c>
      <c r="E67" s="635" t="s">
        <v>1076</v>
      </c>
      <c r="F67" s="8"/>
      <c r="G67" s="8"/>
      <c r="H67" s="1055"/>
      <c r="I67" s="1055"/>
      <c r="J67" s="1055"/>
      <c r="K67" s="1055"/>
      <c r="L67" s="1055"/>
      <c r="M67" s="1055"/>
      <c r="N67" s="1055"/>
      <c r="O67" s="1055"/>
      <c r="P67" s="1055"/>
      <c r="Q67" s="1055"/>
      <c r="R67" s="1055"/>
      <c r="S67" s="1055"/>
      <c r="T67" s="1055"/>
      <c r="U67" s="1055"/>
      <c r="V67" s="1055"/>
      <c r="W67" s="1055"/>
    </row>
    <row r="68" spans="1:23">
      <c r="A68" s="631" t="s">
        <v>971</v>
      </c>
      <c r="B68" s="624" t="s">
        <v>887</v>
      </c>
      <c r="C68" s="632">
        <v>23</v>
      </c>
      <c r="D68" s="632">
        <v>3</v>
      </c>
      <c r="E68" s="662">
        <v>45809</v>
      </c>
      <c r="F68" s="8"/>
      <c r="G68" s="8"/>
      <c r="H68" s="1055"/>
      <c r="I68" s="1055"/>
      <c r="J68" s="1055"/>
      <c r="K68" s="1055"/>
      <c r="L68" s="1055"/>
      <c r="M68" s="1055"/>
      <c r="N68" s="1055"/>
      <c r="O68" s="1055"/>
      <c r="P68" s="1055"/>
      <c r="Q68" s="1055"/>
      <c r="R68" s="1055"/>
      <c r="S68" s="1055"/>
      <c r="T68" s="1055"/>
      <c r="U68" s="1055"/>
      <c r="V68" s="1055"/>
      <c r="W68" s="1055"/>
    </row>
    <row r="69" spans="1:23">
      <c r="A69" s="631" t="s">
        <v>986</v>
      </c>
      <c r="B69" s="632"/>
      <c r="C69" s="632"/>
      <c r="D69" s="632"/>
      <c r="E69" s="633"/>
      <c r="F69" s="8"/>
      <c r="G69" s="8"/>
      <c r="H69" s="1055"/>
      <c r="I69" s="1055"/>
      <c r="J69" s="1055"/>
      <c r="K69" s="1055"/>
      <c r="L69" s="1055"/>
      <c r="M69" s="1055"/>
      <c r="N69" s="1055"/>
      <c r="O69" s="1055"/>
      <c r="P69" s="1055"/>
      <c r="Q69" s="1055"/>
      <c r="R69" s="1055"/>
      <c r="S69" s="1055"/>
      <c r="T69" s="1055"/>
      <c r="U69" s="1055"/>
      <c r="V69" s="1055"/>
      <c r="W69" s="1055"/>
    </row>
    <row r="70" spans="1:23">
      <c r="A70" s="631"/>
      <c r="B70" s="632"/>
      <c r="C70" s="632"/>
      <c r="D70" s="632"/>
      <c r="E70" s="633"/>
      <c r="F70" s="8"/>
      <c r="G70" s="8"/>
      <c r="H70" s="1055"/>
      <c r="I70" s="1055"/>
      <c r="J70" s="1055"/>
      <c r="K70" s="1055"/>
      <c r="L70" s="1055"/>
      <c r="M70" s="1055"/>
      <c r="N70" s="1055"/>
      <c r="O70" s="1055"/>
      <c r="P70" s="1055"/>
      <c r="Q70" s="1055"/>
      <c r="R70" s="1055"/>
      <c r="S70" s="1055"/>
      <c r="T70" s="1055"/>
      <c r="U70" s="1055"/>
      <c r="V70" s="1055"/>
      <c r="W70" s="1055"/>
    </row>
    <row r="71" spans="1:23">
      <c r="A71" s="8"/>
      <c r="B71" s="8"/>
      <c r="C71" s="8"/>
      <c r="D71" s="8"/>
      <c r="E71" s="8"/>
      <c r="F71" s="8"/>
      <c r="G71" s="8"/>
      <c r="H71" s="1055"/>
      <c r="I71" s="1055"/>
      <c r="J71" s="1055"/>
      <c r="K71" s="1055"/>
      <c r="L71" s="1055"/>
      <c r="M71" s="1055"/>
      <c r="N71" s="1055"/>
      <c r="O71" s="1055"/>
      <c r="P71" s="1055"/>
      <c r="Q71" s="1055"/>
      <c r="R71" s="1055"/>
      <c r="S71" s="1055"/>
      <c r="T71" s="1055"/>
      <c r="U71" s="1055"/>
      <c r="V71" s="1055"/>
      <c r="W71" s="1055"/>
    </row>
    <row r="72" spans="1:23">
      <c r="A72" s="8"/>
      <c r="B72" s="8"/>
      <c r="C72" s="8"/>
      <c r="D72" s="8"/>
      <c r="E72" s="8"/>
      <c r="F72" s="8"/>
      <c r="G72" s="8"/>
      <c r="H72" s="1055"/>
      <c r="I72" s="1055"/>
      <c r="J72" s="1055"/>
      <c r="K72" s="1055"/>
      <c r="L72" s="1055"/>
      <c r="M72" s="1055"/>
      <c r="N72" s="1055"/>
      <c r="O72" s="1055"/>
      <c r="P72" s="1055"/>
      <c r="Q72" s="1055"/>
      <c r="R72" s="1055"/>
      <c r="S72" s="1055"/>
      <c r="T72" s="1055"/>
      <c r="U72" s="1055"/>
      <c r="V72" s="1055"/>
      <c r="W72" s="1055"/>
    </row>
    <row r="73" spans="1:23">
      <c r="A73" s="1829" t="s">
        <v>1270</v>
      </c>
      <c r="B73" s="1830"/>
      <c r="C73" s="1830"/>
      <c r="D73" s="1830"/>
      <c r="E73" s="1830"/>
      <c r="F73" s="1830"/>
      <c r="G73" s="8"/>
      <c r="H73" s="1055"/>
      <c r="I73" s="1055"/>
      <c r="J73" s="1055"/>
      <c r="K73" s="1055"/>
      <c r="L73" s="1055"/>
      <c r="M73" s="1055"/>
      <c r="N73" s="1055"/>
      <c r="O73" s="1055"/>
      <c r="P73" s="1055"/>
      <c r="Q73" s="1055"/>
      <c r="R73" s="1055"/>
      <c r="S73" s="1055"/>
      <c r="T73" s="1055"/>
      <c r="U73" s="1055"/>
      <c r="V73" s="1055"/>
      <c r="W73" s="1055"/>
    </row>
    <row r="74" spans="1:23" ht="105">
      <c r="A74" s="1391" t="s">
        <v>1271</v>
      </c>
      <c r="B74" s="1388" t="s">
        <v>1272</v>
      </c>
      <c r="C74" s="1388" t="s">
        <v>1273</v>
      </c>
      <c r="D74" s="1388" t="s">
        <v>1274</v>
      </c>
      <c r="E74" s="1388" t="s">
        <v>1275</v>
      </c>
      <c r="F74" s="1388" t="s">
        <v>1276</v>
      </c>
      <c r="G74" s="8"/>
      <c r="H74" s="1055"/>
      <c r="I74" s="1055"/>
      <c r="J74" s="1055"/>
      <c r="K74" s="1055"/>
      <c r="L74" s="1055"/>
      <c r="M74" s="1055"/>
      <c r="N74" s="1055"/>
      <c r="O74" s="1055"/>
      <c r="P74" s="1055"/>
      <c r="Q74" s="1055"/>
      <c r="R74" s="1055"/>
      <c r="S74" s="1055"/>
      <c r="T74" s="1055"/>
      <c r="U74" s="1055"/>
      <c r="V74" s="1055"/>
      <c r="W74" s="1055"/>
    </row>
    <row r="75" spans="1:23" ht="60">
      <c r="A75" s="1392" t="s">
        <v>1431</v>
      </c>
      <c r="B75" s="1390" t="s">
        <v>1405</v>
      </c>
      <c r="C75" s="1389" t="e">
        <v>#NAME?</v>
      </c>
      <c r="D75" s="1389" t="s">
        <v>16</v>
      </c>
      <c r="E75" s="1390" t="s">
        <v>1432</v>
      </c>
      <c r="F75" s="1389">
        <v>10</v>
      </c>
      <c r="G75" s="8"/>
      <c r="H75" s="1055"/>
      <c r="I75" s="1055"/>
      <c r="J75" s="1055"/>
      <c r="K75" s="1055"/>
      <c r="L75" s="1055"/>
      <c r="M75" s="1055"/>
      <c r="N75" s="1055"/>
      <c r="O75" s="1055"/>
      <c r="P75" s="1055"/>
      <c r="Q75" s="1055"/>
      <c r="R75" s="1055"/>
      <c r="S75" s="1055"/>
      <c r="T75" s="1055"/>
      <c r="U75" s="1055"/>
      <c r="V75" s="1055"/>
      <c r="W75" s="1055"/>
    </row>
    <row r="76" spans="1:23" ht="195">
      <c r="A76" s="1392" t="s">
        <v>1401</v>
      </c>
      <c r="B76" s="1390" t="s">
        <v>1402</v>
      </c>
      <c r="C76" s="1389" t="s">
        <v>1357</v>
      </c>
      <c r="D76" s="1389" t="s">
        <v>52</v>
      </c>
      <c r="E76" s="1390" t="s">
        <v>1433</v>
      </c>
      <c r="F76" s="1389">
        <v>10</v>
      </c>
    </row>
    <row r="77" spans="1:23" ht="45">
      <c r="A77" s="1392" t="s">
        <v>1404</v>
      </c>
      <c r="B77" s="1390" t="s">
        <v>1405</v>
      </c>
      <c r="C77" s="1389" t="s">
        <v>1357</v>
      </c>
      <c r="D77" s="1389" t="s">
        <v>52</v>
      </c>
      <c r="E77" s="1390" t="s">
        <v>1433</v>
      </c>
      <c r="F77" s="1389">
        <v>20</v>
      </c>
    </row>
    <row r="78" spans="1:23" ht="45">
      <c r="A78" s="1392" t="s">
        <v>1406</v>
      </c>
      <c r="B78" s="1390" t="s">
        <v>1402</v>
      </c>
      <c r="C78" s="1389" t="s">
        <v>1357</v>
      </c>
      <c r="D78" s="1389" t="s">
        <v>52</v>
      </c>
      <c r="E78" s="1390" t="s">
        <v>1432</v>
      </c>
      <c r="F78" s="1389">
        <v>20</v>
      </c>
    </row>
    <row r="79" spans="1:23" ht="60">
      <c r="A79" s="1392" t="s">
        <v>1408</v>
      </c>
      <c r="B79" s="1390" t="s">
        <v>1402</v>
      </c>
      <c r="C79" s="1389" t="s">
        <v>1357</v>
      </c>
      <c r="D79" s="1389" t="s">
        <v>52</v>
      </c>
      <c r="E79" s="1390" t="s">
        <v>1434</v>
      </c>
      <c r="F79" s="1389">
        <v>15</v>
      </c>
    </row>
    <row r="80" spans="1:23" ht="60">
      <c r="A80" s="1392" t="s">
        <v>1410</v>
      </c>
      <c r="B80" s="1390" t="s">
        <v>1405</v>
      </c>
      <c r="C80" s="1389" t="s">
        <v>1357</v>
      </c>
      <c r="D80" s="1389" t="s">
        <v>16</v>
      </c>
      <c r="E80" s="1390" t="s">
        <v>1432</v>
      </c>
      <c r="F80" s="1389">
        <v>15</v>
      </c>
    </row>
    <row r="81" spans="1:6" ht="150">
      <c r="A81" s="1393" t="s">
        <v>1412</v>
      </c>
      <c r="B81" s="1394" t="s">
        <v>1413</v>
      </c>
      <c r="C81" s="1394" t="s">
        <v>1283</v>
      </c>
      <c r="D81" s="1394" t="s">
        <v>887</v>
      </c>
      <c r="E81" s="1394" t="s">
        <v>1299</v>
      </c>
      <c r="F81" s="1394">
        <v>8</v>
      </c>
    </row>
    <row r="82" spans="1:6" ht="135">
      <c r="A82" s="1393" t="s">
        <v>1414</v>
      </c>
      <c r="B82" s="1394" t="s">
        <v>1415</v>
      </c>
      <c r="C82" s="1394" t="s">
        <v>1283</v>
      </c>
      <c r="D82" s="1394" t="s">
        <v>954</v>
      </c>
      <c r="E82" s="1394" t="s">
        <v>1416</v>
      </c>
      <c r="F82" s="1394">
        <v>8</v>
      </c>
    </row>
    <row r="83" spans="1:6" ht="108.75">
      <c r="A83" s="1393" t="s">
        <v>1414</v>
      </c>
      <c r="B83" s="1395" t="s">
        <v>1417</v>
      </c>
      <c r="C83" s="1394" t="s">
        <v>1418</v>
      </c>
      <c r="D83" s="1394" t="s">
        <v>954</v>
      </c>
      <c r="E83" s="1394" t="s">
        <v>1435</v>
      </c>
      <c r="F83" s="1394">
        <v>8</v>
      </c>
    </row>
    <row r="84" spans="1:6" ht="135">
      <c r="A84" s="1393" t="s">
        <v>1420</v>
      </c>
      <c r="B84" s="1394" t="s">
        <v>1421</v>
      </c>
      <c r="C84" s="1394" t="s">
        <v>1307</v>
      </c>
      <c r="D84" s="1394" t="s">
        <v>887</v>
      </c>
      <c r="E84" s="1394" t="s">
        <v>1436</v>
      </c>
      <c r="F84" s="1394">
        <v>8</v>
      </c>
    </row>
    <row r="85" spans="1:6" ht="195">
      <c r="A85" s="1393" t="s">
        <v>1423</v>
      </c>
      <c r="B85" s="1394" t="s">
        <v>1424</v>
      </c>
      <c r="C85" s="1394" t="s">
        <v>1283</v>
      </c>
      <c r="D85" s="1394" t="s">
        <v>887</v>
      </c>
      <c r="E85" s="1394" t="s">
        <v>1437</v>
      </c>
      <c r="F85" s="1394">
        <v>8</v>
      </c>
    </row>
    <row r="86" spans="1:6" ht="171.75">
      <c r="A86" s="1393" t="s">
        <v>1425</v>
      </c>
      <c r="B86" s="1396" t="s">
        <v>1426</v>
      </c>
      <c r="C86" s="1394" t="s">
        <v>1427</v>
      </c>
      <c r="D86" s="1394" t="s">
        <v>887</v>
      </c>
      <c r="E86" s="1394" t="s">
        <v>1437</v>
      </c>
      <c r="F86" s="1394">
        <v>8</v>
      </c>
    </row>
    <row r="87" spans="1:6" ht="135.75" thickBot="1">
      <c r="A87" s="1393" t="s">
        <v>1428</v>
      </c>
      <c r="B87" s="1394" t="s">
        <v>1429</v>
      </c>
      <c r="C87" s="1394" t="s">
        <v>1427</v>
      </c>
      <c r="D87" s="1394" t="s">
        <v>887</v>
      </c>
      <c r="E87" s="1394" t="s">
        <v>1430</v>
      </c>
      <c r="F87" s="1397">
        <v>8</v>
      </c>
    </row>
    <row r="88" spans="1:6" ht="15.75" thickBot="1">
      <c r="A88" s="1852" t="s">
        <v>1381</v>
      </c>
      <c r="B88" s="1853" t="s">
        <v>1278</v>
      </c>
      <c r="C88" s="1854" t="s">
        <v>1307</v>
      </c>
      <c r="D88" s="1854" t="s">
        <v>954</v>
      </c>
      <c r="E88" s="1398" t="s">
        <v>1382</v>
      </c>
      <c r="F88" s="1401"/>
    </row>
    <row r="89" spans="1:6" ht="15.75" thickBot="1">
      <c r="A89" s="1833"/>
      <c r="B89" s="1833"/>
      <c r="C89" s="1836"/>
      <c r="D89" s="1836"/>
      <c r="E89" s="1398" t="s">
        <v>1285</v>
      </c>
      <c r="F89" s="1402"/>
    </row>
    <row r="90" spans="1:6" ht="15.75" thickBot="1">
      <c r="A90" s="1831" t="s">
        <v>1277</v>
      </c>
      <c r="B90" s="1831" t="s">
        <v>1278</v>
      </c>
      <c r="C90" s="1834" t="s">
        <v>1279</v>
      </c>
      <c r="D90" s="1834" t="s">
        <v>954</v>
      </c>
      <c r="E90" s="1398" t="s">
        <v>1284</v>
      </c>
      <c r="F90" s="1402"/>
    </row>
    <row r="91" spans="1:6" ht="15.75" thickBot="1">
      <c r="A91" s="1833"/>
      <c r="B91" s="1833"/>
      <c r="C91" s="1836"/>
      <c r="D91" s="1836"/>
      <c r="E91" s="1398" t="s">
        <v>1280</v>
      </c>
      <c r="F91" s="1402"/>
    </row>
    <row r="92" spans="1:6" ht="15.75" thickBot="1">
      <c r="A92" s="1831" t="s">
        <v>1438</v>
      </c>
      <c r="B92" s="1831" t="s">
        <v>1278</v>
      </c>
      <c r="C92" s="1834" t="s">
        <v>1384</v>
      </c>
      <c r="D92" s="1834" t="s">
        <v>954</v>
      </c>
      <c r="E92" s="1398" t="s">
        <v>1285</v>
      </c>
      <c r="F92" s="1402"/>
    </row>
    <row r="93" spans="1:6" ht="15.75" thickBot="1">
      <c r="A93" s="1832"/>
      <c r="B93" s="1832"/>
      <c r="C93" s="1835"/>
      <c r="D93" s="1835"/>
      <c r="E93" s="1399" t="s">
        <v>1284</v>
      </c>
      <c r="F93" s="1402"/>
    </row>
    <row r="94" spans="1:6" ht="15.75" thickBot="1">
      <c r="A94" s="1832"/>
      <c r="B94" s="1832"/>
      <c r="C94" s="1835"/>
      <c r="D94" s="1835"/>
      <c r="E94" s="1400" t="s">
        <v>1385</v>
      </c>
      <c r="F94" s="1402"/>
    </row>
    <row r="95" spans="1:6" ht="15.75" thickBot="1">
      <c r="A95" s="1833"/>
      <c r="B95" s="1833"/>
      <c r="C95" s="1836"/>
      <c r="D95" s="1836"/>
      <c r="E95" s="1398" t="s">
        <v>1382</v>
      </c>
      <c r="F95" s="1402"/>
    </row>
    <row r="96" spans="1:6" ht="15.75" thickBot="1">
      <c r="A96" s="1837" t="s">
        <v>1439</v>
      </c>
      <c r="B96" s="1831" t="s">
        <v>1282</v>
      </c>
      <c r="C96" s="1834" t="s">
        <v>1283</v>
      </c>
      <c r="D96" s="1834" t="s">
        <v>954</v>
      </c>
      <c r="E96" s="1398" t="s">
        <v>237</v>
      </c>
      <c r="F96" s="1402"/>
    </row>
    <row r="97" spans="1:6" ht="15.75" thickBot="1">
      <c r="A97" s="1838"/>
      <c r="B97" s="1832"/>
      <c r="C97" s="1835"/>
      <c r="D97" s="1835"/>
      <c r="E97" s="1398" t="s">
        <v>1284</v>
      </c>
      <c r="F97" s="1402"/>
    </row>
    <row r="98" spans="1:6" ht="15.75" thickBot="1">
      <c r="A98" s="1838"/>
      <c r="B98" s="1832"/>
      <c r="C98" s="1835"/>
      <c r="D98" s="1835"/>
      <c r="E98" s="1398" t="s">
        <v>1387</v>
      </c>
      <c r="F98" s="1402"/>
    </row>
    <row r="99" spans="1:6" ht="15.75" thickBot="1">
      <c r="A99" s="1839"/>
      <c r="B99" s="1833"/>
      <c r="C99" s="1836"/>
      <c r="D99" s="1836"/>
      <c r="E99" s="1398" t="s">
        <v>1388</v>
      </c>
      <c r="F99" s="1402"/>
    </row>
    <row r="100" spans="1:6" ht="15.75" thickBot="1">
      <c r="A100" s="1840" t="s">
        <v>1440</v>
      </c>
      <c r="B100" s="1831" t="s">
        <v>1287</v>
      </c>
      <c r="C100" s="1834" t="s">
        <v>1307</v>
      </c>
      <c r="D100" s="1834" t="s">
        <v>954</v>
      </c>
      <c r="E100" s="1398" t="s">
        <v>237</v>
      </c>
      <c r="F100" s="1402"/>
    </row>
    <row r="101" spans="1:6" ht="15.75" thickBot="1">
      <c r="A101" s="1838"/>
      <c r="B101" s="1832"/>
      <c r="C101" s="1835"/>
      <c r="D101" s="1835"/>
      <c r="E101" s="1398" t="s">
        <v>1284</v>
      </c>
      <c r="F101" s="1402"/>
    </row>
    <row r="102" spans="1:6" ht="15.75" thickBot="1">
      <c r="A102" s="1838"/>
      <c r="B102" s="1832"/>
      <c r="C102" s="1835"/>
      <c r="D102" s="1835"/>
      <c r="E102" s="1398" t="s">
        <v>1280</v>
      </c>
      <c r="F102" s="1402"/>
    </row>
    <row r="103" spans="1:6" ht="15.75" thickBot="1">
      <c r="A103" s="1841"/>
      <c r="B103" s="1833"/>
      <c r="C103" s="1836"/>
      <c r="D103" s="1836"/>
      <c r="E103" s="1398" t="s">
        <v>1390</v>
      </c>
      <c r="F103" s="1402"/>
    </row>
    <row r="104" spans="1:6" ht="15.75" thickBot="1">
      <c r="A104" s="1837" t="s">
        <v>1441</v>
      </c>
      <c r="B104" s="1831" t="s">
        <v>1282</v>
      </c>
      <c r="C104" s="1834" t="s">
        <v>1283</v>
      </c>
      <c r="D104" s="1834" t="s">
        <v>954</v>
      </c>
      <c r="E104" s="1398" t="s">
        <v>1284</v>
      </c>
      <c r="F104" s="1402"/>
    </row>
    <row r="105" spans="1:6" ht="15.75" thickBot="1">
      <c r="A105" s="1838"/>
      <c r="B105" s="1832"/>
      <c r="C105" s="1835"/>
      <c r="D105" s="1835"/>
      <c r="E105" s="1398" t="s">
        <v>1285</v>
      </c>
      <c r="F105" s="1402"/>
    </row>
    <row r="106" spans="1:6" ht="15.75" thickBot="1">
      <c r="A106" s="1841"/>
      <c r="B106" s="1833"/>
      <c r="C106" s="1836"/>
      <c r="D106" s="1836"/>
      <c r="E106" s="1398" t="s">
        <v>1280</v>
      </c>
      <c r="F106" s="1402"/>
    </row>
    <row r="107" spans="1:6" ht="15.75" thickBot="1">
      <c r="A107" s="1837" t="s">
        <v>1442</v>
      </c>
      <c r="B107" s="1831" t="s">
        <v>1287</v>
      </c>
      <c r="C107" s="1834" t="s">
        <v>1283</v>
      </c>
      <c r="D107" s="1834" t="s">
        <v>954</v>
      </c>
      <c r="E107" s="1398" t="s">
        <v>1285</v>
      </c>
      <c r="F107" s="1402"/>
    </row>
    <row r="108" spans="1:6" ht="15.75" thickBot="1">
      <c r="A108" s="1839"/>
      <c r="B108" s="1848"/>
      <c r="C108" s="1849"/>
      <c r="D108" s="1849"/>
      <c r="E108" s="1398" t="s">
        <v>1284</v>
      </c>
      <c r="F108" s="1402"/>
    </row>
    <row r="109" spans="1:6" ht="15.75" thickBot="1">
      <c r="A109" s="1840" t="s">
        <v>1443</v>
      </c>
      <c r="B109" s="1850" t="s">
        <v>1287</v>
      </c>
      <c r="C109" s="1851" t="s">
        <v>1283</v>
      </c>
      <c r="D109" s="1851" t="s">
        <v>954</v>
      </c>
      <c r="E109" s="1398" t="s">
        <v>1390</v>
      </c>
      <c r="F109" s="1402"/>
    </row>
    <row r="110" spans="1:6" ht="15.75" thickBot="1">
      <c r="A110" s="1838"/>
      <c r="B110" s="1832"/>
      <c r="C110" s="1835"/>
      <c r="D110" s="1835"/>
      <c r="E110" s="1398" t="s">
        <v>237</v>
      </c>
      <c r="F110" s="1402"/>
    </row>
    <row r="111" spans="1:6" ht="15.75" thickBot="1">
      <c r="A111" s="1838"/>
      <c r="B111" s="1832"/>
      <c r="C111" s="1835"/>
      <c r="D111" s="1835"/>
      <c r="E111" s="1398" t="s">
        <v>1285</v>
      </c>
      <c r="F111" s="1402"/>
    </row>
    <row r="112" spans="1:6" ht="15.75" thickBot="1">
      <c r="A112" s="1841"/>
      <c r="B112" s="1833"/>
      <c r="C112" s="1836"/>
      <c r="D112" s="1836"/>
      <c r="E112" s="1398" t="s">
        <v>1280</v>
      </c>
      <c r="F112" s="1402"/>
    </row>
    <row r="113" spans="1:6" ht="15.75" thickBot="1">
      <c r="A113" s="1837" t="s">
        <v>1444</v>
      </c>
      <c r="B113" s="1831" t="s">
        <v>1287</v>
      </c>
      <c r="C113" s="1834" t="s">
        <v>1289</v>
      </c>
      <c r="D113" s="1834" t="s">
        <v>954</v>
      </c>
      <c r="E113" s="1398" t="s">
        <v>237</v>
      </c>
      <c r="F113" s="1402"/>
    </row>
    <row r="114" spans="1:6" ht="15.75" thickBot="1">
      <c r="A114" s="1838"/>
      <c r="B114" s="1832"/>
      <c r="C114" s="1835"/>
      <c r="D114" s="1835"/>
      <c r="E114" s="1398" t="s">
        <v>1284</v>
      </c>
      <c r="F114" s="1402"/>
    </row>
    <row r="115" spans="1:6" ht="15.75" thickBot="1">
      <c r="A115" s="1838"/>
      <c r="B115" s="1832"/>
      <c r="C115" s="1835"/>
      <c r="D115" s="1835"/>
      <c r="E115" s="1398" t="s">
        <v>1280</v>
      </c>
      <c r="F115" s="1402"/>
    </row>
    <row r="116" spans="1:6" ht="15.75" thickBot="1">
      <c r="A116" s="1841"/>
      <c r="B116" s="1833"/>
      <c r="C116" s="1836"/>
      <c r="D116" s="1836"/>
      <c r="E116" s="1398" t="s">
        <v>1390</v>
      </c>
      <c r="F116" s="1402"/>
    </row>
    <row r="117" spans="1:6" ht="15.75" thickBot="1">
      <c r="A117" s="1842" t="s">
        <v>1445</v>
      </c>
      <c r="B117" s="1831" t="s">
        <v>1282</v>
      </c>
      <c r="C117" s="1834" t="s">
        <v>1283</v>
      </c>
      <c r="D117" s="1834" t="s">
        <v>954</v>
      </c>
      <c r="E117" s="1398" t="s">
        <v>237</v>
      </c>
      <c r="F117" s="1402"/>
    </row>
    <row r="118" spans="1:6" ht="15.75" thickBot="1">
      <c r="A118" s="1847"/>
      <c r="B118" s="1832"/>
      <c r="C118" s="1835"/>
      <c r="D118" s="1835"/>
      <c r="E118" s="1398" t="s">
        <v>1280</v>
      </c>
      <c r="F118" s="1402"/>
    </row>
    <row r="119" spans="1:6" ht="15.75" thickBot="1">
      <c r="A119" s="1843"/>
      <c r="B119" s="1833"/>
      <c r="C119" s="1836"/>
      <c r="D119" s="1836"/>
      <c r="E119" s="1398" t="s">
        <v>1390</v>
      </c>
      <c r="F119" s="1402"/>
    </row>
    <row r="120" spans="1:6" ht="15.75" thickBot="1">
      <c r="A120" s="1842" t="s">
        <v>1446</v>
      </c>
      <c r="B120" s="1831" t="s">
        <v>1447</v>
      </c>
      <c r="C120" s="1834" t="s">
        <v>1292</v>
      </c>
      <c r="D120" s="1834" t="s">
        <v>954</v>
      </c>
      <c r="E120" s="1398" t="s">
        <v>1284</v>
      </c>
      <c r="F120" s="1402"/>
    </row>
    <row r="121" spans="1:6" ht="15.75" thickBot="1">
      <c r="A121" s="1847"/>
      <c r="B121" s="1832"/>
      <c r="C121" s="1835"/>
      <c r="D121" s="1835"/>
      <c r="E121" s="1398" t="s">
        <v>1285</v>
      </c>
      <c r="F121" s="1402"/>
    </row>
    <row r="122" spans="1:6" ht="15.75" thickBot="1">
      <c r="A122" s="1843"/>
      <c r="B122" s="1833"/>
      <c r="C122" s="1836"/>
      <c r="D122" s="1836"/>
      <c r="E122" s="1398" t="s">
        <v>1280</v>
      </c>
      <c r="F122" s="1402"/>
    </row>
    <row r="123" spans="1:6" ht="15.75" thickBot="1">
      <c r="A123" s="1834" t="s">
        <v>1394</v>
      </c>
      <c r="B123" s="1831" t="s">
        <v>1282</v>
      </c>
      <c r="C123" s="1834" t="s">
        <v>1395</v>
      </c>
      <c r="D123" s="1834" t="s">
        <v>954</v>
      </c>
      <c r="E123" s="1398" t="s">
        <v>1285</v>
      </c>
      <c r="F123" s="1402"/>
    </row>
    <row r="124" spans="1:6" ht="15.75" thickBot="1">
      <c r="A124" s="1835"/>
      <c r="B124" s="1832"/>
      <c r="C124" s="1835"/>
      <c r="D124" s="1835"/>
      <c r="E124" s="1398" t="s">
        <v>1284</v>
      </c>
      <c r="F124" s="1402"/>
    </row>
    <row r="125" spans="1:6" ht="15.75" thickBot="1">
      <c r="A125" s="1835"/>
      <c r="B125" s="1832"/>
      <c r="C125" s="1835"/>
      <c r="D125" s="1835"/>
      <c r="E125" s="1398" t="s">
        <v>1382</v>
      </c>
      <c r="F125" s="1402"/>
    </row>
    <row r="126" spans="1:6" ht="15.75" thickBot="1">
      <c r="A126" s="1836"/>
      <c r="B126" s="1833"/>
      <c r="C126" s="1836"/>
      <c r="D126" s="1836"/>
      <c r="E126" s="1398" t="s">
        <v>1280</v>
      </c>
      <c r="F126" s="1402"/>
    </row>
    <row r="127" spans="1:6" ht="15.75" thickBot="1">
      <c r="A127" s="1837" t="s">
        <v>1448</v>
      </c>
      <c r="B127" s="1831" t="s">
        <v>1282</v>
      </c>
      <c r="C127" s="1834" t="s">
        <v>1395</v>
      </c>
      <c r="D127" s="1834" t="s">
        <v>954</v>
      </c>
      <c r="E127" s="1398" t="s">
        <v>1285</v>
      </c>
      <c r="F127" s="1402"/>
    </row>
    <row r="128" spans="1:6" ht="15.75" thickBot="1">
      <c r="A128" s="1838"/>
      <c r="B128" s="1832"/>
      <c r="C128" s="1835"/>
      <c r="D128" s="1835"/>
      <c r="E128" s="1398" t="s">
        <v>1284</v>
      </c>
      <c r="F128" s="1402"/>
    </row>
    <row r="129" spans="1:6" ht="15.75" thickBot="1">
      <c r="A129" s="1838"/>
      <c r="B129" s="1832"/>
      <c r="C129" s="1835"/>
      <c r="D129" s="1835"/>
      <c r="E129" s="1398" t="s">
        <v>1382</v>
      </c>
      <c r="F129" s="1402"/>
    </row>
    <row r="130" spans="1:6" ht="15.75" thickBot="1">
      <c r="A130" s="1841"/>
      <c r="B130" s="1833"/>
      <c r="C130" s="1836"/>
      <c r="D130" s="1836"/>
      <c r="E130" s="1398" t="s">
        <v>1280</v>
      </c>
      <c r="F130" s="1402"/>
    </row>
    <row r="131" spans="1:6" ht="15.75" thickBot="1">
      <c r="A131" s="1837" t="s">
        <v>1449</v>
      </c>
      <c r="B131" s="1831" t="s">
        <v>1282</v>
      </c>
      <c r="C131" s="1834" t="s">
        <v>1307</v>
      </c>
      <c r="D131" s="1834" t="s">
        <v>954</v>
      </c>
      <c r="E131" s="1398" t="s">
        <v>1285</v>
      </c>
      <c r="F131" s="1402"/>
    </row>
    <row r="132" spans="1:6" ht="15.75" thickBot="1">
      <c r="A132" s="1838"/>
      <c r="B132" s="1832"/>
      <c r="C132" s="1835"/>
      <c r="D132" s="1835"/>
      <c r="E132" s="1398" t="s">
        <v>1284</v>
      </c>
      <c r="F132" s="1402"/>
    </row>
    <row r="133" spans="1:6" ht="15.75" thickBot="1">
      <c r="A133" s="1838"/>
      <c r="B133" s="1832"/>
      <c r="C133" s="1835"/>
      <c r="D133" s="1835"/>
      <c r="E133" s="1398" t="s">
        <v>1382</v>
      </c>
      <c r="F133" s="1402"/>
    </row>
    <row r="134" spans="1:6" ht="15.75" thickBot="1">
      <c r="A134" s="1841"/>
      <c r="B134" s="1833"/>
      <c r="C134" s="1836"/>
      <c r="D134" s="1836"/>
      <c r="E134" s="1398" t="s">
        <v>1280</v>
      </c>
      <c r="F134" s="1402"/>
    </row>
    <row r="135" spans="1:6" ht="15.75" thickBot="1">
      <c r="A135" s="1831" t="s">
        <v>1398</v>
      </c>
      <c r="B135" s="1831" t="s">
        <v>1287</v>
      </c>
      <c r="C135" s="1834" t="s">
        <v>1307</v>
      </c>
      <c r="D135" s="1834" t="s">
        <v>954</v>
      </c>
      <c r="E135" s="1398" t="s">
        <v>1285</v>
      </c>
      <c r="F135" s="1402"/>
    </row>
    <row r="136" spans="1:6" ht="15.75" thickBot="1">
      <c r="A136" s="1832"/>
      <c r="B136" s="1832"/>
      <c r="C136" s="1835"/>
      <c r="D136" s="1835"/>
      <c r="E136" s="1398" t="s">
        <v>1284</v>
      </c>
      <c r="F136" s="1402"/>
    </row>
    <row r="137" spans="1:6" ht="15.75" thickBot="1">
      <c r="A137" s="1832"/>
      <c r="B137" s="1832"/>
      <c r="C137" s="1835"/>
      <c r="D137" s="1835"/>
      <c r="E137" s="1398" t="s">
        <v>1385</v>
      </c>
      <c r="F137" s="1402"/>
    </row>
    <row r="138" spans="1:6" ht="15.75" thickBot="1">
      <c r="A138" s="1832"/>
      <c r="B138" s="1832"/>
      <c r="C138" s="1835"/>
      <c r="D138" s="1835"/>
      <c r="E138" s="1398" t="s">
        <v>1382</v>
      </c>
      <c r="F138" s="1402"/>
    </row>
    <row r="139" spans="1:6" ht="15.75" thickBot="1">
      <c r="A139" s="1832"/>
      <c r="B139" s="1832"/>
      <c r="C139" s="1835"/>
      <c r="D139" s="1835"/>
      <c r="E139" s="1398" t="s">
        <v>1280</v>
      </c>
      <c r="F139" s="1402"/>
    </row>
    <row r="140" spans="1:6" ht="15.75" thickBot="1">
      <c r="A140" s="1832"/>
      <c r="B140" s="1832"/>
      <c r="C140" s="1835"/>
      <c r="D140" s="1835"/>
      <c r="E140" s="1398" t="s">
        <v>1387</v>
      </c>
      <c r="F140" s="1402"/>
    </row>
    <row r="141" spans="1:6" ht="15.75" thickBot="1">
      <c r="A141" s="1833"/>
      <c r="B141" s="1833"/>
      <c r="C141" s="1836"/>
      <c r="D141" s="1836"/>
      <c r="E141" s="1398" t="s">
        <v>237</v>
      </c>
      <c r="F141" s="1403"/>
    </row>
  </sheetData>
  <mergeCells count="119">
    <mergeCell ref="A73:F73"/>
    <mergeCell ref="A88:A89"/>
    <mergeCell ref="B88:B89"/>
    <mergeCell ref="C88:C89"/>
    <mergeCell ref="D88:D89"/>
    <mergeCell ref="A90:A91"/>
    <mergeCell ref="B90:B91"/>
    <mergeCell ref="C90:C91"/>
    <mergeCell ref="D90:D91"/>
    <mergeCell ref="A92:A95"/>
    <mergeCell ref="B92:B95"/>
    <mergeCell ref="C92:C95"/>
    <mergeCell ref="D92:D95"/>
    <mergeCell ref="A96:A99"/>
    <mergeCell ref="B96:B99"/>
    <mergeCell ref="C96:C99"/>
    <mergeCell ref="D96:D99"/>
    <mergeCell ref="A100:A103"/>
    <mergeCell ref="B100:B103"/>
    <mergeCell ref="C100:C103"/>
    <mergeCell ref="D100:D103"/>
    <mergeCell ref="A104:A106"/>
    <mergeCell ref="B104:B106"/>
    <mergeCell ref="C104:C106"/>
    <mergeCell ref="D104:D106"/>
    <mergeCell ref="A107:A108"/>
    <mergeCell ref="B107:B108"/>
    <mergeCell ref="C107:C108"/>
    <mergeCell ref="D107:D108"/>
    <mergeCell ref="A109:A112"/>
    <mergeCell ref="B109:B112"/>
    <mergeCell ref="C109:C112"/>
    <mergeCell ref="D109:D112"/>
    <mergeCell ref="A113:A116"/>
    <mergeCell ref="B113:B116"/>
    <mergeCell ref="C113:C116"/>
    <mergeCell ref="D113:D116"/>
    <mergeCell ref="A117:A119"/>
    <mergeCell ref="B117:B119"/>
    <mergeCell ref="C117:C119"/>
    <mergeCell ref="D117:D119"/>
    <mergeCell ref="A120:A122"/>
    <mergeCell ref="B120:B122"/>
    <mergeCell ref="C120:C122"/>
    <mergeCell ref="D120:D122"/>
    <mergeCell ref="A123:A126"/>
    <mergeCell ref="B123:B126"/>
    <mergeCell ref="C123:C126"/>
    <mergeCell ref="D123:D126"/>
    <mergeCell ref="A127:A130"/>
    <mergeCell ref="B127:B130"/>
    <mergeCell ref="C127:C130"/>
    <mergeCell ref="D127:D130"/>
    <mergeCell ref="A131:A134"/>
    <mergeCell ref="B131:B134"/>
    <mergeCell ref="C131:C134"/>
    <mergeCell ref="D131:D134"/>
    <mergeCell ref="A135:A141"/>
    <mergeCell ref="B135:B141"/>
    <mergeCell ref="C135:C141"/>
    <mergeCell ref="D135:D141"/>
    <mergeCell ref="S13:W13"/>
    <mergeCell ref="B2:D2"/>
    <mergeCell ref="B3:D3"/>
    <mergeCell ref="B4:D4"/>
    <mergeCell ref="J5:K5"/>
    <mergeCell ref="B6:D6"/>
    <mergeCell ref="B8:D8"/>
    <mergeCell ref="A10:B10"/>
    <mergeCell ref="C10:H10"/>
    <mergeCell ref="E12:H13"/>
    <mergeCell ref="I13:M13"/>
    <mergeCell ref="N13:R13"/>
    <mergeCell ref="A14:B14"/>
    <mergeCell ref="F14:H14"/>
    <mergeCell ref="A15:B17"/>
    <mergeCell ref="F15:H17"/>
    <mergeCell ref="A18:B20"/>
    <mergeCell ref="F18:H20"/>
    <mergeCell ref="A21:B22"/>
    <mergeCell ref="F21:H22"/>
    <mergeCell ref="F46:H46"/>
    <mergeCell ref="F47:H47"/>
    <mergeCell ref="F48:H48"/>
    <mergeCell ref="A23:B25"/>
    <mergeCell ref="F23:H25"/>
    <mergeCell ref="A26:C26"/>
    <mergeCell ref="F26:H26"/>
    <mergeCell ref="A27:B29"/>
    <mergeCell ref="F27:H29"/>
    <mergeCell ref="A30:B32"/>
    <mergeCell ref="F30:H32"/>
    <mergeCell ref="A33:B33"/>
    <mergeCell ref="F33:H33"/>
    <mergeCell ref="A43:B43"/>
    <mergeCell ref="A51:B53"/>
    <mergeCell ref="F51:H51"/>
    <mergeCell ref="F52:H52"/>
    <mergeCell ref="F53:H53"/>
    <mergeCell ref="A54:B54"/>
    <mergeCell ref="F54:H54"/>
    <mergeCell ref="A34:B34"/>
    <mergeCell ref="F34:H34"/>
    <mergeCell ref="A35:B36"/>
    <mergeCell ref="F35:H36"/>
    <mergeCell ref="A37:B39"/>
    <mergeCell ref="F37:H37"/>
    <mergeCell ref="F38:H39"/>
    <mergeCell ref="A49:B50"/>
    <mergeCell ref="F49:H49"/>
    <mergeCell ref="F50:H50"/>
    <mergeCell ref="A40:B42"/>
    <mergeCell ref="F40:H41"/>
    <mergeCell ref="F42:H42"/>
    <mergeCell ref="F43:H43"/>
    <mergeCell ref="A44:C44"/>
    <mergeCell ref="F44:H44"/>
    <mergeCell ref="A45:B48"/>
    <mergeCell ref="F45:H45"/>
  </mergeCells>
  <dataValidations count="3">
    <dataValidation type="list" allowBlank="1" showErrorMessage="1" sqref="H3">
      <formula1>$N$4:$N$5</formula1>
    </dataValidation>
    <dataValidation type="list" allowBlank="1" showErrorMessage="1" sqref="H2">
      <formula1>$N$2:$N$3</formula1>
    </dataValidation>
    <dataValidation type="list" allowBlank="1" showErrorMessage="1" sqref="H8">
      <formula1>"Enjeu EAU AESN,Enjeu EAU AEAP,Enjeu ZH et prairies AEAP,Enjeu Erosion AEAP,Enjeu Biodiversité MASA"</formula1>
    </dataValidation>
  </dataValidations>
  <hyperlinks>
    <hyperlink ref="J3" location="SOMMAIRE!A1" display="Retour sommaire"/>
  </hyperlink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7E4FF"/>
  </sheetPr>
  <dimension ref="A1:W112"/>
  <sheetViews>
    <sheetView topLeftCell="A46" workbookViewId="0">
      <selection activeCell="H59" sqref="H59"/>
    </sheetView>
  </sheetViews>
  <sheetFormatPr baseColWidth="10" defaultRowHeight="15"/>
  <cols>
    <col min="1" max="1" width="20.42578125" style="1" bestFit="1" customWidth="1"/>
    <col min="2" max="2" width="15.7109375" style="1" customWidth="1"/>
    <col min="3" max="3" width="40" style="1" customWidth="1"/>
    <col min="4" max="5" width="7.5703125" style="1" customWidth="1"/>
    <col min="6" max="6" width="16.28515625" style="1" bestFit="1" customWidth="1"/>
    <col min="7" max="7" width="16.5703125" style="1" bestFit="1" customWidth="1"/>
    <col min="8" max="8" width="15.140625" style="2" bestFit="1" customWidth="1"/>
    <col min="9" max="9" width="18.42578125" bestFit="1" customWidth="1"/>
  </cols>
  <sheetData>
    <row r="1" spans="1:23" ht="15.75" thickBot="1">
      <c r="A1"/>
      <c r="B1"/>
      <c r="C1" s="33" t="s">
        <v>468</v>
      </c>
      <c r="D1"/>
      <c r="E1" s="68"/>
      <c r="F1"/>
      <c r="G1"/>
      <c r="H1"/>
    </row>
    <row r="2" spans="1:23" ht="15.75" thickBot="1">
      <c r="A2" s="328" t="s">
        <v>0</v>
      </c>
      <c r="B2" s="1807" t="s">
        <v>793</v>
      </c>
      <c r="C2" s="1776"/>
      <c r="D2" s="1777"/>
      <c r="E2" s="407"/>
      <c r="F2" s="329"/>
      <c r="G2" s="330" t="s">
        <v>462</v>
      </c>
      <c r="H2" s="112" t="s">
        <v>14</v>
      </c>
    </row>
    <row r="3" spans="1:23" ht="15.75" thickBot="1">
      <c r="A3" s="331" t="s">
        <v>344</v>
      </c>
      <c r="B3" s="1807" t="s">
        <v>794</v>
      </c>
      <c r="C3" s="1880"/>
      <c r="D3" s="1881"/>
      <c r="E3" s="407"/>
      <c r="F3" s="329"/>
      <c r="G3" s="332" t="s">
        <v>10</v>
      </c>
      <c r="H3" s="112" t="s">
        <v>16</v>
      </c>
      <c r="J3" s="11" t="s">
        <v>73</v>
      </c>
    </row>
    <row r="4" spans="1:23" ht="15.75" thickBot="1">
      <c r="A4" s="332" t="s">
        <v>3</v>
      </c>
      <c r="B4" s="1809" t="s">
        <v>795</v>
      </c>
      <c r="C4" s="1776"/>
      <c r="D4" s="1777"/>
      <c r="E4" s="409"/>
      <c r="F4" s="329"/>
      <c r="G4" s="334" t="s">
        <v>26</v>
      </c>
      <c r="H4" s="392">
        <v>7</v>
      </c>
    </row>
    <row r="5" spans="1:23" ht="15.75" customHeight="1" thickBot="1">
      <c r="A5" s="329"/>
      <c r="B5" s="329"/>
      <c r="C5" s="329"/>
      <c r="D5" s="329"/>
      <c r="E5" s="407"/>
      <c r="F5" s="329"/>
      <c r="G5" s="329"/>
      <c r="H5" s="329"/>
      <c r="J5" s="13" t="s">
        <v>381</v>
      </c>
    </row>
    <row r="6" spans="1:23" ht="109.5" customHeight="1" thickBot="1">
      <c r="A6" s="328" t="s">
        <v>465</v>
      </c>
      <c r="B6" s="1823" t="s">
        <v>1567</v>
      </c>
      <c r="C6" s="1880"/>
      <c r="D6" s="1881"/>
      <c r="E6" s="407"/>
      <c r="F6" s="329"/>
      <c r="G6" s="335" t="s">
        <v>466</v>
      </c>
      <c r="H6" s="178" t="s">
        <v>796</v>
      </c>
    </row>
    <row r="7" spans="1:23" ht="15.75" thickBot="1">
      <c r="A7"/>
      <c r="B7" s="329"/>
      <c r="C7" s="329"/>
      <c r="D7" s="329"/>
      <c r="E7" s="407"/>
      <c r="F7" s="329"/>
      <c r="G7" s="337"/>
      <c r="H7" s="329"/>
      <c r="J7" s="1821"/>
    </row>
    <row r="8" spans="1:23" ht="30.75" thickBot="1">
      <c r="A8" s="338" t="s">
        <v>7</v>
      </c>
      <c r="B8" s="1823" t="s">
        <v>797</v>
      </c>
      <c r="C8" s="1776"/>
      <c r="D8" s="1777"/>
      <c r="E8" s="409"/>
      <c r="F8" s="339"/>
      <c r="G8" s="338" t="s">
        <v>469</v>
      </c>
      <c r="H8" s="123" t="s">
        <v>537</v>
      </c>
      <c r="J8" s="1821"/>
    </row>
    <row r="9" spans="1:23" ht="15.75" thickBot="1">
      <c r="A9"/>
      <c r="B9" s="329"/>
      <c r="C9" s="329"/>
      <c r="D9" s="329"/>
      <c r="E9" s="407"/>
      <c r="F9" s="329"/>
      <c r="G9" s="337"/>
      <c r="H9" s="329"/>
    </row>
    <row r="10" spans="1:23" ht="142.5" customHeight="1" thickBot="1">
      <c r="A10" s="1813" t="s">
        <v>471</v>
      </c>
      <c r="B10" s="1772"/>
      <c r="C10" s="1882" t="s">
        <v>798</v>
      </c>
      <c r="D10" s="1883"/>
      <c r="E10" s="1883"/>
      <c r="F10" s="1883"/>
      <c r="G10" s="1883"/>
      <c r="H10" s="1884"/>
    </row>
    <row r="11" spans="1:23">
      <c r="A11" s="343"/>
      <c r="B11" s="333"/>
      <c r="C11" s="115"/>
      <c r="D11" s="333"/>
      <c r="E11" s="409"/>
      <c r="F11" s="339"/>
      <c r="G11" s="342"/>
      <c r="H11" s="342"/>
    </row>
    <row r="12" spans="1:23">
      <c r="A12" s="343"/>
      <c r="B12" s="333"/>
      <c r="C12" s="333"/>
      <c r="D12" s="333"/>
      <c r="E12" s="1814" t="s">
        <v>473</v>
      </c>
      <c r="F12" s="1772"/>
      <c r="G12" s="1772"/>
      <c r="H12" s="1772"/>
    </row>
    <row r="13" spans="1:23" ht="15" customHeight="1">
      <c r="A13" s="329"/>
      <c r="B13" s="329"/>
      <c r="C13" s="329"/>
      <c r="D13" s="329"/>
      <c r="E13" s="1780"/>
      <c r="F13" s="1780"/>
      <c r="G13" s="1780"/>
      <c r="H13" s="1780"/>
      <c r="I13" s="1825">
        <v>2025</v>
      </c>
      <c r="J13" s="1826"/>
      <c r="K13" s="1826"/>
      <c r="L13" s="1826"/>
      <c r="M13" s="1827"/>
      <c r="N13" s="1825">
        <v>2026</v>
      </c>
      <c r="O13" s="1826"/>
      <c r="P13" s="1826"/>
      <c r="Q13" s="1826"/>
      <c r="R13" s="1827"/>
      <c r="S13" s="1825">
        <v>2027</v>
      </c>
      <c r="T13" s="1826"/>
      <c r="U13" s="1826"/>
      <c r="V13" s="1826"/>
      <c r="W13" s="1827"/>
    </row>
    <row r="14" spans="1:23" ht="15" customHeight="1" thickBot="1">
      <c r="A14" s="1816" t="s">
        <v>5</v>
      </c>
      <c r="B14" s="1792"/>
      <c r="C14" s="344" t="s">
        <v>1</v>
      </c>
      <c r="D14" s="344" t="s">
        <v>260</v>
      </c>
      <c r="E14" s="529" t="s">
        <v>474</v>
      </c>
      <c r="F14" s="1866" t="s">
        <v>6</v>
      </c>
      <c r="G14" s="1771"/>
      <c r="H14" s="1792"/>
      <c r="I14" s="897" t="s">
        <v>474</v>
      </c>
      <c r="J14" s="898" t="s">
        <v>944</v>
      </c>
      <c r="K14" s="899" t="s">
        <v>945</v>
      </c>
      <c r="L14" s="898" t="s">
        <v>946</v>
      </c>
      <c r="M14" s="900" t="s">
        <v>947</v>
      </c>
      <c r="N14" s="897" t="s">
        <v>474</v>
      </c>
      <c r="O14" s="898" t="s">
        <v>944</v>
      </c>
      <c r="P14" s="899" t="s">
        <v>945</v>
      </c>
      <c r="Q14" s="898" t="s">
        <v>946</v>
      </c>
      <c r="R14" s="900" t="s">
        <v>947</v>
      </c>
      <c r="S14" s="897" t="s">
        <v>474</v>
      </c>
      <c r="T14" s="898" t="s">
        <v>944</v>
      </c>
      <c r="U14" s="899" t="s">
        <v>945</v>
      </c>
      <c r="V14" s="898" t="s">
        <v>946</v>
      </c>
      <c r="W14" s="900" t="s">
        <v>947</v>
      </c>
    </row>
    <row r="15" spans="1:23" ht="43.5" customHeight="1">
      <c r="A15" s="1804" t="s">
        <v>17</v>
      </c>
      <c r="B15" s="1771"/>
      <c r="C15" s="346" t="s">
        <v>59</v>
      </c>
      <c r="D15" s="347" t="s">
        <v>251</v>
      </c>
      <c r="E15" s="530"/>
      <c r="F15" s="1867" t="s">
        <v>477</v>
      </c>
      <c r="G15" s="1868"/>
      <c r="H15" s="1869"/>
      <c r="I15" s="901"/>
      <c r="J15" s="902"/>
      <c r="K15" s="902"/>
      <c r="L15" s="902"/>
      <c r="M15" s="903"/>
      <c r="N15" s="901"/>
      <c r="O15" s="902"/>
      <c r="P15" s="902"/>
      <c r="Q15" s="902"/>
      <c r="R15" s="903"/>
      <c r="S15" s="901"/>
      <c r="T15" s="902"/>
      <c r="U15" s="902"/>
      <c r="V15" s="902"/>
      <c r="W15" s="903"/>
    </row>
    <row r="16" spans="1:23" ht="31.5" customHeight="1">
      <c r="A16" s="1772"/>
      <c r="B16" s="1772"/>
      <c r="C16" s="349" t="s">
        <v>18</v>
      </c>
      <c r="D16" s="350" t="s">
        <v>168</v>
      </c>
      <c r="E16" s="531"/>
      <c r="F16" s="1870"/>
      <c r="G16" s="1871"/>
      <c r="H16" s="1872"/>
      <c r="I16" s="904"/>
      <c r="J16" s="905"/>
      <c r="K16" s="905"/>
      <c r="L16" s="905"/>
      <c r="M16" s="905"/>
      <c r="N16" s="904"/>
      <c r="O16" s="905"/>
      <c r="P16" s="905"/>
      <c r="Q16" s="905"/>
      <c r="R16" s="905"/>
      <c r="S16" s="904"/>
      <c r="T16" s="905"/>
      <c r="U16" s="905"/>
      <c r="V16" s="905"/>
      <c r="W16" s="905"/>
    </row>
    <row r="17" spans="1:23" ht="30" customHeight="1" thickBot="1">
      <c r="A17" s="1780"/>
      <c r="B17" s="1780"/>
      <c r="C17" s="532" t="s">
        <v>19</v>
      </c>
      <c r="D17" s="533" t="s">
        <v>233</v>
      </c>
      <c r="E17" s="534"/>
      <c r="F17" s="1870"/>
      <c r="G17" s="1871"/>
      <c r="H17" s="1872"/>
      <c r="I17" s="906"/>
      <c r="J17" s="905"/>
      <c r="K17" s="905"/>
      <c r="L17" s="905"/>
      <c r="M17" s="905"/>
      <c r="N17" s="906"/>
      <c r="O17" s="905"/>
      <c r="P17" s="905"/>
      <c r="Q17" s="905"/>
      <c r="R17" s="905"/>
      <c r="S17" s="906"/>
      <c r="T17" s="905"/>
      <c r="U17" s="905"/>
      <c r="V17" s="905"/>
      <c r="W17" s="905"/>
    </row>
    <row r="18" spans="1:23">
      <c r="A18" s="1804" t="s">
        <v>20</v>
      </c>
      <c r="B18" s="1771"/>
      <c r="C18" s="423" t="s">
        <v>54</v>
      </c>
      <c r="D18" s="430" t="s">
        <v>261</v>
      </c>
      <c r="E18" s="535"/>
      <c r="F18" s="1873" t="s">
        <v>799</v>
      </c>
      <c r="G18" s="1874"/>
      <c r="H18" s="1875"/>
      <c r="I18" s="906"/>
      <c r="J18" s="905"/>
      <c r="K18" s="905"/>
      <c r="L18" s="905"/>
      <c r="M18" s="905"/>
      <c r="N18" s="906"/>
      <c r="O18" s="905"/>
      <c r="P18" s="905"/>
      <c r="Q18" s="905"/>
      <c r="R18" s="905"/>
      <c r="S18" s="906"/>
      <c r="T18" s="905"/>
      <c r="U18" s="905"/>
      <c r="V18" s="905"/>
      <c r="W18" s="905"/>
    </row>
    <row r="19" spans="1:23">
      <c r="A19" s="1772"/>
      <c r="B19" s="1772"/>
      <c r="C19" s="536" t="s">
        <v>21</v>
      </c>
      <c r="D19" s="353" t="s">
        <v>234</v>
      </c>
      <c r="E19" s="418" t="s">
        <v>277</v>
      </c>
      <c r="F19" s="1876"/>
      <c r="G19" s="1876"/>
      <c r="H19" s="1877"/>
      <c r="I19" s="906" t="s">
        <v>277</v>
      </c>
      <c r="J19" s="905">
        <v>1</v>
      </c>
      <c r="K19" s="905"/>
      <c r="L19" s="905">
        <v>100</v>
      </c>
      <c r="M19" s="905">
        <v>102500</v>
      </c>
      <c r="N19" s="906"/>
      <c r="O19" s="905"/>
      <c r="P19" s="905"/>
      <c r="Q19" s="905"/>
      <c r="R19" s="905"/>
      <c r="S19" s="906" t="s">
        <v>277</v>
      </c>
      <c r="T19" s="905">
        <v>1</v>
      </c>
      <c r="U19" s="905"/>
      <c r="V19" s="905">
        <v>100</v>
      </c>
      <c r="W19" s="905">
        <v>102500</v>
      </c>
    </row>
    <row r="20" spans="1:23" ht="60.75" customHeight="1" thickBot="1">
      <c r="A20" s="1772"/>
      <c r="B20" s="1772"/>
      <c r="C20" s="426" t="s">
        <v>22</v>
      </c>
      <c r="D20" s="427" t="s">
        <v>235</v>
      </c>
      <c r="E20" s="537" t="s">
        <v>277</v>
      </c>
      <c r="F20" s="1878"/>
      <c r="G20" s="1878"/>
      <c r="H20" s="1879"/>
      <c r="I20" s="906" t="s">
        <v>277</v>
      </c>
      <c r="J20" s="905">
        <v>1</v>
      </c>
      <c r="K20" s="905">
        <v>1</v>
      </c>
      <c r="L20" s="905">
        <v>100</v>
      </c>
      <c r="M20" s="905">
        <v>153000</v>
      </c>
      <c r="N20" s="906" t="s">
        <v>277</v>
      </c>
      <c r="O20" s="905">
        <v>1</v>
      </c>
      <c r="P20" s="905">
        <v>1</v>
      </c>
      <c r="Q20" s="905">
        <v>100</v>
      </c>
      <c r="R20" s="905">
        <v>153000</v>
      </c>
      <c r="S20" s="906" t="s">
        <v>277</v>
      </c>
      <c r="T20" s="905">
        <v>1</v>
      </c>
      <c r="U20" s="905">
        <v>1</v>
      </c>
      <c r="V20" s="905">
        <v>100</v>
      </c>
      <c r="W20" s="905">
        <v>153000</v>
      </c>
    </row>
    <row r="21" spans="1:23" ht="15" customHeight="1">
      <c r="A21" s="1804" t="s">
        <v>23</v>
      </c>
      <c r="B21" s="1771"/>
      <c r="C21" s="436" t="s">
        <v>69</v>
      </c>
      <c r="D21" s="430" t="s">
        <v>267</v>
      </c>
      <c r="E21" s="535"/>
      <c r="F21" s="1873" t="s">
        <v>800</v>
      </c>
      <c r="G21" s="1874"/>
      <c r="H21" s="1875"/>
      <c r="I21" s="906"/>
      <c r="J21" s="905"/>
      <c r="K21" s="905"/>
      <c r="L21" s="905"/>
      <c r="M21" s="905"/>
      <c r="N21" s="906"/>
      <c r="O21" s="905"/>
      <c r="P21" s="905"/>
      <c r="Q21" s="905"/>
      <c r="R21" s="905"/>
      <c r="S21" s="906"/>
      <c r="T21" s="905"/>
      <c r="U21" s="905"/>
      <c r="V21" s="905"/>
      <c r="W21" s="905"/>
    </row>
    <row r="22" spans="1:23" ht="15" customHeight="1" thickBot="1">
      <c r="A22" s="1780"/>
      <c r="B22" s="1780"/>
      <c r="C22" s="438" t="s">
        <v>24</v>
      </c>
      <c r="D22" s="439" t="s">
        <v>236</v>
      </c>
      <c r="E22" s="537" t="s">
        <v>277</v>
      </c>
      <c r="F22" s="1878"/>
      <c r="G22" s="1878"/>
      <c r="H22" s="1879"/>
      <c r="I22" s="906"/>
      <c r="J22" s="905"/>
      <c r="K22" s="905"/>
      <c r="L22" s="905"/>
      <c r="M22" s="905"/>
      <c r="N22" s="906" t="s">
        <v>277</v>
      </c>
      <c r="O22" s="905">
        <v>1</v>
      </c>
      <c r="P22" s="905"/>
      <c r="Q22" s="905">
        <v>100</v>
      </c>
      <c r="R22" s="905">
        <v>68000</v>
      </c>
      <c r="S22" s="906"/>
      <c r="T22" s="905"/>
      <c r="U22" s="905"/>
      <c r="V22" s="905"/>
      <c r="W22" s="905"/>
    </row>
    <row r="23" spans="1:23" ht="15" customHeight="1">
      <c r="A23" s="1801" t="s">
        <v>478</v>
      </c>
      <c r="B23" s="1792"/>
      <c r="C23" s="538" t="s">
        <v>360</v>
      </c>
      <c r="D23" s="539" t="s">
        <v>265</v>
      </c>
      <c r="E23" s="501"/>
      <c r="F23" s="1871" t="s">
        <v>477</v>
      </c>
      <c r="G23" s="1772"/>
      <c r="H23" s="1799"/>
      <c r="I23" s="906"/>
      <c r="J23" s="905"/>
      <c r="K23" s="905"/>
      <c r="L23" s="905"/>
      <c r="M23" s="905"/>
      <c r="N23" s="906"/>
      <c r="O23" s="905"/>
      <c r="P23" s="905"/>
      <c r="Q23" s="905"/>
      <c r="R23" s="905"/>
      <c r="S23" s="906"/>
      <c r="T23" s="905"/>
      <c r="U23" s="905"/>
      <c r="V23" s="905"/>
      <c r="W23" s="905"/>
    </row>
    <row r="24" spans="1:23" ht="15.75">
      <c r="A24" s="1779"/>
      <c r="B24" s="1799"/>
      <c r="C24" s="360" t="s">
        <v>361</v>
      </c>
      <c r="D24" s="358" t="s">
        <v>362</v>
      </c>
      <c r="E24" s="493"/>
      <c r="F24" s="1845"/>
      <c r="G24" s="1845"/>
      <c r="H24" s="1799"/>
      <c r="I24" s="906"/>
      <c r="J24" s="905"/>
      <c r="K24" s="905"/>
      <c r="L24" s="905"/>
      <c r="M24" s="905"/>
      <c r="N24" s="906"/>
      <c r="O24" s="905"/>
      <c r="P24" s="905"/>
      <c r="Q24" s="905"/>
      <c r="R24" s="905"/>
      <c r="S24" s="906"/>
      <c r="T24" s="905"/>
      <c r="U24" s="905"/>
      <c r="V24" s="905"/>
      <c r="W24" s="905"/>
    </row>
    <row r="25" spans="1:23" ht="16.5" thickBot="1">
      <c r="A25" s="1779"/>
      <c r="B25" s="1799"/>
      <c r="C25" s="361" t="s">
        <v>479</v>
      </c>
      <c r="D25" s="358" t="s">
        <v>480</v>
      </c>
      <c r="E25" s="493"/>
      <c r="F25" s="1780"/>
      <c r="G25" s="1780"/>
      <c r="H25" s="1793"/>
      <c r="I25" s="906"/>
      <c r="J25" s="905"/>
      <c r="K25" s="905"/>
      <c r="L25" s="905"/>
      <c r="M25" s="905"/>
      <c r="N25" s="906"/>
      <c r="O25" s="905"/>
      <c r="P25" s="905"/>
      <c r="Q25" s="905"/>
      <c r="R25" s="905"/>
      <c r="S25" s="906"/>
      <c r="T25" s="905"/>
      <c r="U25" s="905"/>
      <c r="V25" s="905"/>
      <c r="W25" s="905"/>
    </row>
    <row r="26" spans="1:23" ht="15.75" thickBot="1">
      <c r="A26" s="1802" t="s">
        <v>25</v>
      </c>
      <c r="B26" s="1776"/>
      <c r="C26" s="1777"/>
      <c r="D26" s="362" t="s">
        <v>270</v>
      </c>
      <c r="E26" s="493"/>
      <c r="F26" s="1763" t="s">
        <v>481</v>
      </c>
      <c r="G26" s="1762"/>
      <c r="H26" s="1764"/>
      <c r="I26" s="906"/>
      <c r="J26" s="905"/>
      <c r="K26" s="905"/>
      <c r="L26" s="905"/>
      <c r="M26" s="905"/>
      <c r="N26" s="906"/>
      <c r="O26" s="905"/>
      <c r="P26" s="905"/>
      <c r="Q26" s="905"/>
      <c r="R26" s="905"/>
      <c r="S26" s="906"/>
      <c r="T26" s="905"/>
      <c r="U26" s="905"/>
      <c r="V26" s="905"/>
      <c r="W26" s="905"/>
    </row>
    <row r="27" spans="1:23" ht="15.75">
      <c r="A27" s="1803" t="s">
        <v>153</v>
      </c>
      <c r="B27" s="1788"/>
      <c r="C27" s="363" t="s">
        <v>152</v>
      </c>
      <c r="D27" s="364" t="s">
        <v>268</v>
      </c>
      <c r="E27" s="493"/>
      <c r="F27" s="1791" t="s">
        <v>475</v>
      </c>
      <c r="G27" s="1771"/>
      <c r="H27" s="1792"/>
      <c r="I27" s="906"/>
      <c r="J27" s="905"/>
      <c r="K27" s="905"/>
      <c r="L27" s="905"/>
      <c r="M27" s="905"/>
      <c r="N27" s="906"/>
      <c r="O27" s="905"/>
      <c r="P27" s="905"/>
      <c r="Q27" s="905"/>
      <c r="R27" s="905"/>
      <c r="S27" s="906"/>
      <c r="T27" s="905"/>
      <c r="U27" s="905"/>
      <c r="V27" s="905"/>
      <c r="W27" s="905"/>
    </row>
    <row r="28" spans="1:23" ht="15.75">
      <c r="A28" s="1779"/>
      <c r="B28" s="1788"/>
      <c r="C28" s="365" t="s">
        <v>154</v>
      </c>
      <c r="D28" s="364" t="s">
        <v>392</v>
      </c>
      <c r="E28" s="493"/>
      <c r="F28" s="1845"/>
      <c r="G28" s="1845"/>
      <c r="H28" s="1799"/>
      <c r="I28" s="906"/>
      <c r="J28" s="905"/>
      <c r="K28" s="905"/>
      <c r="L28" s="905"/>
      <c r="M28" s="905"/>
      <c r="N28" s="906"/>
      <c r="O28" s="905"/>
      <c r="P28" s="905"/>
      <c r="Q28" s="905"/>
      <c r="R28" s="905"/>
      <c r="S28" s="906"/>
      <c r="T28" s="905"/>
      <c r="U28" s="905"/>
      <c r="V28" s="905"/>
      <c r="W28" s="905"/>
    </row>
    <row r="29" spans="1:23" ht="16.5" thickBot="1">
      <c r="A29" s="1767"/>
      <c r="B29" s="1768"/>
      <c r="C29" s="366" t="s">
        <v>400</v>
      </c>
      <c r="D29" s="364" t="s">
        <v>393</v>
      </c>
      <c r="E29" s="493"/>
      <c r="F29" s="1780"/>
      <c r="G29" s="1780"/>
      <c r="H29" s="1793"/>
      <c r="I29" s="906"/>
      <c r="J29" s="905"/>
      <c r="K29" s="905"/>
      <c r="L29" s="905"/>
      <c r="M29" s="905"/>
      <c r="N29" s="906"/>
      <c r="O29" s="905"/>
      <c r="P29" s="905"/>
      <c r="Q29" s="905"/>
      <c r="R29" s="905"/>
      <c r="S29" s="906"/>
      <c r="T29" s="905"/>
      <c r="U29" s="905"/>
      <c r="V29" s="905"/>
      <c r="W29" s="905"/>
    </row>
    <row r="30" spans="1:23" ht="15.75">
      <c r="A30" s="1797" t="s">
        <v>153</v>
      </c>
      <c r="B30" s="1766"/>
      <c r="C30" s="367" t="s">
        <v>155</v>
      </c>
      <c r="D30" s="364" t="s">
        <v>266</v>
      </c>
      <c r="E30" s="493"/>
      <c r="F30" s="1791" t="s">
        <v>475</v>
      </c>
      <c r="G30" s="1771"/>
      <c r="H30" s="1792"/>
      <c r="I30" s="906"/>
      <c r="J30" s="905"/>
      <c r="K30" s="905"/>
      <c r="L30" s="905"/>
      <c r="M30" s="905"/>
      <c r="N30" s="906"/>
      <c r="O30" s="905"/>
      <c r="P30" s="905"/>
      <c r="Q30" s="905"/>
      <c r="R30" s="905"/>
      <c r="S30" s="906"/>
      <c r="T30" s="905"/>
      <c r="U30" s="905"/>
      <c r="V30" s="905"/>
      <c r="W30" s="905"/>
    </row>
    <row r="31" spans="1:23" ht="15.75">
      <c r="A31" s="1779"/>
      <c r="B31" s="1788"/>
      <c r="C31" s="365" t="s">
        <v>156</v>
      </c>
      <c r="D31" s="364" t="s">
        <v>394</v>
      </c>
      <c r="E31" s="493"/>
      <c r="F31" s="1845"/>
      <c r="G31" s="1845"/>
      <c r="H31" s="1799"/>
      <c r="I31" s="906"/>
      <c r="J31" s="905"/>
      <c r="K31" s="905"/>
      <c r="L31" s="905"/>
      <c r="M31" s="905"/>
      <c r="N31" s="906"/>
      <c r="O31" s="905"/>
      <c r="P31" s="905"/>
      <c r="Q31" s="905"/>
      <c r="R31" s="905"/>
      <c r="S31" s="906"/>
      <c r="T31" s="905"/>
      <c r="U31" s="905"/>
      <c r="V31" s="905"/>
      <c r="W31" s="905"/>
    </row>
    <row r="32" spans="1:23" ht="16.5" thickBot="1">
      <c r="A32" s="1767"/>
      <c r="B32" s="1768"/>
      <c r="C32" s="366" t="s">
        <v>399</v>
      </c>
      <c r="D32" s="364" t="s">
        <v>395</v>
      </c>
      <c r="E32" s="493"/>
      <c r="F32" s="1780"/>
      <c r="G32" s="1780"/>
      <c r="H32" s="1793"/>
      <c r="I32" s="906"/>
      <c r="J32" s="905"/>
      <c r="K32" s="905"/>
      <c r="L32" s="905"/>
      <c r="M32" s="905"/>
      <c r="N32" s="906"/>
      <c r="O32" s="905"/>
      <c r="P32" s="905"/>
      <c r="Q32" s="905"/>
      <c r="R32" s="905"/>
      <c r="S32" s="906"/>
      <c r="T32" s="905"/>
      <c r="U32" s="905"/>
      <c r="V32" s="905"/>
      <c r="W32" s="905"/>
    </row>
    <row r="33" spans="1:23" ht="16.5" thickBot="1">
      <c r="A33" s="1797" t="s">
        <v>482</v>
      </c>
      <c r="B33" s="1766"/>
      <c r="C33" s="367" t="s">
        <v>365</v>
      </c>
      <c r="D33" s="364" t="s">
        <v>252</v>
      </c>
      <c r="E33" s="493"/>
      <c r="F33" s="1791" t="s">
        <v>483</v>
      </c>
      <c r="G33" s="1771"/>
      <c r="H33" s="1792"/>
      <c r="I33" s="906"/>
      <c r="J33" s="905"/>
      <c r="K33" s="905"/>
      <c r="L33" s="905"/>
      <c r="M33" s="905"/>
      <c r="N33" s="906"/>
      <c r="O33" s="905"/>
      <c r="P33" s="905"/>
      <c r="Q33" s="905"/>
      <c r="R33" s="905"/>
      <c r="S33" s="906"/>
      <c r="T33" s="905"/>
      <c r="U33" s="905"/>
      <c r="V33" s="905"/>
      <c r="W33" s="905"/>
    </row>
    <row r="34" spans="1:23" ht="16.5" thickBot="1">
      <c r="A34" s="1797" t="s">
        <v>484</v>
      </c>
      <c r="B34" s="1766"/>
      <c r="C34" s="367" t="s">
        <v>485</v>
      </c>
      <c r="D34" s="364" t="s">
        <v>264</v>
      </c>
      <c r="E34" s="493"/>
      <c r="F34" s="1800"/>
      <c r="G34" s="1771"/>
      <c r="H34" s="1792"/>
      <c r="I34" s="906"/>
      <c r="J34" s="905"/>
      <c r="K34" s="905"/>
      <c r="L34" s="905"/>
      <c r="M34" s="905"/>
      <c r="N34" s="906"/>
      <c r="O34" s="905"/>
      <c r="P34" s="905"/>
      <c r="Q34" s="905"/>
      <c r="R34" s="905"/>
      <c r="S34" s="906"/>
      <c r="T34" s="905"/>
      <c r="U34" s="905"/>
      <c r="V34" s="905"/>
      <c r="W34" s="905"/>
    </row>
    <row r="35" spans="1:23" ht="15.75">
      <c r="A35" s="1795" t="s">
        <v>486</v>
      </c>
      <c r="B35" s="1766"/>
      <c r="C35" s="368" t="s">
        <v>43</v>
      </c>
      <c r="D35" s="369" t="s">
        <v>256</v>
      </c>
      <c r="E35" s="493"/>
      <c r="F35" s="1791" t="s">
        <v>487</v>
      </c>
      <c r="G35" s="1771"/>
      <c r="H35" s="1792"/>
      <c r="I35" s="906"/>
      <c r="J35" s="905"/>
      <c r="K35" s="905"/>
      <c r="L35" s="905"/>
      <c r="M35" s="905"/>
      <c r="N35" s="906"/>
      <c r="O35" s="905"/>
      <c r="P35" s="905"/>
      <c r="Q35" s="905"/>
      <c r="R35" s="905"/>
      <c r="S35" s="906"/>
      <c r="T35" s="905"/>
      <c r="U35" s="905"/>
      <c r="V35" s="905"/>
      <c r="W35" s="905"/>
    </row>
    <row r="36" spans="1:23" ht="16.5" thickBot="1">
      <c r="A36" s="1767"/>
      <c r="B36" s="1768"/>
      <c r="C36" s="370" t="s">
        <v>60</v>
      </c>
      <c r="D36" s="369" t="s">
        <v>257</v>
      </c>
      <c r="E36" s="493"/>
      <c r="F36" s="1780"/>
      <c r="G36" s="1780"/>
      <c r="H36" s="1793"/>
      <c r="I36" s="906"/>
      <c r="J36" s="905"/>
      <c r="K36" s="905"/>
      <c r="L36" s="905"/>
      <c r="M36" s="905"/>
      <c r="N36" s="906"/>
      <c r="O36" s="905"/>
      <c r="P36" s="905"/>
      <c r="Q36" s="905"/>
      <c r="R36" s="905"/>
      <c r="S36" s="906"/>
      <c r="T36" s="905"/>
      <c r="U36" s="905"/>
      <c r="V36" s="905"/>
      <c r="W36" s="905"/>
    </row>
    <row r="37" spans="1:23" ht="30">
      <c r="A37" s="1796" t="s">
        <v>33</v>
      </c>
      <c r="B37" s="1771"/>
      <c r="C37" s="371" t="s">
        <v>30</v>
      </c>
      <c r="D37" s="372" t="s">
        <v>170</v>
      </c>
      <c r="E37" s="493"/>
      <c r="F37" s="1819" t="s">
        <v>510</v>
      </c>
      <c r="G37" s="1771"/>
      <c r="H37" s="1792"/>
      <c r="I37" s="906"/>
      <c r="J37" s="905"/>
      <c r="K37" s="905"/>
      <c r="L37" s="905"/>
      <c r="M37" s="905"/>
      <c r="N37" s="906"/>
      <c r="O37" s="905"/>
      <c r="P37" s="905"/>
      <c r="Q37" s="905"/>
      <c r="R37" s="905"/>
      <c r="S37" s="906"/>
      <c r="T37" s="905"/>
      <c r="U37" s="905"/>
      <c r="V37" s="905"/>
      <c r="W37" s="905"/>
    </row>
    <row r="38" spans="1:23" ht="30">
      <c r="A38" s="1779"/>
      <c r="B38" s="1772"/>
      <c r="C38" s="373" t="s">
        <v>31</v>
      </c>
      <c r="D38" s="372" t="s">
        <v>169</v>
      </c>
      <c r="E38" s="418" t="s">
        <v>277</v>
      </c>
      <c r="F38" s="1820" t="s">
        <v>801</v>
      </c>
      <c r="G38" s="1771"/>
      <c r="H38" s="1792"/>
      <c r="I38" s="906"/>
      <c r="J38" s="905"/>
      <c r="K38" s="905"/>
      <c r="L38" s="905"/>
      <c r="M38" s="905"/>
      <c r="N38" s="906" t="s">
        <v>277</v>
      </c>
      <c r="O38" s="905">
        <v>1</v>
      </c>
      <c r="P38" s="905"/>
      <c r="Q38" s="905">
        <v>80</v>
      </c>
      <c r="R38" s="905">
        <v>70800</v>
      </c>
      <c r="S38" s="906"/>
      <c r="T38" s="905"/>
      <c r="U38" s="905"/>
      <c r="V38" s="905"/>
      <c r="W38" s="905"/>
    </row>
    <row r="39" spans="1:23" ht="30.75" thickBot="1">
      <c r="A39" s="1779"/>
      <c r="B39" s="1772"/>
      <c r="C39" s="374" t="s">
        <v>32</v>
      </c>
      <c r="D39" s="372" t="s">
        <v>250</v>
      </c>
      <c r="E39" s="418" t="s">
        <v>277</v>
      </c>
      <c r="F39" s="1780"/>
      <c r="G39" s="1780"/>
      <c r="H39" s="1793"/>
      <c r="I39" s="906" t="s">
        <v>277</v>
      </c>
      <c r="J39" s="905">
        <v>1</v>
      </c>
      <c r="K39" s="905"/>
      <c r="L39" s="905">
        <v>80</v>
      </c>
      <c r="M39" s="905">
        <v>93200</v>
      </c>
      <c r="N39" s="906"/>
      <c r="O39" s="905"/>
      <c r="P39" s="905"/>
      <c r="Q39" s="905"/>
      <c r="R39" s="905"/>
      <c r="S39" s="906" t="s">
        <v>277</v>
      </c>
      <c r="T39" s="905">
        <v>1</v>
      </c>
      <c r="U39" s="905"/>
      <c r="V39" s="905">
        <v>80</v>
      </c>
      <c r="W39" s="905">
        <v>93200</v>
      </c>
    </row>
    <row r="40" spans="1:23" ht="15.75">
      <c r="A40" s="1786" t="s">
        <v>491</v>
      </c>
      <c r="B40" s="1787"/>
      <c r="C40" s="375" t="s">
        <v>144</v>
      </c>
      <c r="D40" s="376" t="s">
        <v>253</v>
      </c>
      <c r="E40" s="493"/>
      <c r="F40" s="1791" t="s">
        <v>492</v>
      </c>
      <c r="G40" s="1771"/>
      <c r="H40" s="1792"/>
      <c r="I40" s="906"/>
      <c r="J40" s="905"/>
      <c r="K40" s="905"/>
      <c r="L40" s="905"/>
      <c r="M40" s="905"/>
      <c r="N40" s="906"/>
      <c r="O40" s="905"/>
      <c r="P40" s="905"/>
      <c r="Q40" s="905"/>
      <c r="R40" s="905"/>
      <c r="S40" s="906"/>
      <c r="T40" s="905"/>
      <c r="U40" s="905"/>
      <c r="V40" s="905"/>
      <c r="W40" s="905"/>
    </row>
    <row r="41" spans="1:23" ht="15.75">
      <c r="A41" s="1772"/>
      <c r="B41" s="1788"/>
      <c r="C41" s="1244" t="s">
        <v>145</v>
      </c>
      <c r="D41" s="376" t="s">
        <v>254</v>
      </c>
      <c r="E41" s="493"/>
      <c r="F41" s="1780"/>
      <c r="G41" s="1780"/>
      <c r="H41" s="1793"/>
      <c r="I41" s="906"/>
      <c r="J41" s="905"/>
      <c r="K41" s="905"/>
      <c r="L41" s="905"/>
      <c r="M41" s="905"/>
      <c r="N41" s="906"/>
      <c r="O41" s="905"/>
      <c r="P41" s="905"/>
      <c r="Q41" s="905"/>
      <c r="R41" s="905"/>
      <c r="S41" s="906"/>
      <c r="T41" s="905"/>
      <c r="U41" s="905"/>
      <c r="V41" s="905"/>
      <c r="W41" s="905"/>
    </row>
    <row r="42" spans="1:23" ht="48" thickBot="1">
      <c r="A42" s="1789"/>
      <c r="B42" s="1789"/>
      <c r="C42" s="1245" t="s">
        <v>128</v>
      </c>
      <c r="D42" s="1243" t="s">
        <v>262</v>
      </c>
      <c r="E42" s="540"/>
      <c r="F42" s="1858"/>
      <c r="G42" s="1771"/>
      <c r="H42" s="1792"/>
      <c r="I42" s="906"/>
      <c r="J42" s="905"/>
      <c r="K42" s="905"/>
      <c r="L42" s="905"/>
      <c r="M42" s="905"/>
      <c r="N42" s="906"/>
      <c r="O42" s="905"/>
      <c r="P42" s="905"/>
      <c r="Q42" s="905"/>
      <c r="R42" s="905"/>
      <c r="S42" s="906"/>
      <c r="T42" s="905"/>
      <c r="U42" s="905"/>
      <c r="V42" s="905"/>
      <c r="W42" s="905"/>
    </row>
    <row r="43" spans="1:23" s="61" customFormat="1" ht="15.75" customHeight="1" thickBot="1">
      <c r="A43" s="1862" t="s">
        <v>493</v>
      </c>
      <c r="B43" s="1863"/>
      <c r="C43" s="1864"/>
      <c r="D43" s="378" t="s">
        <v>237</v>
      </c>
      <c r="E43" s="448"/>
      <c r="F43" s="1859"/>
      <c r="G43" s="1860"/>
      <c r="H43" s="1861"/>
      <c r="I43" s="1241" t="s">
        <v>277</v>
      </c>
      <c r="J43" s="1242">
        <v>5</v>
      </c>
      <c r="K43" s="1242"/>
      <c r="L43" s="1242">
        <v>15</v>
      </c>
      <c r="M43" s="1242">
        <v>48900</v>
      </c>
      <c r="N43" s="1241" t="s">
        <v>277</v>
      </c>
      <c r="O43" s="1242">
        <v>5</v>
      </c>
      <c r="P43" s="1242"/>
      <c r="Q43" s="1242">
        <v>15</v>
      </c>
      <c r="R43" s="1242">
        <v>48900</v>
      </c>
      <c r="S43" s="1241" t="s">
        <v>277</v>
      </c>
      <c r="T43" s="1242">
        <v>5</v>
      </c>
      <c r="U43" s="1242"/>
      <c r="V43" s="1242">
        <v>15</v>
      </c>
      <c r="W43" s="1242">
        <v>48900</v>
      </c>
    </row>
    <row r="44" spans="1:23" ht="15.75" thickBot="1">
      <c r="A44" s="1775" t="s">
        <v>133</v>
      </c>
      <c r="B44" s="1776"/>
      <c r="C44" s="1777"/>
      <c r="D44" s="541" t="s">
        <v>238</v>
      </c>
      <c r="E44" s="501"/>
      <c r="F44" s="1865" t="s">
        <v>495</v>
      </c>
      <c r="G44" s="1780"/>
      <c r="H44" s="1793"/>
      <c r="I44" s="906"/>
      <c r="J44" s="905"/>
      <c r="K44" s="905"/>
      <c r="L44" s="905"/>
      <c r="M44" s="905"/>
      <c r="N44" s="906"/>
      <c r="O44" s="905"/>
      <c r="P44" s="905"/>
      <c r="Q44" s="905"/>
      <c r="R44" s="905"/>
      <c r="S44" s="906"/>
      <c r="T44" s="905"/>
      <c r="U44" s="905"/>
      <c r="V44" s="905"/>
      <c r="W44" s="905"/>
    </row>
    <row r="45" spans="1:23">
      <c r="A45" s="1778" t="s">
        <v>41</v>
      </c>
      <c r="B45" s="1772"/>
      <c r="C45" s="380" t="s">
        <v>50</v>
      </c>
      <c r="D45" s="381" t="s">
        <v>246</v>
      </c>
      <c r="E45" s="493"/>
      <c r="F45" s="1781" t="s">
        <v>560</v>
      </c>
      <c r="G45" s="1762"/>
      <c r="H45" s="1764"/>
      <c r="I45" s="906"/>
      <c r="J45" s="905"/>
      <c r="K45" s="905"/>
      <c r="L45" s="905"/>
      <c r="M45" s="905"/>
      <c r="N45" s="906"/>
      <c r="O45" s="905"/>
      <c r="P45" s="905"/>
      <c r="Q45" s="905"/>
      <c r="R45" s="905"/>
      <c r="S45" s="906"/>
      <c r="T45" s="905"/>
      <c r="U45" s="905"/>
      <c r="V45" s="905"/>
      <c r="W45" s="905"/>
    </row>
    <row r="46" spans="1:23">
      <c r="A46" s="1779"/>
      <c r="B46" s="1772"/>
      <c r="C46" s="382" t="s">
        <v>51</v>
      </c>
      <c r="D46" s="381" t="s">
        <v>247</v>
      </c>
      <c r="E46" s="493"/>
      <c r="F46" s="1781" t="s">
        <v>498</v>
      </c>
      <c r="G46" s="1762"/>
      <c r="H46" s="1764"/>
      <c r="I46" s="906"/>
      <c r="J46" s="905"/>
      <c r="K46" s="905"/>
      <c r="L46" s="905"/>
      <c r="M46" s="905"/>
      <c r="N46" s="906"/>
      <c r="O46" s="905"/>
      <c r="P46" s="905"/>
      <c r="Q46" s="905"/>
      <c r="R46" s="905"/>
      <c r="S46" s="906"/>
      <c r="T46" s="905"/>
      <c r="U46" s="905"/>
      <c r="V46" s="905"/>
      <c r="W46" s="905"/>
    </row>
    <row r="47" spans="1:23">
      <c r="A47" s="1779"/>
      <c r="B47" s="1772"/>
      <c r="C47" s="382" t="s">
        <v>39</v>
      </c>
      <c r="D47" s="381" t="s">
        <v>248</v>
      </c>
      <c r="E47" s="493"/>
      <c r="F47" s="1781" t="s">
        <v>498</v>
      </c>
      <c r="G47" s="1762"/>
      <c r="H47" s="1764"/>
      <c r="I47" s="906"/>
      <c r="J47" s="905"/>
      <c r="K47" s="905"/>
      <c r="L47" s="905"/>
      <c r="M47" s="905"/>
      <c r="N47" s="906"/>
      <c r="O47" s="905"/>
      <c r="P47" s="905"/>
      <c r="Q47" s="905"/>
      <c r="R47" s="905"/>
      <c r="S47" s="906"/>
      <c r="T47" s="905"/>
      <c r="U47" s="905"/>
      <c r="V47" s="905"/>
      <c r="W47" s="905"/>
    </row>
    <row r="48" spans="1:23" ht="15.75" thickBot="1">
      <c r="A48" s="1767"/>
      <c r="B48" s="1780"/>
      <c r="C48" s="383" t="s">
        <v>40</v>
      </c>
      <c r="D48" s="381" t="s">
        <v>249</v>
      </c>
      <c r="E48" s="493"/>
      <c r="F48" s="1781" t="s">
        <v>498</v>
      </c>
      <c r="G48" s="1762"/>
      <c r="H48" s="1764"/>
      <c r="I48" s="906"/>
      <c r="J48" s="905"/>
      <c r="K48" s="905"/>
      <c r="L48" s="905"/>
      <c r="M48" s="905"/>
      <c r="N48" s="906"/>
      <c r="O48" s="905"/>
      <c r="P48" s="905"/>
      <c r="Q48" s="905"/>
      <c r="R48" s="905"/>
      <c r="S48" s="906"/>
      <c r="T48" s="905"/>
      <c r="U48" s="905"/>
      <c r="V48" s="905"/>
      <c r="W48" s="905"/>
    </row>
    <row r="49" spans="1:23" ht="15.75">
      <c r="A49" s="1765" t="s">
        <v>130</v>
      </c>
      <c r="B49" s="1766"/>
      <c r="C49" s="375" t="s">
        <v>131</v>
      </c>
      <c r="D49" s="376" t="s">
        <v>255</v>
      </c>
      <c r="E49" s="493"/>
      <c r="F49" s="1769"/>
      <c r="G49" s="1762"/>
      <c r="H49" s="1764"/>
      <c r="I49" s="906"/>
      <c r="J49" s="905"/>
      <c r="K49" s="905"/>
      <c r="L49" s="905"/>
      <c r="M49" s="905"/>
      <c r="N49" s="906"/>
      <c r="O49" s="905"/>
      <c r="P49" s="905"/>
      <c r="Q49" s="905"/>
      <c r="R49" s="905"/>
      <c r="S49" s="906"/>
      <c r="T49" s="905"/>
      <c r="U49" s="905"/>
      <c r="V49" s="905"/>
      <c r="W49" s="905"/>
    </row>
    <row r="50" spans="1:23" ht="48" thickBot="1">
      <c r="A50" s="1767"/>
      <c r="B50" s="1768"/>
      <c r="C50" s="384" t="s">
        <v>132</v>
      </c>
      <c r="D50" s="376" t="s">
        <v>263</v>
      </c>
      <c r="E50" s="493"/>
      <c r="F50" s="1769"/>
      <c r="G50" s="1762"/>
      <c r="H50" s="1764"/>
      <c r="I50" s="906"/>
      <c r="J50" s="905"/>
      <c r="K50" s="905"/>
      <c r="L50" s="905"/>
      <c r="M50" s="905"/>
      <c r="N50" s="906"/>
      <c r="O50" s="905"/>
      <c r="P50" s="905"/>
      <c r="Q50" s="905"/>
      <c r="R50" s="905"/>
      <c r="S50" s="906"/>
      <c r="T50" s="905"/>
      <c r="U50" s="905"/>
      <c r="V50" s="905"/>
      <c r="W50" s="905"/>
    </row>
    <row r="51" spans="1:23">
      <c r="A51" s="1770" t="s">
        <v>42</v>
      </c>
      <c r="B51" s="1771"/>
      <c r="C51" s="385" t="s">
        <v>38</v>
      </c>
      <c r="D51" s="386" t="s">
        <v>239</v>
      </c>
      <c r="E51" s="418" t="s">
        <v>277</v>
      </c>
      <c r="F51" s="1763" t="s">
        <v>499</v>
      </c>
      <c r="G51" s="1762"/>
      <c r="H51" s="1764"/>
      <c r="I51" s="906" t="s">
        <v>277</v>
      </c>
      <c r="J51" s="905">
        <v>2</v>
      </c>
      <c r="K51" s="905"/>
      <c r="L51" s="905" t="s">
        <v>1133</v>
      </c>
      <c r="M51" s="905">
        <v>12000</v>
      </c>
      <c r="N51" s="906" t="s">
        <v>277</v>
      </c>
      <c r="O51" s="905">
        <v>2</v>
      </c>
      <c r="P51" s="905"/>
      <c r="Q51" s="905" t="s">
        <v>1133</v>
      </c>
      <c r="R51" s="905">
        <v>12000</v>
      </c>
      <c r="S51" s="906" t="s">
        <v>277</v>
      </c>
      <c r="T51" s="905">
        <v>2</v>
      </c>
      <c r="U51" s="905"/>
      <c r="V51" s="905" t="s">
        <v>1133</v>
      </c>
      <c r="W51" s="905">
        <v>12000</v>
      </c>
    </row>
    <row r="52" spans="1:23">
      <c r="A52" s="1772"/>
      <c r="B52" s="1772"/>
      <c r="C52" s="387" t="s">
        <v>55</v>
      </c>
      <c r="D52" s="386" t="s">
        <v>240</v>
      </c>
      <c r="E52" s="418" t="s">
        <v>277</v>
      </c>
      <c r="F52" s="1773"/>
      <c r="G52" s="1762"/>
      <c r="H52" s="1764"/>
      <c r="I52" s="906" t="s">
        <v>277</v>
      </c>
      <c r="J52" s="905">
        <v>2</v>
      </c>
      <c r="K52" s="905"/>
      <c r="L52" s="905">
        <v>2</v>
      </c>
      <c r="M52" s="905">
        <v>620</v>
      </c>
      <c r="N52" s="906" t="s">
        <v>277</v>
      </c>
      <c r="O52" s="905">
        <v>2</v>
      </c>
      <c r="P52" s="905"/>
      <c r="Q52" s="905">
        <v>2</v>
      </c>
      <c r="R52" s="905">
        <v>620</v>
      </c>
      <c r="S52" s="906" t="s">
        <v>277</v>
      </c>
      <c r="T52" s="905">
        <v>2</v>
      </c>
      <c r="U52" s="905"/>
      <c r="V52" s="905">
        <v>2</v>
      </c>
      <c r="W52" s="905">
        <v>620</v>
      </c>
    </row>
    <row r="53" spans="1:23" s="1161" customFormat="1" ht="15.75" thickBot="1">
      <c r="A53" s="1772"/>
      <c r="B53" s="1772"/>
      <c r="C53" s="387" t="s">
        <v>48</v>
      </c>
      <c r="D53" s="387" t="s">
        <v>241</v>
      </c>
      <c r="E53" s="502"/>
      <c r="F53" s="1773"/>
      <c r="G53" s="1762"/>
      <c r="H53" s="1764"/>
      <c r="I53" s="1684" t="s">
        <v>277</v>
      </c>
      <c r="J53" s="1163">
        <v>2</v>
      </c>
      <c r="K53" s="1163"/>
      <c r="L53" s="1163" t="s">
        <v>1134</v>
      </c>
      <c r="M53" s="1163">
        <v>4000</v>
      </c>
      <c r="N53" s="1162" t="s">
        <v>277</v>
      </c>
      <c r="O53" s="1163">
        <v>2</v>
      </c>
      <c r="P53" s="1163"/>
      <c r="Q53" s="1163" t="s">
        <v>1134</v>
      </c>
      <c r="R53" s="1163">
        <v>4000</v>
      </c>
      <c r="S53" s="1162" t="s">
        <v>277</v>
      </c>
      <c r="T53" s="1163">
        <v>2</v>
      </c>
      <c r="U53" s="1163"/>
      <c r="V53" s="1163" t="s">
        <v>1134</v>
      </c>
      <c r="W53" s="1163">
        <v>4000</v>
      </c>
    </row>
    <row r="54" spans="1:23" ht="32.25" thickBot="1">
      <c r="A54" s="1761" t="s">
        <v>500</v>
      </c>
      <c r="B54" s="1762"/>
      <c r="C54" s="389" t="s">
        <v>134</v>
      </c>
      <c r="D54" s="390" t="s">
        <v>269</v>
      </c>
      <c r="E54" s="502"/>
      <c r="F54" s="1763" t="s">
        <v>501</v>
      </c>
      <c r="G54" s="1762"/>
      <c r="H54" s="1764"/>
      <c r="I54" s="907"/>
      <c r="J54" s="908"/>
      <c r="K54" s="908"/>
      <c r="L54" s="908"/>
      <c r="M54" s="908"/>
      <c r="N54" s="907"/>
      <c r="O54" s="908"/>
      <c r="P54" s="908"/>
      <c r="Q54" s="908"/>
      <c r="R54" s="908"/>
      <c r="S54" s="907"/>
      <c r="T54" s="908"/>
      <c r="U54" s="908"/>
      <c r="V54" s="908"/>
      <c r="W54" s="908"/>
    </row>
    <row r="57" spans="1:23">
      <c r="M57">
        <f>SUM(M15:M54)</f>
        <v>414220</v>
      </c>
    </row>
    <row r="58" spans="1:23">
      <c r="A58" s="1829" t="s">
        <v>1270</v>
      </c>
      <c r="B58" s="1830"/>
      <c r="C58" s="1830"/>
      <c r="D58" s="1830"/>
      <c r="E58" s="1830"/>
      <c r="F58" s="1830"/>
    </row>
    <row r="59" spans="1:23" ht="90">
      <c r="A59" s="1465" t="s">
        <v>1271</v>
      </c>
      <c r="B59" s="1465" t="s">
        <v>1272</v>
      </c>
      <c r="C59" s="1465" t="s">
        <v>1273</v>
      </c>
      <c r="D59" s="1465" t="s">
        <v>1274</v>
      </c>
      <c r="E59" s="1465" t="s">
        <v>1275</v>
      </c>
      <c r="F59" s="1465" t="s">
        <v>1276</v>
      </c>
    </row>
    <row r="60" spans="1:23">
      <c r="A60" s="1885" t="s">
        <v>1277</v>
      </c>
      <c r="B60" s="1885" t="s">
        <v>1278</v>
      </c>
      <c r="C60" s="1886" t="s">
        <v>1279</v>
      </c>
      <c r="D60" s="1886" t="s">
        <v>954</v>
      </c>
      <c r="E60" s="1466" t="s">
        <v>237</v>
      </c>
      <c r="F60" s="1466">
        <v>9</v>
      </c>
    </row>
    <row r="61" spans="1:23">
      <c r="A61" s="1885"/>
      <c r="B61" s="1885"/>
      <c r="C61" s="1886"/>
      <c r="D61" s="1886"/>
      <c r="E61" s="1466" t="s">
        <v>1280</v>
      </c>
      <c r="F61" s="1466">
        <v>2</v>
      </c>
    </row>
    <row r="62" spans="1:23">
      <c r="A62" s="1885"/>
      <c r="B62" s="1885"/>
      <c r="C62" s="1886"/>
      <c r="D62" s="1886"/>
      <c r="E62" s="1466" t="s">
        <v>1284</v>
      </c>
      <c r="F62" s="1468">
        <v>2</v>
      </c>
    </row>
    <row r="63" spans="1:23">
      <c r="A63" s="1885" t="s">
        <v>1383</v>
      </c>
      <c r="B63" s="1885" t="s">
        <v>1278</v>
      </c>
      <c r="C63" s="1886" t="s">
        <v>1384</v>
      </c>
      <c r="D63" s="1886" t="s">
        <v>954</v>
      </c>
      <c r="E63" s="1466" t="s">
        <v>1285</v>
      </c>
      <c r="F63" s="1467"/>
    </row>
    <row r="64" spans="1:23">
      <c r="A64" s="1885"/>
      <c r="B64" s="1885"/>
      <c r="C64" s="1886"/>
      <c r="D64" s="1886"/>
      <c r="E64" s="1468" t="s">
        <v>1284</v>
      </c>
      <c r="F64" s="1468">
        <v>2</v>
      </c>
    </row>
    <row r="65" spans="1:6">
      <c r="A65" s="1885"/>
      <c r="B65" s="1885"/>
      <c r="C65" s="1886"/>
      <c r="D65" s="1886"/>
      <c r="E65" s="1469" t="s">
        <v>1385</v>
      </c>
      <c r="F65" s="1470"/>
    </row>
    <row r="66" spans="1:6">
      <c r="A66" s="1885"/>
      <c r="B66" s="1885"/>
      <c r="C66" s="1886"/>
      <c r="D66" s="1886"/>
      <c r="E66" s="1466" t="s">
        <v>1382</v>
      </c>
      <c r="F66" s="1467"/>
    </row>
    <row r="67" spans="1:6">
      <c r="A67" s="1890" t="s">
        <v>1386</v>
      </c>
      <c r="B67" s="1885" t="s">
        <v>1282</v>
      </c>
      <c r="C67" s="1886" t="s">
        <v>1283</v>
      </c>
      <c r="D67" s="1886" t="s">
        <v>954</v>
      </c>
      <c r="E67" s="1466" t="s">
        <v>237</v>
      </c>
      <c r="F67" s="1466">
        <v>9</v>
      </c>
    </row>
    <row r="68" spans="1:6">
      <c r="A68" s="1896"/>
      <c r="B68" s="1885"/>
      <c r="C68" s="1886"/>
      <c r="D68" s="1886"/>
      <c r="E68" s="1466" t="s">
        <v>1284</v>
      </c>
      <c r="F68" s="1468">
        <v>2</v>
      </c>
    </row>
    <row r="69" spans="1:6">
      <c r="A69" s="1896"/>
      <c r="B69" s="1885"/>
      <c r="C69" s="1886"/>
      <c r="D69" s="1886"/>
      <c r="E69" s="1466" t="s">
        <v>1387</v>
      </c>
      <c r="F69" s="1467"/>
    </row>
    <row r="70" spans="1:6">
      <c r="A70" s="1891"/>
      <c r="B70" s="1885"/>
      <c r="C70" s="1886"/>
      <c r="D70" s="1886"/>
      <c r="E70" s="1466" t="s">
        <v>1388</v>
      </c>
      <c r="F70" s="1466">
        <v>2</v>
      </c>
    </row>
    <row r="71" spans="1:6">
      <c r="A71" s="1887" t="s">
        <v>1389</v>
      </c>
      <c r="B71" s="1885" t="s">
        <v>1287</v>
      </c>
      <c r="C71" s="1886" t="s">
        <v>1307</v>
      </c>
      <c r="D71" s="1886" t="s">
        <v>954</v>
      </c>
      <c r="E71" s="1466" t="s">
        <v>237</v>
      </c>
      <c r="F71" s="1466">
        <v>9</v>
      </c>
    </row>
    <row r="72" spans="1:6">
      <c r="A72" s="1887"/>
      <c r="B72" s="1885"/>
      <c r="C72" s="1886"/>
      <c r="D72" s="1886"/>
      <c r="E72" s="1466" t="s">
        <v>1284</v>
      </c>
      <c r="F72" s="1468">
        <v>2</v>
      </c>
    </row>
    <row r="73" spans="1:6">
      <c r="A73" s="1887"/>
      <c r="B73" s="1885"/>
      <c r="C73" s="1886"/>
      <c r="D73" s="1886"/>
      <c r="E73" s="1466" t="s">
        <v>1280</v>
      </c>
      <c r="F73" s="1466">
        <v>2</v>
      </c>
    </row>
    <row r="74" spans="1:6">
      <c r="A74" s="1887"/>
      <c r="B74" s="1885"/>
      <c r="C74" s="1886"/>
      <c r="D74" s="1886"/>
      <c r="E74" s="1466" t="s">
        <v>1390</v>
      </c>
      <c r="F74" s="1467"/>
    </row>
    <row r="75" spans="1:6">
      <c r="A75" s="1887" t="s">
        <v>1391</v>
      </c>
      <c r="B75" s="1885" t="s">
        <v>1282</v>
      </c>
      <c r="C75" s="1886" t="s">
        <v>1283</v>
      </c>
      <c r="D75" s="1886" t="s">
        <v>954</v>
      </c>
      <c r="E75" s="1466" t="s">
        <v>1284</v>
      </c>
      <c r="F75" s="1468">
        <v>2</v>
      </c>
    </row>
    <row r="76" spans="1:6">
      <c r="A76" s="1887"/>
      <c r="B76" s="1885"/>
      <c r="C76" s="1886"/>
      <c r="D76" s="1886"/>
      <c r="E76" s="1466" t="s">
        <v>1285</v>
      </c>
      <c r="F76" s="1467"/>
    </row>
    <row r="77" spans="1:6">
      <c r="A77" s="1887"/>
      <c r="B77" s="1885"/>
      <c r="C77" s="1886"/>
      <c r="D77" s="1886"/>
      <c r="E77" s="1466" t="s">
        <v>1280</v>
      </c>
      <c r="F77" s="1466">
        <v>2</v>
      </c>
    </row>
    <row r="78" spans="1:6">
      <c r="A78" s="1890" t="s">
        <v>1392</v>
      </c>
      <c r="B78" s="1892" t="s">
        <v>1287</v>
      </c>
      <c r="C78" s="1894" t="s">
        <v>1283</v>
      </c>
      <c r="D78" s="1894" t="s">
        <v>954</v>
      </c>
      <c r="E78" s="1466" t="s">
        <v>1285</v>
      </c>
      <c r="F78" s="1466"/>
    </row>
    <row r="79" spans="1:6">
      <c r="A79" s="1891"/>
      <c r="B79" s="1893"/>
      <c r="C79" s="1895"/>
      <c r="D79" s="1895"/>
      <c r="E79" s="1466" t="s">
        <v>1284</v>
      </c>
      <c r="F79" s="1468">
        <v>2</v>
      </c>
    </row>
    <row r="80" spans="1:6">
      <c r="A80" s="1887" t="s">
        <v>1286</v>
      </c>
      <c r="B80" s="1885" t="s">
        <v>1287</v>
      </c>
      <c r="C80" s="1886" t="s">
        <v>1283</v>
      </c>
      <c r="D80" s="1886" t="s">
        <v>954</v>
      </c>
      <c r="E80" s="1466" t="s">
        <v>1390</v>
      </c>
      <c r="F80" s="1467"/>
    </row>
    <row r="81" spans="1:6">
      <c r="A81" s="1887"/>
      <c r="B81" s="1885"/>
      <c r="C81" s="1886"/>
      <c r="D81" s="1886"/>
      <c r="E81" s="1466" t="s">
        <v>237</v>
      </c>
      <c r="F81" s="1466">
        <v>9</v>
      </c>
    </row>
    <row r="82" spans="1:6">
      <c r="A82" s="1887"/>
      <c r="B82" s="1885"/>
      <c r="C82" s="1886"/>
      <c r="D82" s="1886"/>
      <c r="E82" s="1466" t="s">
        <v>1285</v>
      </c>
      <c r="F82" s="1467"/>
    </row>
    <row r="83" spans="1:6">
      <c r="A83" s="1887"/>
      <c r="B83" s="1885"/>
      <c r="C83" s="1886"/>
      <c r="D83" s="1886"/>
      <c r="E83" s="1466" t="s">
        <v>1280</v>
      </c>
      <c r="F83" s="1466">
        <v>2</v>
      </c>
    </row>
    <row r="84" spans="1:6">
      <c r="A84" s="1887" t="s">
        <v>1288</v>
      </c>
      <c r="B84" s="1885" t="s">
        <v>1287</v>
      </c>
      <c r="C84" s="1886" t="s">
        <v>1289</v>
      </c>
      <c r="D84" s="1886" t="s">
        <v>954</v>
      </c>
      <c r="E84" s="1466" t="s">
        <v>237</v>
      </c>
      <c r="F84" s="1466">
        <v>9</v>
      </c>
    </row>
    <row r="85" spans="1:6">
      <c r="A85" s="1887"/>
      <c r="B85" s="1885"/>
      <c r="C85" s="1886"/>
      <c r="D85" s="1886"/>
      <c r="E85" s="1466" t="s">
        <v>1284</v>
      </c>
      <c r="F85" s="1468">
        <v>2</v>
      </c>
    </row>
    <row r="86" spans="1:6">
      <c r="A86" s="1887"/>
      <c r="B86" s="1885"/>
      <c r="C86" s="1886"/>
      <c r="D86" s="1886"/>
      <c r="E86" s="1466" t="s">
        <v>1280</v>
      </c>
      <c r="F86" s="1466">
        <v>2</v>
      </c>
    </row>
    <row r="87" spans="1:6">
      <c r="A87" s="1887"/>
      <c r="B87" s="1885"/>
      <c r="C87" s="1886"/>
      <c r="D87" s="1886"/>
      <c r="E87" s="1466" t="s">
        <v>1390</v>
      </c>
      <c r="F87" s="1467"/>
    </row>
    <row r="88" spans="1:6">
      <c r="A88" s="1888" t="s">
        <v>1393</v>
      </c>
      <c r="B88" s="1885" t="s">
        <v>1282</v>
      </c>
      <c r="C88" s="1886" t="s">
        <v>1283</v>
      </c>
      <c r="D88" s="1886" t="s">
        <v>954</v>
      </c>
      <c r="E88" s="1466" t="s">
        <v>237</v>
      </c>
      <c r="F88" s="1466">
        <v>9</v>
      </c>
    </row>
    <row r="89" spans="1:6">
      <c r="A89" s="1888"/>
      <c r="B89" s="1885"/>
      <c r="C89" s="1886"/>
      <c r="D89" s="1886"/>
      <c r="E89" s="1466" t="s">
        <v>1280</v>
      </c>
      <c r="F89" s="1466">
        <v>2</v>
      </c>
    </row>
    <row r="90" spans="1:6">
      <c r="A90" s="1888"/>
      <c r="B90" s="1885"/>
      <c r="C90" s="1886"/>
      <c r="D90" s="1886"/>
      <c r="E90" s="1466" t="s">
        <v>1390</v>
      </c>
      <c r="F90" s="1467"/>
    </row>
    <row r="91" spans="1:6">
      <c r="A91" s="1888" t="s">
        <v>1290</v>
      </c>
      <c r="B91" s="1885" t="s">
        <v>1291</v>
      </c>
      <c r="C91" s="1886" t="s">
        <v>1292</v>
      </c>
      <c r="D91" s="1886" t="s">
        <v>954</v>
      </c>
      <c r="E91" s="1466" t="s">
        <v>1284</v>
      </c>
      <c r="F91" s="1468">
        <v>2</v>
      </c>
    </row>
    <row r="92" spans="1:6">
      <c r="A92" s="1888"/>
      <c r="B92" s="1885"/>
      <c r="C92" s="1886"/>
      <c r="D92" s="1886"/>
      <c r="E92" s="1466" t="s">
        <v>1285</v>
      </c>
      <c r="F92" s="1467"/>
    </row>
    <row r="93" spans="1:6">
      <c r="A93" s="1888"/>
      <c r="B93" s="1885"/>
      <c r="C93" s="1886"/>
      <c r="D93" s="1886"/>
      <c r="E93" s="1466" t="s">
        <v>1280</v>
      </c>
      <c r="F93" s="1466">
        <v>2</v>
      </c>
    </row>
    <row r="94" spans="1:6">
      <c r="A94" s="1889" t="s">
        <v>1394</v>
      </c>
      <c r="B94" s="1885" t="s">
        <v>1282</v>
      </c>
      <c r="C94" s="1886" t="s">
        <v>1395</v>
      </c>
      <c r="D94" s="1886" t="s">
        <v>954</v>
      </c>
      <c r="E94" s="1466" t="s">
        <v>1285</v>
      </c>
      <c r="F94" s="1467"/>
    </row>
    <row r="95" spans="1:6">
      <c r="A95" s="1889"/>
      <c r="B95" s="1885"/>
      <c r="C95" s="1886"/>
      <c r="D95" s="1886"/>
      <c r="E95" s="1466" t="s">
        <v>1284</v>
      </c>
      <c r="F95" s="1468">
        <v>2</v>
      </c>
    </row>
    <row r="96" spans="1:6">
      <c r="A96" s="1889"/>
      <c r="B96" s="1885"/>
      <c r="C96" s="1886"/>
      <c r="D96" s="1886"/>
      <c r="E96" s="1466" t="s">
        <v>1382</v>
      </c>
      <c r="F96" s="1467"/>
    </row>
    <row r="97" spans="1:6">
      <c r="A97" s="1889"/>
      <c r="B97" s="1885"/>
      <c r="C97" s="1886"/>
      <c r="D97" s="1886"/>
      <c r="E97" s="1466" t="s">
        <v>1280</v>
      </c>
      <c r="F97" s="1466">
        <v>2</v>
      </c>
    </row>
    <row r="98" spans="1:6">
      <c r="A98" s="1887" t="s">
        <v>1396</v>
      </c>
      <c r="B98" s="1885" t="s">
        <v>1282</v>
      </c>
      <c r="C98" s="1886" t="s">
        <v>1395</v>
      </c>
      <c r="D98" s="1886" t="s">
        <v>954</v>
      </c>
      <c r="E98" s="1466" t="s">
        <v>1285</v>
      </c>
      <c r="F98" s="1467"/>
    </row>
    <row r="99" spans="1:6">
      <c r="A99" s="1887"/>
      <c r="B99" s="1885"/>
      <c r="C99" s="1886"/>
      <c r="D99" s="1886"/>
      <c r="E99" s="1466" t="s">
        <v>1284</v>
      </c>
      <c r="F99" s="1468">
        <v>2</v>
      </c>
    </row>
    <row r="100" spans="1:6">
      <c r="A100" s="1887"/>
      <c r="B100" s="1885"/>
      <c r="C100" s="1886"/>
      <c r="D100" s="1886"/>
      <c r="E100" s="1466" t="s">
        <v>1382</v>
      </c>
      <c r="F100" s="1467"/>
    </row>
    <row r="101" spans="1:6">
      <c r="A101" s="1887"/>
      <c r="B101" s="1885"/>
      <c r="C101" s="1886"/>
      <c r="D101" s="1886"/>
      <c r="E101" s="1466" t="s">
        <v>1280</v>
      </c>
      <c r="F101" s="1466">
        <v>2</v>
      </c>
    </row>
    <row r="102" spans="1:6">
      <c r="A102" s="1887" t="s">
        <v>1397</v>
      </c>
      <c r="B102" s="1885" t="s">
        <v>1282</v>
      </c>
      <c r="C102" s="1886" t="s">
        <v>1307</v>
      </c>
      <c r="D102" s="1886" t="s">
        <v>954</v>
      </c>
      <c r="E102" s="1466" t="s">
        <v>1285</v>
      </c>
      <c r="F102" s="1467"/>
    </row>
    <row r="103" spans="1:6">
      <c r="A103" s="1887"/>
      <c r="B103" s="1885"/>
      <c r="C103" s="1886"/>
      <c r="D103" s="1886"/>
      <c r="E103" s="1466" t="s">
        <v>1284</v>
      </c>
      <c r="F103" s="1468">
        <v>2</v>
      </c>
    </row>
    <row r="104" spans="1:6">
      <c r="A104" s="1887"/>
      <c r="B104" s="1885"/>
      <c r="C104" s="1886"/>
      <c r="D104" s="1886"/>
      <c r="E104" s="1466" t="s">
        <v>1382</v>
      </c>
      <c r="F104" s="1467"/>
    </row>
    <row r="105" spans="1:6">
      <c r="A105" s="1887"/>
      <c r="B105" s="1885"/>
      <c r="C105" s="1886"/>
      <c r="D105" s="1886"/>
      <c r="E105" s="1466" t="s">
        <v>1280</v>
      </c>
      <c r="F105" s="1466">
        <v>2</v>
      </c>
    </row>
    <row r="106" spans="1:6">
      <c r="A106" s="1885" t="s">
        <v>1398</v>
      </c>
      <c r="B106" s="1885" t="s">
        <v>1287</v>
      </c>
      <c r="C106" s="1886" t="s">
        <v>1307</v>
      </c>
      <c r="D106" s="1886" t="s">
        <v>954</v>
      </c>
      <c r="E106" s="1466" t="s">
        <v>1285</v>
      </c>
      <c r="F106" s="1467"/>
    </row>
    <row r="107" spans="1:6">
      <c r="A107" s="1885"/>
      <c r="B107" s="1885"/>
      <c r="C107" s="1886"/>
      <c r="D107" s="1886"/>
      <c r="E107" s="1466" t="s">
        <v>1284</v>
      </c>
      <c r="F107" s="1468">
        <v>2</v>
      </c>
    </row>
    <row r="108" spans="1:6">
      <c r="A108" s="1885"/>
      <c r="B108" s="1885"/>
      <c r="C108" s="1886"/>
      <c r="D108" s="1886"/>
      <c r="E108" s="1466" t="s">
        <v>1385</v>
      </c>
      <c r="F108" s="1470"/>
    </row>
    <row r="109" spans="1:6">
      <c r="A109" s="1885"/>
      <c r="B109" s="1885"/>
      <c r="C109" s="1886"/>
      <c r="D109" s="1886"/>
      <c r="E109" s="1466" t="s">
        <v>1382</v>
      </c>
      <c r="F109" s="1467"/>
    </row>
    <row r="110" spans="1:6">
      <c r="A110" s="1885"/>
      <c r="B110" s="1885"/>
      <c r="C110" s="1886"/>
      <c r="D110" s="1886"/>
      <c r="E110" s="1466" t="s">
        <v>1280</v>
      </c>
      <c r="F110" s="1466">
        <v>2</v>
      </c>
    </row>
    <row r="111" spans="1:6">
      <c r="A111" s="1885"/>
      <c r="B111" s="1885"/>
      <c r="C111" s="1886"/>
      <c r="D111" s="1886"/>
      <c r="E111" s="1466" t="s">
        <v>1387</v>
      </c>
      <c r="F111" s="1467"/>
    </row>
    <row r="112" spans="1:6">
      <c r="A112" s="1885"/>
      <c r="B112" s="1885"/>
      <c r="C112" s="1886"/>
      <c r="D112" s="1886"/>
      <c r="E112" s="1466" t="s">
        <v>237</v>
      </c>
      <c r="F112" s="1466">
        <v>9</v>
      </c>
    </row>
  </sheetData>
  <mergeCells count="115">
    <mergeCell ref="A58:F58"/>
    <mergeCell ref="A60:A62"/>
    <mergeCell ref="B60:B62"/>
    <mergeCell ref="C60:C62"/>
    <mergeCell ref="D60:D62"/>
    <mergeCell ref="A63:A66"/>
    <mergeCell ref="B63:B66"/>
    <mergeCell ref="C63:C66"/>
    <mergeCell ref="D63:D66"/>
    <mergeCell ref="A67:A70"/>
    <mergeCell ref="B67:B70"/>
    <mergeCell ref="C67:C70"/>
    <mergeCell ref="D67:D70"/>
    <mergeCell ref="A71:A74"/>
    <mergeCell ref="B71:B74"/>
    <mergeCell ref="C71:C74"/>
    <mergeCell ref="D71:D74"/>
    <mergeCell ref="A75:A77"/>
    <mergeCell ref="B75:B77"/>
    <mergeCell ref="C75:C77"/>
    <mergeCell ref="D75:D77"/>
    <mergeCell ref="A78:A79"/>
    <mergeCell ref="B78:B79"/>
    <mergeCell ref="C78:C79"/>
    <mergeCell ref="D78:D79"/>
    <mergeCell ref="A80:A83"/>
    <mergeCell ref="B80:B83"/>
    <mergeCell ref="C80:C83"/>
    <mergeCell ref="D80:D83"/>
    <mergeCell ref="A84:A87"/>
    <mergeCell ref="B84:B87"/>
    <mergeCell ref="C84:C87"/>
    <mergeCell ref="D84:D87"/>
    <mergeCell ref="A88:A90"/>
    <mergeCell ref="B88:B90"/>
    <mergeCell ref="C88:C90"/>
    <mergeCell ref="D88:D90"/>
    <mergeCell ref="A91:A93"/>
    <mergeCell ref="B91:B93"/>
    <mergeCell ref="C91:C93"/>
    <mergeCell ref="D91:D93"/>
    <mergeCell ref="A94:A97"/>
    <mergeCell ref="B94:B97"/>
    <mergeCell ref="C94:C97"/>
    <mergeCell ref="D94:D97"/>
    <mergeCell ref="A106:A112"/>
    <mergeCell ref="B106:B112"/>
    <mergeCell ref="C106:C112"/>
    <mergeCell ref="D106:D112"/>
    <mergeCell ref="A98:A101"/>
    <mergeCell ref="B98:B101"/>
    <mergeCell ref="C98:C101"/>
    <mergeCell ref="D98:D101"/>
    <mergeCell ref="A102:A105"/>
    <mergeCell ref="B102:B105"/>
    <mergeCell ref="C102:C105"/>
    <mergeCell ref="D102:D105"/>
    <mergeCell ref="I13:M13"/>
    <mergeCell ref="N13:R13"/>
    <mergeCell ref="S13:W13"/>
    <mergeCell ref="B2:D2"/>
    <mergeCell ref="B3:D3"/>
    <mergeCell ref="B4:D4"/>
    <mergeCell ref="B6:D6"/>
    <mergeCell ref="B8:D8"/>
    <mergeCell ref="J7:J8"/>
    <mergeCell ref="A10:B10"/>
    <mergeCell ref="C10:H10"/>
    <mergeCell ref="E12:H13"/>
    <mergeCell ref="A14:B14"/>
    <mergeCell ref="F14:H14"/>
    <mergeCell ref="A15:B17"/>
    <mergeCell ref="F15:H17"/>
    <mergeCell ref="F26:H26"/>
    <mergeCell ref="A26:C26"/>
    <mergeCell ref="A18:B20"/>
    <mergeCell ref="F18:H20"/>
    <mergeCell ref="A21:B22"/>
    <mergeCell ref="F21:H22"/>
    <mergeCell ref="A23:B25"/>
    <mergeCell ref="F23:H25"/>
    <mergeCell ref="A27:B29"/>
    <mergeCell ref="F27:H29"/>
    <mergeCell ref="A30:B32"/>
    <mergeCell ref="F30:H32"/>
    <mergeCell ref="A33:B33"/>
    <mergeCell ref="F33:H33"/>
    <mergeCell ref="A34:B34"/>
    <mergeCell ref="F34:H34"/>
    <mergeCell ref="A35:B36"/>
    <mergeCell ref="F35:H36"/>
    <mergeCell ref="A37:B39"/>
    <mergeCell ref="F37:H37"/>
    <mergeCell ref="F38:H39"/>
    <mergeCell ref="F47:H47"/>
    <mergeCell ref="F48:H48"/>
    <mergeCell ref="A40:B42"/>
    <mergeCell ref="F40:H41"/>
    <mergeCell ref="F42:H42"/>
    <mergeCell ref="F43:H43"/>
    <mergeCell ref="A43:C43"/>
    <mergeCell ref="A44:C44"/>
    <mergeCell ref="F44:H44"/>
    <mergeCell ref="A45:B48"/>
    <mergeCell ref="F45:H45"/>
    <mergeCell ref="F46:H46"/>
    <mergeCell ref="A54:B54"/>
    <mergeCell ref="F54:H54"/>
    <mergeCell ref="A49:B50"/>
    <mergeCell ref="F49:H49"/>
    <mergeCell ref="F50:H50"/>
    <mergeCell ref="A51:B53"/>
    <mergeCell ref="F51:H51"/>
    <mergeCell ref="F52:H52"/>
    <mergeCell ref="F53:H53"/>
  </mergeCells>
  <dataValidations count="3">
    <dataValidation type="list" allowBlank="1" showErrorMessage="1" sqref="H8">
      <formula1>"Enjeu EAU AESN,Enjeu EAU AEAP,Enjeu ZH et prairies AEAP,Enjeu Erosion AEAP,Enjeu Biodiversité MASA"</formula1>
    </dataValidation>
    <dataValidation type="list" allowBlank="1" showErrorMessage="1" sqref="H2">
      <formula1>$N$2:$N$3</formula1>
    </dataValidation>
    <dataValidation type="list" allowBlank="1" showErrorMessage="1" sqref="H3">
      <formula1>$N$4:$N$5</formula1>
    </dataValidation>
  </dataValidations>
  <hyperlinks>
    <hyperlink ref="J3" location="SOMMAIRE!A1" display="Retour sommaire"/>
    <hyperlink ref="J5" location="SYNTHESE!A1" display="Retour synthèse"/>
  </hyperlink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60</vt:i4>
      </vt:variant>
      <vt:variant>
        <vt:lpstr>Plages nommées</vt:lpstr>
      </vt:variant>
      <vt:variant>
        <vt:i4>2</vt:i4>
      </vt:variant>
    </vt:vector>
  </HeadingPairs>
  <TitlesOfParts>
    <vt:vector size="62" baseType="lpstr">
      <vt:lpstr>SOMMAIRE</vt:lpstr>
      <vt:lpstr>Instruction technique</vt:lpstr>
      <vt:lpstr>Contacts</vt:lpstr>
      <vt:lpstr>SYNTHESE</vt:lpstr>
      <vt:lpstr>AMVS</vt:lpstr>
      <vt:lpstr>BAHO</vt:lpstr>
      <vt:lpstr>BRES</vt:lpstr>
      <vt:lpstr>BREE</vt:lpstr>
      <vt:lpstr>BRET</vt:lpstr>
      <vt:lpstr>BSPB</vt:lpstr>
      <vt:lpstr>BSPH</vt:lpstr>
      <vt:lpstr>BVNI</vt:lpstr>
      <vt:lpstr>CABE</vt:lpstr>
      <vt:lpstr>CCLO</vt:lpstr>
      <vt:lpstr>CCPB</vt:lpstr>
      <vt:lpstr>CCPE</vt:lpstr>
      <vt:lpstr>CCPC</vt:lpstr>
      <vt:lpstr>CCPV</vt:lpstr>
      <vt:lpstr>CMOB</vt:lpstr>
      <vt:lpstr>CMOH</vt:lpstr>
      <vt:lpstr>CMOR</vt:lpstr>
      <vt:lpstr>HVOI</vt:lpstr>
      <vt:lpstr>HVSO</vt:lpstr>
      <vt:lpstr>LAON</vt:lpstr>
      <vt:lpstr>MASO</vt:lpstr>
      <vt:lpstr>MVOI</vt:lpstr>
      <vt:lpstr>MVSB</vt:lpstr>
      <vt:lpstr>MVSH</vt:lpstr>
      <vt:lpstr>NPCB</vt:lpstr>
      <vt:lpstr>NPCE</vt:lpstr>
      <vt:lpstr>NPCR</vt:lpstr>
      <vt:lpstr>OPFB</vt:lpstr>
      <vt:lpstr>OPFE</vt:lpstr>
      <vt:lpstr>OURQ</vt:lpstr>
      <vt:lpstr>PAVB</vt:lpstr>
      <vt:lpstr>PELB</vt:lpstr>
      <vt:lpstr>PELN</vt:lpstr>
      <vt:lpstr>PELP</vt:lpstr>
      <vt:lpstr>PELR</vt:lpstr>
      <vt:lpstr>PETB</vt:lpstr>
      <vt:lpstr>PETE</vt:lpstr>
      <vt:lpstr>PETP</vt:lpstr>
      <vt:lpstr>PETR</vt:lpstr>
      <vt:lpstr>PMPH</vt:lpstr>
      <vt:lpstr>PORT</vt:lpstr>
      <vt:lpstr>PSEB</vt:lpstr>
      <vt:lpstr>PSEE</vt:lpstr>
      <vt:lpstr>PSVN</vt:lpstr>
      <vt:lpstr>PSVP</vt:lpstr>
      <vt:lpstr>SABL</vt:lpstr>
      <vt:lpstr>SASO</vt:lpstr>
      <vt:lpstr>SESV</vt:lpstr>
      <vt:lpstr>STJU</vt:lpstr>
      <vt:lpstr>TBIN</vt:lpstr>
      <vt:lpstr>TBIO</vt:lpstr>
      <vt:lpstr>UESA</vt:lpstr>
      <vt:lpstr>VAUT</vt:lpstr>
      <vt:lpstr>VSEL</vt:lpstr>
      <vt:lpstr>Paramétrage</vt:lpstr>
      <vt:lpstr>Feuil1</vt:lpstr>
      <vt:lpstr>Contacts!Zone_d_impression</vt:lpstr>
      <vt:lpstr>SYNTHESE!Zone_d_impression</vt:lpstr>
    </vt:vector>
  </TitlesOfParts>
  <Company>Ministère de l'Agriculture et de l'Alimentation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Juliette ASPAR</dc:creator>
  <cp:lastModifiedBy>Juliette ASPAR</cp:lastModifiedBy>
  <cp:lastPrinted>2025-08-26T08:50:27Z</cp:lastPrinted>
  <dcterms:created xsi:type="dcterms:W3CDTF">2023-01-22T11:02:58Z</dcterms:created>
  <dcterms:modified xsi:type="dcterms:W3CDTF">2025-08-27T15:53:29Z</dcterms:modified>
</cp:coreProperties>
</file>